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showInkAnnotation="0" defaultThemeVersion="124226"/>
  <xr:revisionPtr revIDLastSave="0" documentId="13_ncr:1_{22EB8BFD-1DB6-47E2-ABB1-0CED751E117F}" xr6:coauthVersionLast="47" xr6:coauthVersionMax="47" xr10:uidLastSave="{00000000-0000-0000-0000-000000000000}"/>
  <bookViews>
    <workbookView xWindow="11364" yWindow="0" windowWidth="11676" windowHeight="1236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Лист1!$A$4:$V$106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88" i="1" l="1"/>
  <c r="P1287" i="1"/>
  <c r="P1286" i="1"/>
  <c r="P1285" i="1"/>
  <c r="P1284" i="1"/>
  <c r="P1283" i="1"/>
  <c r="P1282" i="1"/>
  <c r="P1281" i="1"/>
  <c r="P1280" i="1"/>
  <c r="P1279" i="1"/>
  <c r="P1278" i="1"/>
  <c r="P1277" i="1"/>
  <c r="P1276" i="1"/>
  <c r="P1275" i="1"/>
  <c r="P1274" i="1"/>
  <c r="P1273" i="1"/>
  <c r="P1272" i="1"/>
  <c r="P1271" i="1"/>
  <c r="P1270" i="1"/>
  <c r="P1269" i="1"/>
  <c r="P1268" i="1"/>
  <c r="P1267" i="1"/>
  <c r="P1266" i="1"/>
  <c r="P1265" i="1"/>
  <c r="P1264" i="1"/>
  <c r="P1263" i="1"/>
  <c r="P1262" i="1"/>
  <c r="P1261" i="1"/>
  <c r="P1260" i="1"/>
  <c r="P1259" i="1"/>
  <c r="P1258" i="1"/>
  <c r="P1199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15" i="1"/>
  <c r="P1214" i="1"/>
  <c r="P1213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 l="1"/>
  <c r="P1175" i="1"/>
  <c r="P1174" i="1"/>
  <c r="P1173" i="1"/>
  <c r="P1172" i="1" l="1"/>
  <c r="P1171" i="1"/>
  <c r="P1170" i="1"/>
  <c r="P1169" i="1"/>
  <c r="P1168" i="1" l="1"/>
  <c r="P1167" i="1"/>
  <c r="P1166" i="1"/>
  <c r="P1165" i="1" l="1"/>
  <c r="P1164" i="1" l="1"/>
  <c r="P1163" i="1" l="1"/>
  <c r="P1162" i="1"/>
  <c r="P1161" i="1" l="1"/>
  <c r="P1160" i="1"/>
  <c r="P1159" i="1" l="1"/>
  <c r="P1158" i="1"/>
  <c r="P1157" i="1" l="1"/>
  <c r="P1156" i="1" l="1"/>
  <c r="P1155" i="1"/>
  <c r="P1154" i="1"/>
  <c r="P1153" i="1"/>
  <c r="P1152" i="1" l="1"/>
  <c r="P1151" i="1" l="1"/>
  <c r="P1150" i="1"/>
  <c r="P1147" i="1" l="1"/>
  <c r="P1146" i="1"/>
  <c r="P1145" i="1"/>
  <c r="P1149" i="1"/>
  <c r="P1148" i="1"/>
  <c r="P1144" i="1" l="1"/>
  <c r="P1143" i="1"/>
  <c r="P1142" i="1" l="1"/>
  <c r="P1141" i="1"/>
  <c r="P1140" i="1"/>
  <c r="P1139" i="1" l="1"/>
  <c r="P1138" i="1" l="1"/>
  <c r="P1137" i="1"/>
  <c r="P1136" i="1"/>
  <c r="P1135" i="1"/>
  <c r="P1134" i="1"/>
  <c r="P1133" i="1" l="1"/>
  <c r="P1132" i="1"/>
  <c r="P1131" i="1"/>
  <c r="P1130" i="1" l="1"/>
  <c r="P1129" i="1" l="1"/>
  <c r="P1128" i="1"/>
  <c r="P1127" i="1" l="1"/>
  <c r="P1126" i="1" l="1"/>
  <c r="P1125" i="1"/>
  <c r="P1124" i="1"/>
  <c r="P1123" i="1" l="1"/>
  <c r="P1122" i="1"/>
  <c r="P1121" i="1"/>
  <c r="P1120" i="1"/>
  <c r="P1119" i="1" l="1"/>
  <c r="P1118" i="1"/>
  <c r="P1117" i="1"/>
  <c r="P1116" i="1" l="1"/>
  <c r="P1115" i="1"/>
  <c r="P1114" i="1"/>
  <c r="P1113" i="1"/>
  <c r="P1112" i="1"/>
  <c r="P1111" i="1" l="1"/>
  <c r="P1110" i="1"/>
  <c r="P1109" i="1"/>
  <c r="P1108" i="1" l="1"/>
  <c r="P1107" i="1" l="1"/>
  <c r="P1106" i="1" l="1"/>
  <c r="P1105" i="1" l="1"/>
  <c r="P1104" i="1"/>
  <c r="P1103" i="1"/>
  <c r="P1102" i="1" l="1"/>
  <c r="P1101" i="1"/>
  <c r="P1100" i="1" l="1"/>
  <c r="P1099" i="1"/>
  <c r="P1098" i="1"/>
  <c r="P1097" i="1" l="1"/>
  <c r="P1096" i="1"/>
  <c r="P1095" i="1"/>
  <c r="P1094" i="1"/>
  <c r="P1093" i="1" l="1"/>
  <c r="P1092" i="1" l="1"/>
  <c r="P1091" i="1" l="1"/>
  <c r="P1090" i="1"/>
  <c r="P1089" i="1"/>
  <c r="P1088" i="1" l="1"/>
  <c r="P1087" i="1"/>
  <c r="P1086" i="1"/>
  <c r="P1085" i="1"/>
  <c r="P1084" i="1"/>
  <c r="P1083" i="1" l="1"/>
  <c r="P1082" i="1"/>
  <c r="P1081" i="1"/>
  <c r="P1080" i="1" l="1"/>
  <c r="P1079" i="1"/>
  <c r="P1078" i="1"/>
  <c r="P1077" i="1"/>
  <c r="P1076" i="1"/>
  <c r="P1075" i="1" l="1"/>
  <c r="P1074" i="1"/>
  <c r="P1073" i="1"/>
  <c r="P1072" i="1"/>
  <c r="P1071" i="1"/>
  <c r="P1070" i="1"/>
  <c r="P1069" i="1"/>
  <c r="P1068" i="1" l="1"/>
  <c r="P1067" i="1"/>
  <c r="P1066" i="1"/>
  <c r="P1065" i="1"/>
  <c r="P1064" i="1" l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 l="1"/>
  <c r="P1050" i="1"/>
  <c r="P1049" i="1" l="1"/>
  <c r="P1048" i="1"/>
  <c r="P1047" i="1"/>
  <c r="P1046" i="1"/>
  <c r="P1045" i="1" l="1"/>
  <c r="P1044" i="1"/>
  <c r="P1043" i="1" l="1"/>
  <c r="P1042" i="1"/>
  <c r="P1041" i="1" l="1"/>
  <c r="P1040" i="1"/>
  <c r="P1039" i="1"/>
  <c r="P1038" i="1"/>
  <c r="P1037" i="1" l="1"/>
  <c r="P1036" i="1"/>
  <c r="P1035" i="1"/>
  <c r="P1034" i="1" l="1"/>
  <c r="P1033" i="1" l="1"/>
  <c r="P1032" i="1" l="1"/>
  <c r="P1031" i="1" l="1"/>
  <c r="P1030" i="1"/>
  <c r="P1029" i="1"/>
  <c r="P1028" i="1"/>
  <c r="P1027" i="1" l="1"/>
  <c r="P1026" i="1" l="1"/>
  <c r="P1025" i="1"/>
  <c r="P1024" i="1"/>
  <c r="P1023" i="1" l="1"/>
  <c r="P1022" i="1"/>
  <c r="P1021" i="1" l="1"/>
  <c r="P1020" i="1"/>
  <c r="P1019" i="1"/>
  <c r="P1018" i="1" l="1"/>
  <c r="P1017" i="1" l="1"/>
  <c r="P1016" i="1"/>
  <c r="P1015" i="1"/>
  <c r="P1014" i="1"/>
  <c r="P1013" i="1" l="1"/>
  <c r="P1012" i="1" l="1"/>
  <c r="P1011" i="1"/>
  <c r="P1010" i="1"/>
  <c r="P1009" i="1"/>
  <c r="P1008" i="1"/>
  <c r="P1007" i="1"/>
  <c r="P1006" i="1"/>
  <c r="P1005" i="1"/>
  <c r="P1004" i="1"/>
  <c r="P1003" i="1" l="1"/>
  <c r="P1002" i="1" l="1"/>
  <c r="P1001" i="1" l="1"/>
  <c r="P1000" i="1"/>
  <c r="P999" i="1" l="1"/>
  <c r="P998" i="1" l="1"/>
  <c r="P997" i="1"/>
  <c r="P996" i="1" l="1"/>
  <c r="P995" i="1"/>
  <c r="P994" i="1" l="1"/>
  <c r="P993" i="1"/>
  <c r="P992" i="1"/>
  <c r="P991" i="1" l="1"/>
  <c r="P990" i="1" l="1"/>
  <c r="P989" i="1" l="1"/>
  <c r="P988" i="1"/>
  <c r="P987" i="1"/>
  <c r="P986" i="1"/>
  <c r="P985" i="1"/>
  <c r="P984" i="1" l="1"/>
  <c r="P983" i="1"/>
  <c r="P982" i="1"/>
  <c r="P981" i="1"/>
  <c r="P980" i="1"/>
  <c r="P979" i="1"/>
  <c r="P978" i="1"/>
  <c r="P977" i="1" l="1"/>
  <c r="P976" i="1"/>
  <c r="P975" i="1"/>
  <c r="P974" i="1"/>
  <c r="P973" i="1" l="1"/>
  <c r="P972" i="1"/>
  <c r="P971" i="1"/>
  <c r="P970" i="1"/>
  <c r="P969" i="1"/>
  <c r="P968" i="1"/>
  <c r="P967" i="1"/>
  <c r="P965" i="1" l="1"/>
  <c r="P964" i="1"/>
  <c r="P963" i="1"/>
  <c r="P962" i="1"/>
  <c r="P961" i="1"/>
  <c r="P960" i="1"/>
  <c r="P959" i="1"/>
  <c r="P958" i="1"/>
  <c r="P957" i="1"/>
  <c r="P956" i="1" l="1"/>
  <c r="P955" i="1"/>
  <c r="P954" i="1"/>
  <c r="P953" i="1"/>
  <c r="P952" i="1"/>
  <c r="P951" i="1"/>
  <c r="P950" i="1"/>
  <c r="P949" i="1"/>
  <c r="P948" i="1" l="1"/>
  <c r="P947" i="1" l="1"/>
  <c r="P946" i="1"/>
  <c r="P945" i="1" l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 l="1"/>
  <c r="P919" i="1"/>
  <c r="P918" i="1" l="1"/>
  <c r="P917" i="1"/>
  <c r="P916" i="1"/>
  <c r="P915" i="1"/>
  <c r="P914" i="1"/>
  <c r="P913" i="1"/>
  <c r="P912" i="1"/>
  <c r="P911" i="1" l="1"/>
  <c r="P910" i="1" l="1"/>
  <c r="P909" i="1"/>
  <c r="P908" i="1"/>
  <c r="P907" i="1"/>
  <c r="P906" i="1"/>
  <c r="P905" i="1"/>
  <c r="P904" i="1" l="1"/>
  <c r="P903" i="1"/>
  <c r="P902" i="1"/>
  <c r="P901" i="1"/>
  <c r="P900" i="1"/>
  <c r="P899" i="1"/>
  <c r="P898" i="1"/>
  <c r="P897" i="1" l="1"/>
  <c r="P896" i="1" l="1"/>
  <c r="P895" i="1"/>
  <c r="P894" i="1"/>
  <c r="P893" i="1" l="1"/>
  <c r="P892" i="1" l="1"/>
  <c r="P891" i="1"/>
  <c r="P890" i="1"/>
  <c r="P889" i="1"/>
  <c r="P888" i="1"/>
  <c r="P887" i="1"/>
  <c r="P886" i="1"/>
  <c r="P885" i="1" l="1"/>
  <c r="P884" i="1" l="1"/>
  <c r="P883" i="1"/>
  <c r="P882" i="1"/>
  <c r="P881" i="1"/>
  <c r="P880" i="1"/>
  <c r="P879" i="1"/>
  <c r="P878" i="1" l="1"/>
  <c r="P877" i="1"/>
  <c r="P876" i="1"/>
  <c r="P875" i="1"/>
  <c r="P874" i="1"/>
  <c r="P873" i="1"/>
  <c r="P872" i="1"/>
  <c r="P867" i="1" l="1"/>
  <c r="P866" i="1"/>
  <c r="P871" i="1"/>
  <c r="P870" i="1"/>
  <c r="P869" i="1"/>
  <c r="P868" i="1"/>
  <c r="P865" i="1" l="1"/>
  <c r="P864" i="1"/>
  <c r="P863" i="1"/>
  <c r="P862" i="1" l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 l="1"/>
  <c r="P839" i="1" l="1"/>
  <c r="P838" i="1"/>
  <c r="P837" i="1"/>
  <c r="P836" i="1" l="1"/>
  <c r="P835" i="1"/>
  <c r="P834" i="1"/>
  <c r="P833" i="1"/>
  <c r="P832" i="1"/>
  <c r="P831" i="1"/>
  <c r="P830" i="1"/>
  <c r="P829" i="1" l="1"/>
  <c r="P828" i="1" l="1"/>
  <c r="P827" i="1"/>
  <c r="P826" i="1" l="1"/>
  <c r="P825" i="1"/>
  <c r="P824" i="1"/>
  <c r="P823" i="1"/>
  <c r="P822" i="1" l="1"/>
  <c r="P821" i="1"/>
  <c r="P820" i="1"/>
  <c r="P819" i="1"/>
  <c r="P818" i="1"/>
  <c r="P817" i="1" l="1"/>
  <c r="P816" i="1"/>
  <c r="P815" i="1"/>
  <c r="P814" i="1" l="1"/>
  <c r="P813" i="1" l="1"/>
  <c r="P812" i="1"/>
  <c r="P811" i="1"/>
  <c r="P810" i="1"/>
  <c r="P809" i="1"/>
  <c r="P808" i="1"/>
  <c r="P807" i="1"/>
  <c r="P806" i="1"/>
  <c r="P805" i="1"/>
  <c r="P804" i="1"/>
  <c r="P803" i="1"/>
  <c r="P802" i="1" l="1"/>
  <c r="P801" i="1" l="1"/>
  <c r="P800" i="1"/>
  <c r="P799" i="1"/>
  <c r="P798" i="1"/>
  <c r="P797" i="1"/>
  <c r="P796" i="1"/>
  <c r="P795" i="1" l="1"/>
  <c r="P794" i="1"/>
  <c r="P793" i="1"/>
  <c r="P792" i="1"/>
  <c r="P791" i="1"/>
  <c r="P790" i="1" l="1"/>
  <c r="P789" i="1" l="1"/>
  <c r="P788" i="1"/>
  <c r="P787" i="1"/>
  <c r="P786" i="1" l="1"/>
  <c r="P785" i="1" l="1"/>
  <c r="P784" i="1"/>
  <c r="P783" i="1"/>
  <c r="P782" i="1"/>
  <c r="P781" i="1"/>
  <c r="P780" i="1" l="1"/>
  <c r="P779" i="1"/>
  <c r="P778" i="1"/>
  <c r="P777" i="1"/>
  <c r="P776" i="1"/>
  <c r="P775" i="1"/>
  <c r="P774" i="1" l="1"/>
  <c r="P773" i="1"/>
  <c r="P772" i="1" l="1"/>
  <c r="P771" i="1"/>
  <c r="P770" i="1"/>
  <c r="P769" i="1"/>
  <c r="P768" i="1"/>
  <c r="P767" i="1"/>
  <c r="P766" i="1"/>
  <c r="P765" i="1"/>
  <c r="P764" i="1"/>
  <c r="P763" i="1"/>
  <c r="P762" i="1" l="1"/>
  <c r="P761" i="1"/>
  <c r="P760" i="1" l="1"/>
  <c r="P759" i="1"/>
  <c r="P758" i="1" l="1"/>
  <c r="P757" i="1" l="1"/>
  <c r="P756" i="1" l="1"/>
  <c r="P755" i="1" l="1"/>
  <c r="P754" i="1"/>
  <c r="P753" i="1"/>
  <c r="P752" i="1"/>
  <c r="P751" i="1"/>
  <c r="P750" i="1" l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 l="1"/>
  <c r="P736" i="1"/>
  <c r="P735" i="1" l="1"/>
  <c r="P734" i="1"/>
  <c r="P733" i="1"/>
  <c r="P732" i="1" l="1"/>
  <c r="P731" i="1" l="1"/>
  <c r="P730" i="1"/>
  <c r="P729" i="1"/>
  <c r="P728" i="1" l="1"/>
  <c r="P727" i="1" l="1"/>
  <c r="P726" i="1"/>
  <c r="P725" i="1"/>
  <c r="P724" i="1"/>
  <c r="P723" i="1"/>
  <c r="P722" i="1"/>
  <c r="P721" i="1"/>
  <c r="P720" i="1" l="1"/>
  <c r="P719" i="1"/>
  <c r="P718" i="1"/>
  <c r="P717" i="1"/>
  <c r="P716" i="1" l="1"/>
  <c r="P715" i="1"/>
  <c r="P714" i="1"/>
  <c r="P713" i="1"/>
  <c r="P712" i="1" l="1"/>
  <c r="P711" i="1"/>
  <c r="P710" i="1" l="1"/>
  <c r="P709" i="1" l="1"/>
  <c r="P708" i="1"/>
  <c r="P707" i="1"/>
  <c r="P706" i="1"/>
  <c r="P705" i="1" l="1"/>
  <c r="P704" i="1" l="1"/>
  <c r="P703" i="1"/>
  <c r="P702" i="1" l="1"/>
  <c r="P701" i="1" l="1"/>
  <c r="P700" i="1"/>
  <c r="P699" i="1" l="1"/>
  <c r="P698" i="1"/>
  <c r="P697" i="1" l="1"/>
  <c r="P696" i="1"/>
  <c r="P695" i="1"/>
  <c r="P694" i="1"/>
  <c r="P693" i="1"/>
  <c r="P692" i="1"/>
  <c r="P691" i="1" l="1"/>
  <c r="P690" i="1"/>
  <c r="P689" i="1"/>
  <c r="P688" i="1"/>
  <c r="P687" i="1"/>
  <c r="P686" i="1" l="1"/>
  <c r="P685" i="1"/>
  <c r="P684" i="1" l="1"/>
  <c r="P683" i="1"/>
  <c r="P682" i="1"/>
  <c r="P681" i="1"/>
  <c r="P680" i="1" l="1"/>
  <c r="P679" i="1"/>
  <c r="P678" i="1" l="1"/>
  <c r="P677" i="1" l="1"/>
  <c r="P676" i="1" l="1"/>
  <c r="P675" i="1"/>
  <c r="P674" i="1" l="1"/>
  <c r="P673" i="1" l="1"/>
  <c r="P672" i="1" l="1"/>
  <c r="P671" i="1"/>
  <c r="P670" i="1" l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 l="1"/>
  <c r="P649" i="1"/>
  <c r="P648" i="1"/>
  <c r="P647" i="1"/>
  <c r="P646" i="1" l="1"/>
  <c r="P645" i="1"/>
  <c r="P644" i="1"/>
  <c r="P643" i="1" l="1"/>
  <c r="P642" i="1"/>
  <c r="P641" i="1"/>
  <c r="P640" i="1"/>
  <c r="P639" i="1" l="1"/>
  <c r="P638" i="1" l="1"/>
  <c r="P637" i="1" l="1"/>
  <c r="P636" i="1"/>
  <c r="P635" i="1"/>
  <c r="P634" i="1"/>
  <c r="P633" i="1"/>
  <c r="P632" i="1" l="1"/>
  <c r="P631" i="1"/>
  <c r="P630" i="1"/>
  <c r="P629" i="1"/>
  <c r="P628" i="1" l="1"/>
  <c r="P627" i="1"/>
  <c r="P626" i="1" l="1"/>
  <c r="P625" i="1"/>
  <c r="P624" i="1"/>
  <c r="P623" i="1"/>
  <c r="P622" i="1"/>
  <c r="P621" i="1" l="1"/>
  <c r="P620" i="1"/>
  <c r="P619" i="1" l="1"/>
  <c r="P618" i="1" l="1"/>
  <c r="P617" i="1"/>
  <c r="P616" i="1"/>
  <c r="P615" i="1" l="1"/>
  <c r="P614" i="1" l="1"/>
  <c r="P613" i="1"/>
  <c r="P612" i="1" l="1"/>
  <c r="P611" i="1"/>
  <c r="P610" i="1" l="1"/>
  <c r="P609" i="1" l="1"/>
  <c r="P608" i="1" l="1"/>
  <c r="P607" i="1" l="1"/>
  <c r="P606" i="1"/>
  <c r="P605" i="1"/>
  <c r="P604" i="1"/>
  <c r="P603" i="1"/>
  <c r="P602" i="1"/>
  <c r="P601" i="1"/>
  <c r="P600" i="1"/>
  <c r="P599" i="1" l="1"/>
  <c r="P598" i="1"/>
  <c r="P597" i="1"/>
  <c r="P596" i="1" l="1"/>
  <c r="P595" i="1" l="1"/>
  <c r="P594" i="1"/>
  <c r="P593" i="1" l="1"/>
  <c r="P592" i="1" l="1"/>
  <c r="P591" i="1"/>
  <c r="P590" i="1" l="1"/>
  <c r="P589" i="1" l="1"/>
  <c r="P588" i="1"/>
  <c r="P587" i="1" l="1"/>
  <c r="P586" i="1" l="1"/>
  <c r="P585" i="1" l="1"/>
  <c r="P584" i="1"/>
  <c r="P583" i="1" l="1"/>
  <c r="P582" i="1"/>
  <c r="P581" i="1" l="1"/>
  <c r="P580" i="1"/>
  <c r="P579" i="1"/>
  <c r="P578" i="1"/>
  <c r="P577" i="1"/>
  <c r="P576" i="1"/>
  <c r="P575" i="1"/>
  <c r="P574" i="1" l="1"/>
  <c r="P573" i="1"/>
  <c r="P572" i="1"/>
  <c r="P571" i="1" l="1"/>
  <c r="P570" i="1" l="1"/>
  <c r="P569" i="1" l="1"/>
  <c r="P568" i="1" l="1"/>
  <c r="P567" i="1" l="1"/>
  <c r="P566" i="1" l="1"/>
  <c r="P565" i="1" l="1"/>
  <c r="P564" i="1"/>
  <c r="P563" i="1"/>
  <c r="P562" i="1"/>
  <c r="P561" i="1"/>
  <c r="P560" i="1" l="1"/>
  <c r="P559" i="1"/>
  <c r="P558" i="1" l="1"/>
  <c r="P557" i="1"/>
  <c r="P556" i="1" l="1"/>
  <c r="P555" i="1" l="1"/>
  <c r="P554" i="1" l="1"/>
  <c r="P553" i="1"/>
  <c r="P552" i="1"/>
  <c r="P551" i="1" l="1"/>
  <c r="P549" i="1" l="1"/>
  <c r="P548" i="1" l="1"/>
  <c r="P547" i="1"/>
  <c r="P546" i="1"/>
  <c r="P545" i="1" l="1"/>
  <c r="P544" i="1" l="1"/>
  <c r="P543" i="1" l="1"/>
  <c r="P542" i="1" l="1"/>
  <c r="P541" i="1"/>
  <c r="P540" i="1" l="1"/>
  <c r="P539" i="1"/>
  <c r="P538" i="1"/>
  <c r="P537" i="1"/>
  <c r="P536" i="1"/>
  <c r="P535" i="1" l="1"/>
  <c r="P534" i="1" l="1"/>
  <c r="P533" i="1" l="1"/>
  <c r="P532" i="1" l="1"/>
  <c r="P531" i="1"/>
  <c r="P530" i="1"/>
  <c r="P529" i="1"/>
  <c r="P528" i="1"/>
  <c r="P527" i="1"/>
  <c r="P526" i="1"/>
  <c r="P525" i="1"/>
  <c r="P524" i="1"/>
  <c r="P523" i="1" l="1"/>
  <c r="P522" i="1"/>
  <c r="P521" i="1"/>
  <c r="P520" i="1"/>
  <c r="P519" i="1"/>
  <c r="P518" i="1"/>
  <c r="P517" i="1" l="1"/>
  <c r="P516" i="1" l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 l="1"/>
  <c r="P500" i="1" l="1"/>
  <c r="P499" i="1" l="1"/>
  <c r="P498" i="1" l="1"/>
  <c r="P497" i="1"/>
  <c r="P496" i="1"/>
  <c r="P495" i="1" l="1"/>
  <c r="P494" i="1"/>
  <c r="P493" i="1"/>
  <c r="P492" i="1"/>
  <c r="P491" i="1" l="1"/>
  <c r="P490" i="1" l="1"/>
  <c r="P489" i="1"/>
  <c r="P488" i="1"/>
  <c r="P487" i="1"/>
  <c r="P486" i="1"/>
  <c r="P485" i="1"/>
  <c r="P484" i="1"/>
  <c r="P483" i="1" l="1"/>
  <c r="P482" i="1"/>
  <c r="P481" i="1"/>
  <c r="P480" i="1"/>
  <c r="P479" i="1" l="1"/>
  <c r="P478" i="1"/>
  <c r="P477" i="1" l="1"/>
  <c r="P476" i="1"/>
  <c r="P475" i="1" l="1"/>
  <c r="P474" i="1"/>
  <c r="P473" i="1"/>
  <c r="P472" i="1" l="1"/>
  <c r="P471" i="1"/>
  <c r="P470" i="1"/>
  <c r="P469" i="1"/>
  <c r="P468" i="1"/>
  <c r="P467" i="1"/>
  <c r="P466" i="1"/>
  <c r="P465" i="1" l="1"/>
  <c r="P464" i="1"/>
  <c r="P463" i="1" l="1"/>
  <c r="P462" i="1" l="1"/>
  <c r="P461" i="1"/>
  <c r="P460" i="1"/>
  <c r="P459" i="1"/>
  <c r="P458" i="1" l="1"/>
  <c r="P457" i="1" l="1"/>
  <c r="P456" i="1"/>
  <c r="P455" i="1" l="1"/>
  <c r="P454" i="1"/>
  <c r="P453" i="1" l="1"/>
  <c r="P452" i="1" l="1"/>
  <c r="P451" i="1"/>
  <c r="P450" i="1"/>
  <c r="P449" i="1"/>
  <c r="P448" i="1"/>
  <c r="P447" i="1"/>
  <c r="P446" i="1"/>
  <c r="P445" i="1" l="1"/>
  <c r="P444" i="1"/>
  <c r="P443" i="1"/>
  <c r="P442" i="1" l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 l="1"/>
  <c r="P425" i="1" l="1"/>
  <c r="P424" i="1"/>
  <c r="P423" i="1"/>
  <c r="P422" i="1" l="1"/>
  <c r="P421" i="1"/>
  <c r="P420" i="1"/>
  <c r="P419" i="1"/>
  <c r="P418" i="1" l="1"/>
  <c r="P417" i="1"/>
  <c r="P416" i="1"/>
  <c r="P415" i="1"/>
  <c r="P414" i="1"/>
  <c r="P413" i="1"/>
  <c r="P412" i="1"/>
  <c r="P411" i="1"/>
  <c r="P410" i="1"/>
  <c r="P409" i="1" l="1"/>
  <c r="P408" i="1"/>
  <c r="P407" i="1"/>
  <c r="P406" i="1" l="1"/>
  <c r="P405" i="1"/>
  <c r="P404" i="1"/>
  <c r="P403" i="1"/>
  <c r="P402" i="1"/>
  <c r="P401" i="1"/>
  <c r="P400" i="1"/>
  <c r="P399" i="1" l="1"/>
  <c r="P398" i="1"/>
  <c r="P397" i="1"/>
  <c r="P396" i="1"/>
  <c r="P395" i="1"/>
  <c r="P394" i="1"/>
  <c r="P393" i="1"/>
  <c r="P392" i="1" l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 l="1"/>
  <c r="P365" i="1"/>
  <c r="P364" i="1"/>
  <c r="P363" i="1"/>
  <c r="P362" i="1"/>
  <c r="P361" i="1" l="1"/>
  <c r="P360" i="1"/>
  <c r="P359" i="1"/>
  <c r="P358" i="1"/>
  <c r="P357" i="1"/>
  <c r="P356" i="1"/>
  <c r="P355" i="1"/>
  <c r="P354" i="1"/>
  <c r="P353" i="1"/>
  <c r="P352" i="1"/>
  <c r="P351" i="1" l="1"/>
  <c r="P350" i="1" l="1"/>
  <c r="P349" i="1"/>
  <c r="P348" i="1"/>
  <c r="P347" i="1"/>
  <c r="P346" i="1"/>
  <c r="P345" i="1"/>
  <c r="P344" i="1"/>
  <c r="P343" i="1"/>
  <c r="P342" i="1" l="1"/>
  <c r="P341" i="1"/>
  <c r="P340" i="1"/>
  <c r="P339" i="1"/>
  <c r="P338" i="1" l="1"/>
  <c r="P337" i="1" l="1"/>
  <c r="P336" i="1"/>
  <c r="P335" i="1"/>
  <c r="P334" i="1"/>
  <c r="P333" i="1"/>
  <c r="P332" i="1"/>
  <c r="P331" i="1" l="1"/>
  <c r="P330" i="1"/>
  <c r="P329" i="1"/>
  <c r="P328" i="1"/>
  <c r="P327" i="1" l="1"/>
  <c r="P326" i="1"/>
  <c r="P325" i="1"/>
  <c r="P324" i="1"/>
  <c r="P323" i="1"/>
  <c r="P322" i="1"/>
  <c r="P321" i="1"/>
  <c r="P320" i="1"/>
  <c r="P319" i="1"/>
  <c r="P318" i="1"/>
  <c r="P317" i="1"/>
  <c r="P316" i="1" l="1"/>
  <c r="P315" i="1"/>
  <c r="P314" i="1"/>
  <c r="P313" i="1" l="1"/>
  <c r="P312" i="1"/>
  <c r="P311" i="1" l="1"/>
  <c r="P310" i="1"/>
  <c r="P309" i="1"/>
  <c r="P308" i="1" l="1"/>
  <c r="P307" i="1"/>
  <c r="P306" i="1"/>
  <c r="P305" i="1"/>
  <c r="P304" i="1"/>
  <c r="P303" i="1"/>
  <c r="P302" i="1"/>
  <c r="P301" i="1"/>
  <c r="P300" i="1" l="1"/>
  <c r="P299" i="1"/>
  <c r="P298" i="1"/>
  <c r="P297" i="1"/>
  <c r="P296" i="1"/>
  <c r="P295" i="1"/>
  <c r="P294" i="1"/>
  <c r="P293" i="1"/>
  <c r="P292" i="1"/>
  <c r="P291" i="1"/>
  <c r="P290" i="1"/>
  <c r="P289" i="1"/>
  <c r="P288" i="1" l="1"/>
  <c r="P287" i="1"/>
  <c r="P286" i="1"/>
  <c r="P285" i="1" l="1"/>
  <c r="P284" i="1"/>
  <c r="P283" i="1"/>
  <c r="P282" i="1"/>
  <c r="P281" i="1"/>
  <c r="P280" i="1"/>
  <c r="P279" i="1"/>
  <c r="P278" i="1"/>
  <c r="P277" i="1" l="1"/>
  <c r="P276" i="1"/>
  <c r="P275" i="1"/>
  <c r="P274" i="1"/>
  <c r="P273" i="1" l="1"/>
  <c r="P272" i="1" l="1"/>
  <c r="P271" i="1"/>
  <c r="P270" i="1" l="1"/>
  <c r="P269" i="1"/>
  <c r="P268" i="1"/>
  <c r="P267" i="1" l="1"/>
  <c r="P266" i="1" l="1"/>
  <c r="P265" i="1" l="1"/>
  <c r="P264" i="1"/>
  <c r="P263" i="1" l="1"/>
  <c r="P262" i="1"/>
  <c r="P261" i="1"/>
  <c r="P260" i="1"/>
  <c r="P259" i="1" l="1"/>
  <c r="P257" i="1" l="1"/>
  <c r="P258" i="1"/>
  <c r="P255" i="1" l="1"/>
  <c r="P254" i="1"/>
  <c r="P253" i="1"/>
  <c r="P252" i="1"/>
  <c r="P251" i="1" l="1"/>
  <c r="P250" i="1"/>
  <c r="P249" i="1"/>
  <c r="P248" i="1"/>
  <c r="P247" i="1"/>
  <c r="P246" i="1"/>
  <c r="P245" i="1"/>
  <c r="P244" i="1" l="1"/>
  <c r="P243" i="1"/>
  <c r="Q230" i="1" l="1"/>
  <c r="P241" i="1"/>
  <c r="J241" i="1"/>
  <c r="P240" i="1"/>
  <c r="P239" i="1"/>
  <c r="P238" i="1"/>
  <c r="P237" i="1"/>
  <c r="P236" i="1"/>
  <c r="M242" i="1"/>
  <c r="K242" i="1"/>
  <c r="J242" i="1"/>
  <c r="H242" i="1"/>
  <c r="P242" i="1"/>
  <c r="P235" i="1" l="1"/>
  <c r="P234" i="1"/>
  <c r="P233" i="1"/>
  <c r="P232" i="1"/>
  <c r="P231" i="1"/>
  <c r="P230" i="1" l="1"/>
  <c r="P229" i="1"/>
  <c r="P228" i="1"/>
  <c r="P227" i="1"/>
  <c r="P226" i="1"/>
  <c r="P225" i="1"/>
  <c r="P224" i="1"/>
  <c r="P223" i="1"/>
  <c r="P222" i="1"/>
  <c r="P221" i="1"/>
  <c r="P220" i="1"/>
  <c r="S212" i="1" l="1"/>
  <c r="S211" i="1"/>
  <c r="S210" i="1"/>
  <c r="S209" i="1"/>
  <c r="S206" i="1"/>
  <c r="S205" i="1"/>
  <c r="Q212" i="1"/>
  <c r="Q211" i="1"/>
  <c r="Q210" i="1"/>
  <c r="Q209" i="1"/>
  <c r="Q206" i="1"/>
  <c r="Q205" i="1"/>
  <c r="P217" i="1"/>
  <c r="P216" i="1"/>
  <c r="P219" i="1"/>
  <c r="P218" i="1"/>
  <c r="P215" i="1"/>
  <c r="P214" i="1"/>
  <c r="P213" i="1"/>
  <c r="P212" i="1"/>
  <c r="P211" i="1"/>
  <c r="P210" i="1"/>
  <c r="P209" i="1"/>
  <c r="P208" i="1"/>
  <c r="P207" i="1"/>
  <c r="P206" i="1"/>
  <c r="P205" i="1"/>
  <c r="P204" i="1" l="1"/>
  <c r="P203" i="1"/>
  <c r="P202" i="1"/>
  <c r="P201" i="1"/>
  <c r="P200" i="1"/>
  <c r="P199" i="1"/>
  <c r="S198" i="1" l="1"/>
  <c r="Q198" i="1"/>
  <c r="S197" i="1"/>
  <c r="Q197" i="1"/>
  <c r="M198" i="1"/>
  <c r="K198" i="1"/>
  <c r="M197" i="1"/>
  <c r="K197" i="1"/>
  <c r="J198" i="1"/>
  <c r="J197" i="1"/>
  <c r="H198" i="1"/>
  <c r="H197" i="1"/>
  <c r="P198" i="1"/>
  <c r="P197" i="1"/>
  <c r="P196" i="1" l="1"/>
  <c r="P195" i="1"/>
  <c r="P194" i="1"/>
  <c r="P193" i="1"/>
  <c r="P192" i="1"/>
  <c r="P191" i="1"/>
  <c r="P190" i="1"/>
  <c r="P189" i="1"/>
  <c r="P188" i="1"/>
  <c r="S174" i="1" l="1"/>
  <c r="P187" i="1" l="1"/>
  <c r="P186" i="1"/>
  <c r="P185" i="1"/>
  <c r="P184" i="1"/>
  <c r="P183" i="1"/>
  <c r="P182" i="1"/>
  <c r="P181" i="1"/>
  <c r="P180" i="1"/>
  <c r="P179" i="1"/>
  <c r="P177" i="1" l="1"/>
  <c r="P176" i="1"/>
  <c r="P175" i="1"/>
  <c r="Q160" i="1" l="1"/>
  <c r="S160" i="1"/>
  <c r="M174" i="1"/>
  <c r="S173" i="1"/>
  <c r="Q173" i="1"/>
  <c r="S172" i="1"/>
  <c r="Q172" i="1"/>
  <c r="M173" i="1"/>
  <c r="K173" i="1"/>
  <c r="M172" i="1"/>
  <c r="K172" i="1"/>
  <c r="H173" i="1"/>
  <c r="H172" i="1"/>
  <c r="J174" i="1"/>
  <c r="J173" i="1"/>
  <c r="J172" i="1"/>
  <c r="P174" i="1"/>
  <c r="P173" i="1"/>
  <c r="P172" i="1"/>
  <c r="S154" i="1" l="1"/>
  <c r="S123" i="1" l="1"/>
  <c r="P171" i="1" l="1"/>
  <c r="P170" i="1"/>
  <c r="P169" i="1"/>
  <c r="P168" i="1"/>
  <c r="P167" i="1"/>
  <c r="P166" i="1"/>
  <c r="P165" i="1"/>
  <c r="P164" i="1"/>
  <c r="P163" i="1"/>
  <c r="P162" i="1"/>
  <c r="P161" i="1"/>
  <c r="M160" i="1" l="1"/>
  <c r="K160" i="1"/>
  <c r="J160" i="1"/>
  <c r="H160" i="1"/>
  <c r="P72" i="1" l="1"/>
  <c r="P61" i="1"/>
  <c r="P154" i="1"/>
  <c r="P153" i="1"/>
  <c r="P151" i="1"/>
  <c r="P150" i="1"/>
  <c r="P149" i="1"/>
  <c r="P152" i="1"/>
  <c r="P148" i="1"/>
  <c r="P147" i="1"/>
  <c r="P159" i="1"/>
  <c r="P158" i="1"/>
  <c r="P157" i="1"/>
  <c r="P156" i="1"/>
  <c r="P155" i="1"/>
  <c r="S104" i="1" l="1"/>
  <c r="P146" i="1" l="1"/>
  <c r="P145" i="1"/>
  <c r="P144" i="1"/>
  <c r="P143" i="1"/>
  <c r="P142" i="1"/>
  <c r="P141" i="1"/>
  <c r="P140" i="1"/>
  <c r="M130" i="1" l="1"/>
  <c r="K130" i="1"/>
  <c r="J130" i="1"/>
  <c r="H130" i="1"/>
  <c r="Q130" i="1"/>
  <c r="S130" i="1"/>
  <c r="S139" i="1" l="1"/>
  <c r="Q139" i="1"/>
  <c r="M139" i="1"/>
  <c r="K139" i="1"/>
  <c r="H139" i="1"/>
  <c r="J139" i="1"/>
  <c r="P138" i="1" l="1"/>
  <c r="P137" i="1"/>
  <c r="P136" i="1"/>
  <c r="P135" i="1"/>
  <c r="P134" i="1"/>
  <c r="P133" i="1"/>
  <c r="P132" i="1"/>
  <c r="P131" i="1"/>
  <c r="S129" i="1" l="1"/>
  <c r="Q129" i="1"/>
  <c r="M129" i="1"/>
  <c r="K129" i="1"/>
  <c r="J129" i="1"/>
  <c r="H129" i="1"/>
  <c r="M128" i="1"/>
  <c r="K128" i="1"/>
  <c r="H128" i="1"/>
  <c r="J128" i="1"/>
  <c r="Q128" i="1"/>
  <c r="S128" i="1"/>
  <c r="P127" i="1" l="1"/>
  <c r="P126" i="1"/>
  <c r="P125" i="1"/>
  <c r="P124" i="1" l="1"/>
  <c r="P123" i="1"/>
  <c r="P122" i="1"/>
  <c r="P121" i="1"/>
  <c r="P120" i="1"/>
  <c r="P119" i="1"/>
  <c r="P118" i="1"/>
  <c r="P117" i="1"/>
  <c r="P116" i="1"/>
  <c r="P115" i="1"/>
  <c r="Q108" i="1"/>
  <c r="S108" i="1"/>
  <c r="M104" i="1"/>
  <c r="M103" i="1"/>
  <c r="S102" i="1"/>
  <c r="M102" i="1"/>
  <c r="P86" i="1"/>
  <c r="Q85" i="1"/>
  <c r="S85" i="1"/>
  <c r="Q84" i="1"/>
  <c r="S84" i="1"/>
  <c r="Q83" i="1"/>
  <c r="S83" i="1"/>
  <c r="Q82" i="1"/>
  <c r="S82" i="1"/>
  <c r="Q81" i="1"/>
  <c r="S81" i="1"/>
  <c r="P81" i="1"/>
  <c r="Q80" i="1"/>
  <c r="S80" i="1"/>
  <c r="Q79" i="1"/>
  <c r="S79" i="1"/>
  <c r="Q78" i="1"/>
  <c r="S78" i="1"/>
  <c r="Q77" i="1"/>
  <c r="S77" i="1"/>
  <c r="Q76" i="1"/>
  <c r="S76" i="1"/>
  <c r="P76" i="1"/>
  <c r="Q75" i="1"/>
  <c r="S75" i="1"/>
  <c r="Q74" i="1"/>
  <c r="P75" i="1"/>
  <c r="S74" i="1"/>
  <c r="Q73" i="1"/>
  <c r="S73" i="1"/>
  <c r="Q72" i="1"/>
  <c r="S72" i="1"/>
  <c r="Q71" i="1"/>
  <c r="S71" i="1"/>
  <c r="Q70" i="1"/>
  <c r="S70" i="1"/>
  <c r="P70" i="1"/>
  <c r="Q69" i="1"/>
  <c r="S69" i="1"/>
  <c r="Q68" i="1"/>
  <c r="S68" i="1"/>
  <c r="Q67" i="1"/>
  <c r="S67" i="1"/>
  <c r="S66" i="1" l="1"/>
  <c r="M66" i="1"/>
  <c r="S65" i="1"/>
  <c r="M65" i="1"/>
  <c r="S64" i="1"/>
  <c r="Q64" i="1"/>
  <c r="S63" i="1"/>
  <c r="Q63" i="1"/>
  <c r="S62" i="1"/>
  <c r="Q62" i="1"/>
  <c r="P62" i="1"/>
  <c r="S61" i="1"/>
  <c r="Q61" i="1"/>
  <c r="S60" i="1"/>
  <c r="Q60" i="1"/>
  <c r="S59" i="1"/>
  <c r="Q59" i="1"/>
  <c r="Q58" i="1"/>
  <c r="S58" i="1"/>
  <c r="M57" i="1"/>
  <c r="S56" i="1"/>
  <c r="M56" i="1"/>
  <c r="S55" i="1"/>
  <c r="P107" i="1" l="1"/>
  <c r="P114" i="1"/>
  <c r="P113" i="1"/>
  <c r="P112" i="1"/>
  <c r="P111" i="1"/>
  <c r="P110" i="1"/>
  <c r="P109" i="1"/>
  <c r="P108" i="1"/>
  <c r="M108" i="1"/>
  <c r="J108" i="1"/>
  <c r="S53" i="1" l="1"/>
  <c r="S41" i="1" l="1"/>
  <c r="M49" i="1"/>
  <c r="K49" i="1"/>
  <c r="H49" i="1"/>
  <c r="S28" i="1"/>
  <c r="Q28" i="1"/>
  <c r="M28" i="1"/>
  <c r="K28" i="1"/>
  <c r="H28" i="1"/>
  <c r="J28" i="1"/>
  <c r="S27" i="1"/>
  <c r="Q27" i="1"/>
  <c r="M27" i="1"/>
  <c r="K27" i="1"/>
  <c r="H27" i="1"/>
  <c r="J2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5" i="1"/>
  <c r="P84" i="1"/>
  <c r="P83" i="1"/>
  <c r="P82" i="1"/>
  <c r="P80" i="1"/>
  <c r="P79" i="1"/>
  <c r="P78" i="1"/>
  <c r="P77" i="1"/>
  <c r="P74" i="1"/>
  <c r="P73" i="1"/>
  <c r="P71" i="1"/>
  <c r="P69" i="1"/>
  <c r="P68" i="1"/>
  <c r="P67" i="1"/>
  <c r="P66" i="1"/>
  <c r="P65" i="1"/>
  <c r="P64" i="1"/>
  <c r="P63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S26" i="1"/>
  <c r="P26" i="1"/>
  <c r="M26" i="1"/>
  <c r="K26" i="1"/>
  <c r="J26" i="1"/>
  <c r="M25" i="1"/>
  <c r="K25" i="1"/>
  <c r="J25" i="1"/>
  <c r="S24" i="1"/>
  <c r="P24" i="1"/>
  <c r="M24" i="1"/>
  <c r="K24" i="1"/>
  <c r="J24" i="1"/>
  <c r="S23" i="1"/>
  <c r="S22" i="1"/>
  <c r="S21" i="1"/>
  <c r="S20" i="1"/>
  <c r="Q23" i="1"/>
  <c r="Q22" i="1"/>
  <c r="Q21" i="1"/>
  <c r="Q20" i="1"/>
  <c r="M23" i="1"/>
  <c r="M22" i="1"/>
  <c r="M21" i="1"/>
  <c r="M20" i="1"/>
  <c r="K23" i="1"/>
  <c r="K22" i="1"/>
  <c r="K21" i="1"/>
  <c r="K20" i="1"/>
  <c r="J23" i="1"/>
  <c r="J22" i="1"/>
  <c r="J21" i="1"/>
  <c r="J20" i="1"/>
  <c r="H23" i="1"/>
  <c r="H22" i="1"/>
  <c r="H21" i="1"/>
  <c r="H20" i="1"/>
  <c r="P23" i="1"/>
  <c r="P22" i="1"/>
  <c r="P21" i="1"/>
  <c r="P20" i="1"/>
  <c r="S19" i="1"/>
  <c r="Q19" i="1"/>
  <c r="P19" i="1"/>
  <c r="M19" i="1"/>
  <c r="K19" i="1"/>
  <c r="J19" i="1"/>
  <c r="H19" i="1"/>
  <c r="S18" i="1"/>
  <c r="Q18" i="1"/>
  <c r="P18" i="1"/>
  <c r="M18" i="1"/>
  <c r="K18" i="1"/>
  <c r="J18" i="1"/>
  <c r="H18" i="1"/>
  <c r="Q5" i="1" l="1"/>
  <c r="S5" i="1"/>
  <c r="S7" i="1" l="1"/>
  <c r="S14" i="1" l="1"/>
  <c r="Q14" i="1"/>
  <c r="S10" i="1"/>
  <c r="Q10" i="1"/>
  <c r="S9" i="1"/>
  <c r="Q9" i="1"/>
  <c r="M10" i="1"/>
  <c r="J10" i="1"/>
  <c r="M9" i="1"/>
  <c r="J9" i="1"/>
  <c r="S13" i="1"/>
  <c r="Q13" i="1"/>
  <c r="S16" i="1"/>
  <c r="M16" i="1"/>
  <c r="J16" i="1"/>
  <c r="S15" i="1"/>
  <c r="Q15" i="1"/>
  <c r="M15" i="1"/>
  <c r="K15" i="1"/>
  <c r="J15" i="1"/>
  <c r="H15" i="1"/>
  <c r="M14" i="1" l="1"/>
  <c r="K14" i="1"/>
  <c r="J14" i="1"/>
  <c r="H14" i="1"/>
  <c r="Q7" i="1" l="1"/>
  <c r="S6" i="1"/>
  <c r="Q6" i="1"/>
  <c r="M13" i="1" l="1"/>
  <c r="K13" i="1"/>
  <c r="J13" i="1"/>
  <c r="H13" i="1"/>
  <c r="S12" i="1" l="1"/>
  <c r="Q12" i="1"/>
  <c r="M12" i="1"/>
  <c r="K12" i="1"/>
  <c r="J12" i="1"/>
  <c r="H12" i="1"/>
  <c r="S11" i="1"/>
  <c r="Q11" i="1"/>
  <c r="M11" i="1"/>
  <c r="K11" i="1"/>
  <c r="J11" i="1"/>
  <c r="H11" i="1"/>
  <c r="M8" i="1"/>
  <c r="K8" i="1"/>
  <c r="S8" i="1"/>
  <c r="Q8" i="1"/>
  <c r="J8" i="1"/>
  <c r="H8" i="1"/>
  <c r="M7" i="1"/>
  <c r="J7" i="1"/>
  <c r="M5" i="1"/>
  <c r="J5" i="1"/>
  <c r="M6" i="1" l="1"/>
  <c r="J6" i="1"/>
</calcChain>
</file>

<file path=xl/sharedStrings.xml><?xml version="1.0" encoding="utf-8"?>
<sst xmlns="http://schemas.openxmlformats.org/spreadsheetml/2006/main" count="9071" uniqueCount="2707">
  <si>
    <t>Вид предмета
закупівлі
(товари/роботи/
послуги)</t>
  </si>
  <si>
    <t>№ з/п</t>
  </si>
  <si>
    <t>Опис технічних
характеристик
предмета закупівлі
(для обладнання та
матеріалів)</t>
  </si>
  <si>
    <t>Найменування
виробничої програми,
згідно з якою
проводиться закупівля
(інвестиційна програма,
ремонтна програма,
заходи з приєднання)</t>
  </si>
  <si>
    <t>Найменування заходу
виробничої
програми</t>
  </si>
  <si>
    <t>Одиниця
виміру</t>
  </si>
  <si>
    <t>Заплановано згідно з планом
фінансування відповідної
виробничої програми</t>
  </si>
  <si>
    <t xml:space="preserve">
Найменування ОСР у тендерній документації</t>
  </si>
  <si>
    <t>питома
вартість,
тис. грн
без ПДВ</t>
  </si>
  <si>
    <t>кількість</t>
  </si>
  <si>
    <t>вартість,
тис. грн
без ПДВ</t>
  </si>
  <si>
    <t>Гіперпосилання на
відповідну
закупівлю</t>
  </si>
  <si>
    <t>Дата
оприлюднення
оголошення про
проведення
закупівлі</t>
  </si>
  <si>
    <t>Ідентифікатор закупівлі
/частин предмета
закупівлі (лотів)</t>
  </si>
  <si>
    <t>Вартість, що визначена у тендерній
пропозиції переможця процедури
закупівлі, з яким ОСР має намір
укласти договір про закупівлю</t>
  </si>
  <si>
    <t>загальна
вартість,
тис. грн
без ПДВ</t>
  </si>
  <si>
    <t>Дата укладення
договору про
закупівлю з
переможцем</t>
  </si>
  <si>
    <t>Інформація щодо
відміни
закупівлі,
причини її
відміни</t>
  </si>
  <si>
    <t>Примітки</t>
  </si>
  <si>
    <t>Реєстр інформації про проведені закупівлі товарів, робіт та послуг</t>
  </si>
  <si>
    <t>Заходи з приєднання</t>
  </si>
  <si>
    <t>Товари</t>
  </si>
  <si>
    <t xml:space="preserve"> Затискачі </t>
  </si>
  <si>
    <t>АВ, рубильники, шини, запобіжники</t>
  </si>
  <si>
    <t>шт.</t>
  </si>
  <si>
    <t>од.</t>
  </si>
  <si>
    <t>https://zakupki.prom.ua/gov/tenders/UA-2022-11-08-012151-a/lot-9ee039b896a54960858560f927dd3687</t>
  </si>
  <si>
    <t>UA-2022-11-08-012151-a</t>
  </si>
  <si>
    <t>UA-2022-11-10-012027-a</t>
  </si>
  <si>
    <t>Найменування
предмета
закупівлі( Код ДК)</t>
  </si>
  <si>
    <t>31220000-4 Елементи електричних схем</t>
  </si>
  <si>
    <t xml:space="preserve"> 31210000-1 Електрична апаратура для комутування та захисту електричних кіл</t>
  </si>
  <si>
    <t>31170000-8 Трансформатори</t>
  </si>
  <si>
    <t>Трансформатори</t>
  </si>
  <si>
    <t>https://zakupki.prom.ua/gov/tenders/UA-2022-11-04-012540-a/lot-ae7e951f2ab7477ca49e276698923693</t>
  </si>
  <si>
    <t>UA-2022-11-04-012540-a</t>
  </si>
  <si>
    <t>44210000-5 Конструкції та їх частини</t>
  </si>
  <si>
    <t>М/конструкції, траверси,хомути, кронштейни</t>
  </si>
  <si>
    <t>https://zakupki.prom.ua/gov/tenders/UA-2022-11-08-011601-a/lot-f6efe23c19344ddc8d8a5822f34ca2fc</t>
  </si>
  <si>
    <t>UA-2022-11-08-011601-a</t>
  </si>
  <si>
    <t>Роботи</t>
  </si>
  <si>
    <t>45310000-3 Електромонтажні роботи</t>
  </si>
  <si>
    <t>Будівництво ПЛ-10-кВ оп.№411 Л-201 ПС «Первозванівка»-35/10кВ для зовнішнього електропостачання комплексу будівель (кафе), гр. Грушевський О. П. по вул. Бобринецьке шосе, буд. 1 в с. Первозванівка Кропивницького району</t>
  </si>
  <si>
    <t>роб.</t>
  </si>
  <si>
    <t>https://zakupki.prom.ua/gov/tenders/UA-2022-11-09-012276-a</t>
  </si>
  <si>
    <t>UA-2022-11-09-012276-a</t>
  </si>
  <si>
    <t>Будівництво КЛ-0,4 кВ А-20 ТП-222 для зовнішнього електропостачання житлового багатоквартирного будинку ПП «Астарта Груп» по вул. Рівненській, 7 в м. Кропивницький</t>
  </si>
  <si>
    <t>https://zakupki.prom.ua/gov/tenders/UA-2022-11-14-010662-a</t>
  </si>
  <si>
    <t>UA-2022-11-14-010662-a</t>
  </si>
  <si>
    <t>Будівництво 2КЛ-0,4 кВ ЗТП-33 для зовнішнього електропостачання житлового будинку ОСББ "Павлова 6" по вул. Павлова, буд.6 в м. Світловодськ</t>
  </si>
  <si>
    <t>https://zakupki.prom.ua/gov/tenders/UA-2022-11-14-013851-a</t>
  </si>
  <si>
    <t>UA-2022-11-14-013851-a</t>
  </si>
  <si>
    <t>Будівництво комплектної блочно-модульної трансформаторної підстанції типу 2БКТП(б)-10/0,4 кВ з кабельними вводами та кабельними виходами прохідного типу з двома трансформаторами типу ТМГ-400/10 У1-Е зі схемою з’єднання обмоток "трикутник-зірка-0" для зовнішнього електропостачання закладу ресторанного господарства (закусочної) з літнім майданчиком та допоміжною будівлею з можливістю обслуговування відвідувачів на автомобілях ТОВ "УКРСФЕРА" по вул. Преображенська в м. Кропивницький із матеріалів та обладнання підрядника (ІІ черга)</t>
  </si>
  <si>
    <t>https://zakupki.prom.ua/gov/tenders/UA-2022-11-16-006956-a/lot-e5efd7136220411b8d2af786a0f55946</t>
  </si>
  <si>
    <t>UA-2022-11-16-006956-a</t>
  </si>
  <si>
    <t>Будівництво КЛ-10 кВ ТП-757 – ТП-826 в смт. Нове м. Кропивницький для зовнішнього електропостачання комплексу будівель ТОВ «АВ ІНВЕСТ ГРУП» по вул. Мурманська, 43 із матеріалів та обладнання підрядника</t>
  </si>
  <si>
    <t>https://zakupki.prom.ua/gov/tenders/UA-2022-11-17-006126-a</t>
  </si>
  <si>
    <t>UA-2022-11-17-006126-a</t>
  </si>
  <si>
    <t>Детально викладено в Додатку №2 до ТД</t>
  </si>
  <si>
    <t>Допорогова закупівля (без застосування ЕСЗ)</t>
  </si>
  <si>
    <t>Будівництво КЛ-10кВ до ТП-825 для зовнішнього електропостачання закладу ресторанного господарства (закусочної) з літнім майданчиком та допоміжною будівлею з можливістю обслуговування відвідувачів на автомобілях по вул. Преображенська кад.№ 3510100000:29:275:0007 в м. Кропивницький</t>
  </si>
  <si>
    <t>https://zakupki.prom.ua/gov/tenders/UA-2022-11-17-012395-a</t>
  </si>
  <si>
    <t>UA-2022-11-17-012395-a</t>
  </si>
  <si>
    <t>Конструкції та їх частини</t>
  </si>
  <si>
    <t>https://zakupki.prom.ua/gov/tenders/UA-2022-11-23-004191-a</t>
  </si>
  <si>
    <t>UA-2022-11-23-004191-a</t>
  </si>
  <si>
    <t>https://zakupki.prom.ua/gov/tenders/UA-2022-11-10-012027-a/lot-27d3e88358ac4dacaa9e6a5bedcc6f6a</t>
  </si>
  <si>
    <t>https://zakupki.prom.ua/gov/tenders/UA-2022-11-10-012027-a/lot-626beb3cc1624e79b6b15d716e2ee75b</t>
  </si>
  <si>
    <t>Блок ФСБ 24-4-6</t>
  </si>
  <si>
    <t>Будівництво КТП-826 для зовнішнього електропостачання комплексу будівель ТОВ "АВ ІНВЕСТ ГРУП" по вул. Мурманська, 43 в смт. Нове в м. Кропивницький</t>
  </si>
  <si>
    <t>https://zakupki.prom.ua/gov/tenders/UA-2022-12-08-017620-a</t>
  </si>
  <si>
    <t>UA-2022-12-08-017620-a</t>
  </si>
  <si>
    <t>Ремонт КЛ-0,4 кВ від ТП-420 РБ-13 до житлового будинку по вул. Пашутіна, 12 в м. Кропивницький Кіровоградської області. Додаткові роботи</t>
  </si>
  <si>
    <t>45453000-7 Капітальний ремонт і реставрація</t>
  </si>
  <si>
    <t>https://zakupki.prom.ua/gov/tenders/UA-2022-12-21-012032-a</t>
  </si>
  <si>
    <t>Ремонтна програма</t>
  </si>
  <si>
    <t>Капітальний ремонт будівлі ОПУ П/СТ «Жилселище» Східно-об’їздне шосе, 2 м. Долинська Кіровоградська обл.</t>
  </si>
  <si>
    <t>https://zakupki.prom.ua/gov/tenders/UA-2022-12-26-003873-a</t>
  </si>
  <si>
    <t>Капітальний ремонт будівлі  ЗТП-1142 (Улаштування покрівлі з металопрофілю) по пр.Соборний, м. Олександрія     Кіровоградської обл.</t>
  </si>
  <si>
    <t>Капітальний ремонт будівлі ЗТП-1033 (Улаштування покрівлі з металопрофілю) по вул.Перспективна, м. Олександрія Кіровоградської обл.</t>
  </si>
  <si>
    <t>Капітальний ремонт будівлі  ЗТП-1042 (Улаштування покрівлі з металопрофілю) по пр.Соборний, м. Олександрія     Кіровоградської обл.</t>
  </si>
  <si>
    <t>Капітальний ремонт будівлі  ЗТП-1187 (Улаштування покрівлі з металопрофілю) по вул.6-го Грудня, м. Олександрія Кіровоградської обл</t>
  </si>
  <si>
    <t>https://zakupki.prom.ua/gov/tenders/UA-2023-01-17-001178-a</t>
  </si>
  <si>
    <t>https://zakupki.prom.ua/gov/tenders/UA-2023-01-17-001173-a</t>
  </si>
  <si>
    <t>https://zakupki.prom.ua/gov/tenders/UA-2023-01-17-001062-a</t>
  </si>
  <si>
    <t>https://zakupki.prom.ua/gov/tenders/UA-2023-01-17-001056-a</t>
  </si>
  <si>
    <t>Придбання автомобіля JAC T8 з кунгом, або аналог (ІП 2022 п. 6.6)</t>
  </si>
  <si>
    <t>34130000-7 Мототранспортні вантажні засоби</t>
  </si>
  <si>
    <t>Інвестиційна програма</t>
  </si>
  <si>
    <t>https://zakupki.prom.ua/gov/tenders/UA-2023-01-25-000806-a/lot-8aadf7a695434b4192cf5430a97899f1</t>
  </si>
  <si>
    <t>Конструкції та їх частини до пункту 1.10. Інвестиційної програми 2022: Нове будівництво реклоузерів для секціонування мереж 6-10 кВ (або еквівалент)</t>
  </si>
  <si>
    <t>https://zakupki.prom.ua/gov/tenders/UA-2023-02-01-009698-a</t>
  </si>
  <si>
    <t>UA-2023-02-01-009698-a</t>
  </si>
  <si>
    <t>закупівля не відбулась у  зв'язку з відсутністю учасників</t>
  </si>
  <si>
    <t>Елементи електричних схем до пункту 1.10.  Інвестиційної програми 2022: Нове  будівництво реклоузерів для секціонування  мереж 6-10 кВ  (або еквівалент)</t>
  </si>
  <si>
    <t>https://zakupki.prom.ua/gov/tenders/UA-2023-02-01-009402-a/lot-cdc0f5a6dac2418db68318cb50f81b7a</t>
  </si>
  <si>
    <t>Реконструкція КЛ-0,4 кВ РБ-14 ЗТП-394 для зовнішнього електропостачання 1/2 частини нежитлової будівлі гр. Вдовиченко І.І. по вул. Пацаєва, буд.6 в м. Кропивницький</t>
  </si>
  <si>
    <t>Технічне переоснащення   КЛ-10 кВ „ТП-417 – ТП-402”, яка проходять в зоні забудови гр. Дяченко О.С. по вул. Ю. Коваленка, біля буд. № 9 в м. Кропивницький</t>
  </si>
  <si>
    <t>Будівництво ПЛІ-0,4 кВ Л-30 оп.4-12/5 ТП-680 для зовнішнього електропостачання комплексу будівель (адмінбудівля), Обласне комунальне виробниче підприємство «Дніпро-Кіровоград» по вул. Соборна, 19-А в м. Кропивницький</t>
  </si>
  <si>
    <t>Будівництво КЛ-0,4 кВ А-40 ТП-541 для зовнішнього електропостачання магазину ТОВ "АТБ-МАРКЕТ" по вул. Космонавта Попова, 9-г в м. Кропивницький</t>
  </si>
  <si>
    <t>Будівництво КЛ-0,4 кВ А-30 оп.1 ТП-680 для зовнішнього електропостачання комплексу будівель (адмінбудівля), Обласне комунальне виробниче підприємство «Дніпро-Кіровоград» по вул. Соборна, 19-А в м. Кропивницький</t>
  </si>
  <si>
    <t>Будівництво КЛ-0,4кВ від ЗТП-1056 для зовнішнього електропостачання групи нежитлових приміщень №2 гр. Коржинська К.М. по просп. Соборний, буд.100-а в м. Олександрія</t>
  </si>
  <si>
    <t>Капітальний ремонт будівлі ЗТП-137Г по вул. Привокзальній, м. Знам'янка Кіровоградської області (Улаштування покрівлі з металопрофілю)</t>
  </si>
  <si>
    <t>Капітальний ремонт будівлі ЗТП-195Г по вул.Віктора Голого, 122Т, м. Знам'янка Кіровоградської області (Улаштування покрівлі з металопрофілю)</t>
  </si>
  <si>
    <t>Капітальний ремонт будівлі ЗТП-114Г по вул. Олени Теліги, м. Знам'янка Кіровоградської області (Улаштування покрівлі з металопрофілю)</t>
  </si>
  <si>
    <t>Капітальний ремонт будівлі ЗТП-318 по вул. Юрія Коваленка, м. Кропивницький (улаштування покрівлі з металопрофілю, посилення стін мет.конструкцією, мет.двері)</t>
  </si>
  <si>
    <t>Придбання модуля ТС-485 (Інвестиційна програма 2023 п. 2.4.2, 2.6, 2.7.4) (або еквівалент).</t>
  </si>
  <si>
    <t>Конструкційні матеріали до пункту 1.10. Інвестиційної програми 2022: Нове будівництво реклоузерів для секціонування мереж 6-10 кВ (або еквівалент)</t>
  </si>
  <si>
    <t>Будівництво ЛЕП-0,4 кВ від ТП-118 для зовнішнього електропостачання комплексу будівель, Кіровоградський обласний територіальний центр комплектування та соціальної підтримки по вул. Кавалерійська, буд.17/19 в м. Кропивницький</t>
  </si>
  <si>
    <t xml:space="preserve">Придбанння ліцензій на продукти Microsoft (п.4.1 Інвестиційної програми 2023 року) </t>
  </si>
  <si>
    <t>Придбання УКХ радіостанцій діапазону частот 400-440 МГц та 167 МГц або еквівалент (пункт Інвестиційної Програми 5.1)</t>
  </si>
  <si>
    <t>Придбання модуля ТС-485, або аналог (Інвестиційна програма 2022 п. 2.9.8)</t>
  </si>
  <si>
    <t>Придбання автопідйомника COMET 14-COMET 19 на шасі зі здвоєною кабіною, 4x2 або аналог (Інвестиційна програма 2022 року пункт 6.5) (або еквівалент)</t>
  </si>
  <si>
    <t>Мережеве обладнання (Інвестиційна програма 2022, п. 4.5)</t>
  </si>
  <si>
    <t>Трансформатори (Інвестиційна програма 2022 п.2.6.9, 2.6.10, 2.9.4, 2.9.5, 2.9.6, 2.9.7, 2.11.1, 2.11.2, 2.11.3) (або еквівалент)</t>
  </si>
  <si>
    <t>Придбання автомобіля JAC N56 Double Cab фургон, або еквівалент (пункт Інвестиційної Програми 6.4)</t>
  </si>
  <si>
    <t>Придбання комплекту засобів для бригад по обслуговуванню обладнання підстанцій 35кВ (СП) (п.7.4 ІП 2023р.) (або еквівалент).</t>
  </si>
  <si>
    <t>Персональний нагрудний відіореєстратор Х5В (ІП 2023 п.2.8.3) (або еквівалент)</t>
  </si>
  <si>
    <t>Нове будівництво АСДУ Світловодського РЕМ (11 ПС-35кВ, 3 ПС-150кВ, 6 ЦРП) (пункт 3.2 Інвестиційної Програми 2023)</t>
  </si>
  <si>
    <t>Придбання пресу гідравлічного електромонтажного ПГа-100 із комплектом матриць та гідравлічною насосною станцією ДПС 08Р2Э5 (або еквівалент) до пункту 7.11 Інвестиційної програми 2023</t>
  </si>
  <si>
    <t>Аналізатори якості, вимірювач СА540 (п.7.1;7.2;7.3 ІП 2023р.) (або еквівалент)</t>
  </si>
  <si>
    <t>Придбання модуля ТС-485, або аналог (Інвестиційна програма 2022 п. 2.9.8).</t>
  </si>
  <si>
    <t>Садова техніка різна (ІП 2023 п. 7.6-7.10) (або еквівалент)</t>
  </si>
  <si>
    <t>Реконструкція ПЛ-0,4 кВ від ЗТП-1174 в м. Олександрія Кіровоградської області (Олександрійський РЕМ) (пункт 1.3.5 Інвестиційної Програми 2023)</t>
  </si>
  <si>
    <t>Реконструкція (заміна непридатних до подальшої експлуатації) КЛ-6 кВ від ПС "Водовод" до ЦРП-3 Ф-13, Ф-19 м. Світловодськ Кіровоградської області (Світловодський РЕМ) (пункт 1.2.4 Інвестиційної Програми 2023)</t>
  </si>
  <si>
    <t>Реконструкція ПЛ-0,4 кВ від ЗТП-1034 в м. Олександрія Кіровоградської області (Олександрійський РЕМ) (пункт 1.3.2 Інвестиційної Програми 2023)</t>
  </si>
  <si>
    <t>Реконструкція ПЛ-0,4 кВ від КТП-1417 в м. Олександрія Кіровоградської області (Олександрійський РЕМ) (пункт 1.3.6 Інвестиційної Програми 2023)</t>
  </si>
  <si>
    <t>Реконструкція ПЛ-0,4 кВ від ЗТП-1045 в м. Олександрія Кіровоградської області (Олександрійський РЕМ) (пункт 1.3.3 Інвестиційної Програми 2023)</t>
  </si>
  <si>
    <t>Реконструкція ПЛ-0,4 кВ від ЗТП-1084 в м. Олександрія Кіровоградської області (Олександрійський РЕМ) (пункт 1.3.4 Інвестиційної Програми 2023)</t>
  </si>
  <si>
    <t>Реконструкція ПЛ-0,4 кВ від ЗТП-1008 в м. Олександрія Кіровоградської області (Олександрійський РЕМ) (пункт 1.3.1 Інвестиційної Програми 2023)</t>
  </si>
  <si>
    <t>Придбання панорамного протигазу з фільтруючим картриджем " (пункт 7.21 інвестиційної програми 2023р.) (або еквівалент)</t>
  </si>
  <si>
    <t>Струмовимірні кліщі APPA sFlex 18D (ІП 2023 п. 2.8.1) (або еквівалент)</t>
  </si>
  <si>
    <t>Встановлення однофазних шаф обліку, підрядним способом (матеріали підрядника, крім лічильників) (пункт 2.2 Інвестиційної Програми 2023). (п.2.2.1 1-ф шафа з комплектуючими (улаштування відгалуження за допомогою гаку)</t>
  </si>
  <si>
    <t>Придбання реєстратору аварійних процесів типу “РЕКОН-07БС” для ПС-150кВ "Новоархангельська"(п.3.4 ІП 2023р.) (або еквівалент).</t>
  </si>
  <si>
    <t>Придбання ліцензій на продукти Eset (антивірусний захист) (пункт 4.2 Інвестиційної програми 2023р.) (або еквівалент)</t>
  </si>
  <si>
    <t>Реконструкція ПС-35 кВ "Хмельове" в частині заміни масляних вимикачів 35 кВ в комплекті з пристроями РЗА в с. Хмельове, Новоукраїнського району, Кіровоградської області (пункт 1.11 Інвестиційної Програми 2023)</t>
  </si>
  <si>
    <t>Реконструкція ПС-35 кВ "Велика Виска" в частині заміни масляних вимикачів 35 кВ в комплекті з пристроями РЗА в с. Велика Виска, Новоукраїнського району, Кіровоградської області (пункт 1.10 Інвестиційної Програми 2023)</t>
  </si>
  <si>
    <t>Реконструкція ПС-35 кВ "Гайворонська ГЕС" в частині заміни масляних вимикачів 35 кВ в комплекті з пристроями РЗА в м. Гайворон Голованівського району Кіровоградської області (пункт 1.9 Інвестиційної Програми 2023)</t>
  </si>
  <si>
    <t>Реконструкція ПЛ-10 кВ Л-1122 в с. Павлівка Олександрійського району Кіровоградської області (Світловодський РЕМ) (пункт 1.1.4 Інвестиційної Програми 2023)</t>
  </si>
  <si>
    <t>Реконструкція ПС-150 кВ “Центральна” в частині заміни реакторів 10 кВ в м. Кропивницький, Кіровоградської області (коригування) 
(пункт 1.8 Інвестиційної Програми 2023)</t>
  </si>
  <si>
    <t>Реконструкція релейних захистів ПЛ-150 кВ Л26К, Л27К на ПС 150/35/10кВ "Новоукраїнка" в м. Новоукраїнка Новоукраїнського району (пункт 1.7 Інвестиційної Програми 2023)</t>
  </si>
  <si>
    <t>Реконструкція ПЛ-10 кВ Л-116 в с. Краснопілка, с. Лозоватка Новоукраїнського району Кіровоградської області (Маловисківський РЕМ) (пункт 1.1.3 Інвестиційної Програми 2023)</t>
  </si>
  <si>
    <t>Реконструкція КЛ-0,4 кВ від ЗТП-1159 до житлових будинків по вул. 6-го Грудня 135, 137, 139А в м. Олександрія Кіровоградської області (Олександрійський РЕМ) (пункт 1.4.10 Інвестиційної Програми 2023)</t>
  </si>
  <si>
    <t>Реконструкція КЛ-0,4 кВ від ТП-26 до житлових будинків по вул. Бойка Вадима, 2Б (РБ-3), вул. Бойка Вадима, 4 (РБ-2, 12), вул. Бойка Вадима, 25 (РБ-6), вул. Бойка Вадима, 27 (РБ-17) в м. Світловодськ (Світловодський РЕМ) (пункт 1.4.18 Інвестиційної Програми 2023)</t>
  </si>
  <si>
    <t>Реконструкція КЛ-0,4 кВ від ТП-19 до житлових будинків по вул. Чорноморівська, 13 (РБ-1), вул. Чорноморівська, 7 (РБ-2), пров. Нагірний, 3 (РБ-3), вул. Чорноморівська, 5А (РБ-7) в м. Світловодськ (Світловодський РЕМ) (пункт 1.4.17 Інвестиційної Програми 2023)</t>
  </si>
  <si>
    <t>Реконструкція ПЛ-10 кВ Л-145 в Новоукраїнському районі Кіровоградської області (Добровеличківський РЕМ) (пункт 1.1.2 Інвестиційної Програми 2023)</t>
  </si>
  <si>
    <t>Реконструкція ЗРУ-10 кВ ПС-150/35/10 кВ "Бобринець ", м. Бобринець, Кропивницький район, Кіровоградська область (пункт 1.6 Інвестиційної Програми 2023)</t>
  </si>
  <si>
    <t>Реконструкція ПЛ-10 кВ Л-132 в с. Липняжка Новоукраїнського району Кіровоградської області (Добровеличківський РЕМ) (пункт 1.1.1 Інвестиційної Програми 2023)</t>
  </si>
  <si>
    <t>Реконструкція КЛ-0,4 кВ від ТП-17 до житлових будинків по вул. Чорноморівська, 13 (РБ-3), вул. Чорноморська, 5А (РБ-6), вул. Бойка Вадима, 2Б (РБ-7), пров. Нагірний, 3 (РБ-8), вул. Бойка Вадима, 2А (РБ-9) в м. Світловодськ (Світловодський РЕМ) (пункт 1.4.16 Інвестиційної Програми 2023)</t>
  </si>
  <si>
    <t>Реконструкція КЛ-0,4 кВ від ЗТП-1111 (РБ-19, РБ-1) до житлових будинків по вул. Садова 39, 41, 58 в м. Олександрія Кіровоградської області (Олександрійський РЕМ) (пункт 1.4.9 Інвестиційної Програми 2023)</t>
  </si>
  <si>
    <t>Реконструкція КЛ-0,4кВ від ТП-1108 до житлового будинку по вул. Першотравнева, 55 в м. Олександрія Кіровоградської області (Олександрійський РЕМ) (пункт 1.4.8 Інвестиційної Програми 2023)</t>
  </si>
  <si>
    <t>Реконструкція кабельної вставки ПЛ-10кВ Л-120 ПС-150/35/10 кВ від ПС "Новоукраїнка" між оп.№35/1-№36/1 (кабельна вставка під залізницею) в м. Новоукраїнка (Новоукраїнський РЕМ) (пункт 1.2.3 Інвестиційної Програми 2023)</t>
  </si>
  <si>
    <t>Реконструкція КЛ-0,4 кВ від ЗТП-1163 до будинків по вул. Г. Сталінграда 23А, 27 в м. Олександрія Кіровоградської області (Олександрійський РЕМ) (пункт 1.4.11 Інвестиційної Програми 2023)</t>
  </si>
  <si>
    <t>Реконструкція КЛ-0,4 кВ від ЗТП-1060 до житлових будинків на пл. Покровська 1, 3, 5, 7 в м. Олександрія Кіровоградської області (Олександрійський РЕМ)  (пункт 1.4.6 Інвестиційної Програми 2023)</t>
  </si>
  <si>
    <t>Реконструкція КЛ-0,4 кВ від ТП-11 до житлових будинків по вул. Лисенка Миколи, 6 (РБ-1), вул. Лисенка Миколи, 4а (РБ-10) в м. Світловодськ (Світловодський РЕМ) (пункт 1.4.14 Інвестиційної Програми 2023)</t>
  </si>
  <si>
    <t>Реконструкція КЛ-0,4 кВ від ТП-13 до житлового будинку по вул. Приморська, 26 (А-1) в м. Світловодськ (Світловодський РЕМ) (пункт 1.4.15 Інвестиційної Програми 2023)</t>
  </si>
  <si>
    <t>Реконструкція КЛ-0,4 кВ від ТП-196 до ж/б за адресою вул. Трудова, 7 в м. Знам’янка Кропивницького району Кіровоградської області (Коригування) (Знам’янський РЕМ)  (пункт 1.4.1 Інвестиційної Програми 2023)</t>
  </si>
  <si>
    <t>Реконструкція КЛ-0,4кВ від ТП-1042 до житлових будинків по вул. Г. Усика, 40,42 в м. Олександрія Кіровоградської області (Олександрійський РЕМ) (пункт 1.4.5 Інвестиційної Програми 2023)</t>
  </si>
  <si>
    <t>Реконструкція КЛ-0,4 кВ від ТП-9 до житлових будинків по вул. Бойка Вадима, 25 (РБ-3, 6), вул. Бойка Вадима, 27 (РБ-2, 17) в м. Світловодськ (Світловодський РЕМ) (пункт 1.4.12 Інвестиційної Програми 2023)</t>
  </si>
  <si>
    <t>Реконструкція (заміна) КЛ-10 кВ перехід під залізницею Л-163 оп. №209-210 в с. Прищепівка Новомиргородського району Кіровоградської області (Новомиргородський РЕМ) (пункт 1.2.1 Інвестиційної Програми 2023)</t>
  </si>
  <si>
    <t>Реконструкція КЛ-0,4 кВ від ЗТП-1048 до житлового будинку по вул. Софіївська 8 в м. Олександрія Кіровоградської області (Олександрійський РЕМ)  (пункт 1.4.7 Інвестиційної Програми 2023)</t>
  </si>
  <si>
    <t>Реконструкція КЛ-0,4 кВ від ЗТП-1117 до житлового будинку по вул. Миру, 40, з переключенням на ЗТП-1155 в м. Олександрія Кіровоградської області (Олександрійський РЕМ) (пункт 1.4.2 Інвестиційної Програми 2023)</t>
  </si>
  <si>
    <t>Реконструкція КЛ-0,4кВ від ТП-10 до житлових будинків по вул. Героїв України, 19 (РБ-1), вул. Бойка Вадима, 5 (РБ-2) в м. Світловодськ (Світловодський РЕМ) (пункт 1.4.13 Інвестиційної Програми 2023)</t>
  </si>
  <si>
    <t>Реконструкція КЛ-0,4 кВ від ЗТП-1040 до житлових будинків по пр. Соборний 61 та вул. Діброви 39 в м. Олександрія Кіровоградської області (Олександрійський РЕМ) (пункт 1.4.4 Інвестиційної Програми 2023)</t>
  </si>
  <si>
    <t>Реконструкція кабельної вставки ПЛ-10 кВ Л-118 від ПС-150/35/10 кВ "Новоукраїнська" між оп. №34 - №35 (кабельна вставка під залізницею) в м. Новоукраїнка (Новоукраїнський РЕМ) (пункт 1.2.2 ІП 2023)</t>
  </si>
  <si>
    <t>Реконструкція КЛ-0,4 кВ від ЗТП-1006 до житлових будинків по вул. Чижевського 3, 5 в м. Олександрія Кіровоградської області (Олександрійський РЕМ) (пункт 1.4.3 Інвестиційної Програми 2023)</t>
  </si>
  <si>
    <t>Капітальний ремонт обладнання ПС 150/35/10 кВ Бобринець в частині заміни трансформаторів струму 150 кВ</t>
  </si>
  <si>
    <t>Трансформатори струму (пункти 2.1.5. 2.7.2. 2.7.3. та 2.9.1. 2.9.2. 2.9.3. 2.9.4 2.9.5 Інвестиційної програми 2023р.) (або еквівалент)</t>
  </si>
  <si>
    <t>Придбання переносного приладу Е-125 "Гармоніка-М"  для визначення місць замикання на землю ПЛ 6-35кВ, або аналог до пункту 7.13 Інвестиційної програми 2023</t>
  </si>
  <si>
    <t>Придбання вимірювача опору заземлюючого пристрою С.А 6472 (або еквівалент) до пункту 7.12 Інвестиційної програми 2023</t>
  </si>
  <si>
    <t>32410000-0 Локальні мережі</t>
  </si>
  <si>
    <t>44110000-4 Конструкційні матеріали</t>
  </si>
  <si>
    <t>48770000-6 Пакети службового програмного забезпечення загального призначення, для стиснення даних та друку</t>
  </si>
  <si>
    <t>38340000-0 Прилади для вимірювання величин</t>
  </si>
  <si>
    <t>32230000-4 Апаратура для передавання радіосигналу з приймальним пристроєм</t>
  </si>
  <si>
    <t>32420000-3 Мережеве обладнання</t>
  </si>
  <si>
    <t>38550000-5 Лічильники</t>
  </si>
  <si>
    <t>44510000-8 Знаряддя</t>
  </si>
  <si>
    <t>32330000-5 Апаратура для запису та відтворення аудіо- та відеоматеріалу</t>
  </si>
  <si>
    <t>42630000-1 Металообробні верстати</t>
  </si>
  <si>
    <t>16160000-4 Садова техніка різна</t>
  </si>
  <si>
    <t>35810000-5 Індивідуальне обмундирування</t>
  </si>
  <si>
    <t>31640000-4 Машини та апарати спеціального призначення</t>
  </si>
  <si>
    <t>48330000-0 Пакети програмного забезпечення для планування часу та офісного програмного забезпечення</t>
  </si>
  <si>
    <t>роботи</t>
  </si>
  <si>
    <t>штуки</t>
  </si>
  <si>
    <t>одиниця</t>
  </si>
  <si>
    <t>комплект</t>
  </si>
  <si>
    <t>Прилади для вимірювання величин (Інвестиційна програма 2022 п.7.6; 7.7)</t>
  </si>
  <si>
    <t>Лічильники (Інвестиційна програма 2022) (або еквівалент)</t>
  </si>
  <si>
    <t>Трансформатори (Інвестиційна програма 2022 п.2.6.9, 2.6.10, 2.9.4, 2.9.5, 2.9.6, 2.9.7, 2.11.1, 2.11.2, 2.11.3)
(або еквівалент)</t>
  </si>
  <si>
    <t>Скасована</t>
  </si>
  <si>
    <t>ЛОТ1. Встановлення однофазних шаф обліку, підрядним способом (матеріали підрядника, крім лічильників) (Інвестиційна програма 2022 року пункт 2.2). ЛОТ2. Винесення приладів обліку в спеціальний ящик ЩРЖУ, підрядним способом, крім лічильників (Інвестиційна програма 2022 року пункт 2.3)</t>
  </si>
  <si>
    <t>Встановлення однофазних шаф обліку, підрядним способом (матеріали підрядника, крім лічильників) (пункт 2.2 Інвестиційної Програми 2023). (п.2.2.1 1-ф шафа з комплектуючими (улаштування відгалуження за допомогою гаку) ЛОТ1,2</t>
  </si>
  <si>
    <t>https://zakupki.prom.ua/gov/tenders/UA-2023-02-08-015986-a</t>
  </si>
  <si>
    <t>https://zakupki.prom.ua/gov/tenders/UA-2023-02-13-012766-a</t>
  </si>
  <si>
    <t>https://zakupki.prom.ua/gov/tenders/UA-2023-02-15-004269-a</t>
  </si>
  <si>
    <t>https://zakupki.prom.ua/gov/tenders/UA-2023-02-15-004026-a</t>
  </si>
  <si>
    <t>https://zakupki.prom.ua/gov/tenders/UA-2023-02-15-003851-a</t>
  </si>
  <si>
    <t>https://zakupki.prom.ua/gov/tenders/UA-2023-02-16-004517-a</t>
  </si>
  <si>
    <t>https://zakupki.prom.ua/gov/tenders/UA-2023-02-20-013513-a</t>
  </si>
  <si>
    <t>https://zakupki.prom.ua/gov/tenders/UA-2023-02-20-013352-a</t>
  </si>
  <si>
    <t>https://zakupki.prom.ua/gov/tenders/UA-2023-02-20-013114-a</t>
  </si>
  <si>
    <t>https://zakupki.prom.ua/gov/tenders/UA-2023-02-20-013068-a</t>
  </si>
  <si>
    <t>https://zakupki.prom.ua/gov/tenders/UA-2023-02-22-011861-a/lot-d7a0185df6804d63930b70d492a10077</t>
  </si>
  <si>
    <t>https://zakupki.prom.ua/gov/tenders/UA-2023-02-24-003521-a/lot-70199d51c2624e4ead41842be2f5db6a</t>
  </si>
  <si>
    <t>https://zakupki.prom.ua/gov/tenders/UA-2023-02-27-009421-a</t>
  </si>
  <si>
    <t>https://zakupki.prom.ua/gov/tenders/UA-2023-03-02-011561-a</t>
  </si>
  <si>
    <t>https://zakupki.prom.ua/gov/tenders/UA-2023-03-02-010020-a</t>
  </si>
  <si>
    <t>https://zakupki.prom.ua/gov/tenders/UA-2023-03-02-009549-a/lot-cb15bab4ebe645cd8f89487db3b632bc</t>
  </si>
  <si>
    <t>https://zakupki.prom.ua/gov/tenders/UA-2023-03-02-009369-a/lot-78babed45489468387c6b0be896d083e</t>
  </si>
  <si>
    <t>https://zakupki.prom.ua/gov/tenders/UA-2023-03-02-008908-a/lot-738e2b54f77f4b5c87911d7f7077a53d</t>
  </si>
  <si>
    <t>https://zakupki.prom.ua/gov/tenders/UA-2023-03-02-008797-a/lot-186b009304544482bba39a1a656b22d4</t>
  </si>
  <si>
    <t>https://zakupki.prom.ua/gov/tenders/UA-2023-03-02-008425-a</t>
  </si>
  <si>
    <t>https://zakupki.prom.ua/gov/tenders/UA-2023-03-02-008423-a</t>
  </si>
  <si>
    <t>скорочення витрат на здійснення закупівлі товарів, робіт і послуг</t>
  </si>
  <si>
    <t>https://zakupki.prom.ua/gov/tenders/UA-2023-03-02-007860-a/lot-32c67e1aa21a4982b1b485adc399887b</t>
  </si>
  <si>
    <t>https://zakupki.prom.ua/gov/tenders/UA-2023-03-03-009686-a</t>
  </si>
  <si>
    <t>ЛОТ1 - 7379,774175 ЛОТ2 - 7559,932608</t>
  </si>
  <si>
    <t>https://zakupki.prom.ua/gov/tenders/UA-2023-03-03-001590-a</t>
  </si>
  <si>
    <t>https://zakupki.prom.ua/gov/tenders/UA-2023-03-06-002683-a/lot-97a8eaf3dee4408cb373ee5cc7f07bc8</t>
  </si>
  <si>
    <t>https://zakupki.prom.ua/gov/tenders/UA-2023-03-06-002508-a/lot-3558d587b1464bd3885519cb1ca25bb7</t>
  </si>
  <si>
    <t>https://zakupki.prom.ua/gov/tenders/UA-2023-03-06-002447-a/lot-3a8d621a9b3540369fac9ecbfa26297d</t>
  </si>
  <si>
    <t>https://zakupki.prom.ua/gov/tenders/UA-2023-03-06-002433-a/lot-5fe42ead7fb142018db2387de04aa587</t>
  </si>
  <si>
    <t>Капітальний ремонт ЗТП-1048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</si>
  <si>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ЗТП-141 по вулиці О. Паршутіна 1-п, м. Кропивницький (фасад, мет. двері)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</si>
  <si>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ЗТП-1054 (Улаштування покрівлі з металопрофілю, вимощення) по пр.Соборний, м. Олександрія     Кіровоградської обл.  (Закупівля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1178.)</t>
  </si>
  <si>
    <t>Капітальний ремонт будівлі ЗТП-39 по вулиці А. Тарковського 67-п, м. Кропивницький (посилення стін мет.конструкцією, мет. двері)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</si>
  <si>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 ЗТП-1127 (Улаштування покрівлі з металопрофілю) по вул.Ватутіна, м. Олександрія     Кіровоградської обл. (Закупівля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1178.)</t>
  </si>
  <si>
    <t>Капітальний ремонт будівлі ЗТП-138 р-н Балашовки м. Кропивницький (посилення стін мет.конструкцією)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</si>
  <si>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ЗТП-1053 (Улаштування покрівлі з металопрофілю) по вул.Червоностудентська, м. Олександрія,  Кіровоградської обл.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1178.</t>
  </si>
  <si>
    <t>https://zakupki.prom.ua/gov/tenders/UA-2023-03-10-004740-a/lot-5d3dbfbba3384c6386ec2677a6465703</t>
  </si>
  <si>
    <t>https://zakupki.prom.ua/gov/tenders/UA-2023-03-10-003712-a/lot-2fc16a5621d1407d99408bfe1387c23f</t>
  </si>
  <si>
    <t>https://zakupki.prom.ua/gov/tenders/UA-2023-03-10-000555-a/lot-cd85c8f4588b4591bc93310fe1e7fe1b</t>
  </si>
  <si>
    <t>https://zakupki.prom.ua/gov/tenders/UA-2023-03-10-000312-a/lot-689cc8606a08419eb717148a960b8e1c</t>
  </si>
  <si>
    <t>https://zakupki.prom.ua/gov/tenders/UA-2023-03-10-000295-a/lot-02b958a89c154bf1b3160cc4bb435f6b</t>
  </si>
  <si>
    <t>https://zakupki.prom.ua/gov/tenders/UA-2023-03-10-000274-a/lot-2a6059df3f9b4417abd02ce9ebfd6dfb</t>
  </si>
  <si>
    <t>https://zakupki.prom.ua/gov/tenders/UA-2023-03-10-000247-a/lot-79af372a59d24d9887d5cf71602197f7</t>
  </si>
  <si>
    <t>https://zakupki.prom.ua/gov/tenders/UA-2023-03-10-000208-a/lot-c0b445f55d8d492b972836ceed1cf50c</t>
  </si>
  <si>
    <t>https://zakupki.prom.ua/gov/tenders/UA-2023-03-10-000196-a/lot-e70ea0f5de5048daa8bb8709b9d66874</t>
  </si>
  <si>
    <t>https://zakupki.prom.ua/gov/tenders/UA-2023-03-10-000148-a/lot-a85007dba86c422192a47483f5ef0ac1</t>
  </si>
  <si>
    <t>https://zakupki.prom.ua/gov/tenders/UA-2023-03-13-007155-a/lot-3220eefb7f524789bc2c6212011a0f6b</t>
  </si>
  <si>
    <t>https://zakupki.prom.ua/gov/tenders/UA-2023-03-13-003744-a/lot-865c51a7193d4c57a6434433e696cf65</t>
  </si>
  <si>
    <t>https://zakupki.prom.ua/gov/tenders/UA-2023-03-14-007942-a</t>
  </si>
  <si>
    <t>https://zakupki.prom.ua/gov/tenders/UA-2023-03-14-001150-a/lot-58c7f0424cf244059dfabb02f3fe5c97</t>
  </si>
  <si>
    <t>https://zakupki.prom.ua/gov/tenders/UA-2023-03-14-000978-a/lot-9b0d240801f2413e8585340420e28304</t>
  </si>
  <si>
    <t>https://zakupki.prom.ua/gov/tenders/UA-2023-03-15-010399-a/lot-f58568e690d642f59d278c4589415449</t>
  </si>
  <si>
    <t>https://zakupki.prom.ua/gov/tenders/UA-2023-03-15-009913-a/lot-269f00fd99a34af28eaf6b998301eff5</t>
  </si>
  <si>
    <t>https://zakupki.prom.ua/gov/tenders/UA-2023-03-15-009047-a/lot-6407ad5214e54946b7fa3611aa0d223a</t>
  </si>
  <si>
    <t>https://zakupki.prom.ua/gov/tenders/UA-2023-03-15-007635-a/lot-9472c9640321404dbb064380085b89c8</t>
  </si>
  <si>
    <t>https://zakupki.prom.ua/gov/tenders/UA-2023-03-15-007484-a/lot-edc6c3a5c9f143a0941996a3cc36cef8</t>
  </si>
  <si>
    <t>https://zakupki.prom.ua/gov/tenders/UA-2023-03-15-007191-a/lot-4989704647284c6a92bafc66d29718dc</t>
  </si>
  <si>
    <t>https://zakupki.prom.ua/gov/tenders/UA-2023-03-15-007154-a/lot-728a008a4f31405da1143481774a265a</t>
  </si>
  <si>
    <t>https://zakupki.prom.ua/gov/tenders/UA-2023-03-15-006954-a/lot-683afe1461a84b26be1201764cc9ff2f</t>
  </si>
  <si>
    <t>https://zakupki.prom.ua/gov/tenders/UA-2023-03-15-006780-a/lot-fbe52bc4cc5a469ead68c9f1a58a023a</t>
  </si>
  <si>
    <t>https://zakupki.prom.ua/gov/tenders/UA-2023-03-15-006678-a/lot-13fdfafb466f4b3ab8b0755fc20fad63</t>
  </si>
  <si>
    <t>https://zakupki.prom.ua/gov/tenders/UA-2023-03-15-006643-a/lot-180bdd35deb848879dd33002934b78b7</t>
  </si>
  <si>
    <t>https://zakupki.prom.ua/gov/tenders/UA-2023-03-15-006562-a/lot-0df6e11bb770462db58865984ae4609f</t>
  </si>
  <si>
    <t>https://zakupki.prom.ua/gov/tenders/UA-2023-03-15-006488-a/lot-6a799d9d8e5f4b49912b88d0dc720b49</t>
  </si>
  <si>
    <t>https://zakupki.prom.ua/gov/tenders/UA-2023-03-15-006405-a/lot-ccd85ecace464658af4a09c2c26c7d48</t>
  </si>
  <si>
    <t>https://zakupki.prom.ua/gov/tenders/UA-2023-03-15-006274-a/lot-975a984689b744c18a585f60a5bdb3a8</t>
  </si>
  <si>
    <t>https://zakupki.prom.ua/gov/tenders/UA-2023-03-20-011139-a</t>
  </si>
  <si>
    <t>https://zakupki.prom.ua/gov/tenders/UA-2023-03-20-010821-a</t>
  </si>
  <si>
    <t>https://zakupki.prom.ua/gov/tenders/UA-2023-03-20-010690-a</t>
  </si>
  <si>
    <t>https://zakupki.prom.ua/gov/tenders/UA-2023-03-20-010574-a</t>
  </si>
  <si>
    <t>https://zakupki.prom.ua/gov/tenders/UA-2023-03-20-010476-a</t>
  </si>
  <si>
    <t>https://zakupki.prom.ua/gov/tenders/UA-2023-03-20-010412-a</t>
  </si>
  <si>
    <t>https://zakupki.prom.ua/gov/tenders/UA-2023-03-20-010365-a</t>
  </si>
  <si>
    <t>https://zakupki.prom.ua/gov/tenders/UA-2023-03-20-010348-a</t>
  </si>
  <si>
    <t>https://zakupki.prom.ua/gov/tenders/UA-2023-03-20-010273-a</t>
  </si>
  <si>
    <t>https://zakupki.prom.ua/gov/tenders/UA-2023-03-20-010255-a</t>
  </si>
  <si>
    <t>https://zakupki.prom.ua/gov/tenders/UA-2023-03-20-010178-a</t>
  </si>
  <si>
    <t>https://zakupki.prom.ua/gov/tenders/UA-2023-03-20-010114-a</t>
  </si>
  <si>
    <t>https://zakupki.prom.ua/gov/tenders/UA-2023-03-20-010049-a</t>
  </si>
  <si>
    <t>https://zakupki.prom.ua/gov/tenders/UA-2023-03-20-010028-a</t>
  </si>
  <si>
    <t>https://zakupki.prom.ua/gov/tenders/UA-2023-03-20-010007-a</t>
  </si>
  <si>
    <t>https://zakupki.prom.ua/gov/tenders/UA-2023-03-20-009888-a</t>
  </si>
  <si>
    <t>https://zakupki.prom.ua/gov/tenders/UA-2023-03-20-007084-a</t>
  </si>
  <si>
    <t>https://zakupki.prom.ua/gov/tenders/UA-2023-03-20-006270-a</t>
  </si>
  <si>
    <t>https://zakupki.prom.ua/gov/tenders/UA-2023-03-21-011539-a/lot-80249b19db9144f998b08b5945f2f216</t>
  </si>
  <si>
    <t>https://zakupki.prom.ua/gov/tenders/UA-2023-03-21-010868-a/lot-9d814824f2a944cd849df7aaab2f4b40</t>
  </si>
  <si>
    <t>https://zakupki.prom.ua/gov/tenders/UA-2023-03-22-010199-a</t>
  </si>
  <si>
    <t>https://zakupki.prom.ua/gov/tenders/UA-2023-03-22-004354-a</t>
  </si>
  <si>
    <t>https://zakupki.prom.ua/gov/tenders/UA-2023-03-23-011146-a</t>
  </si>
  <si>
    <t>https://zakupki.prom.ua/gov/tenders/UA-2023-03-23-010947-a</t>
  </si>
  <si>
    <t>https://zakupki.prom.ua/gov/tenders/UA-2023-03-23-010751-a</t>
  </si>
  <si>
    <t>https://zakupki.prom.ua/gov/tenders/UA-2023-03-23-010680-a</t>
  </si>
  <si>
    <t>https://zakupki.prom.ua/gov/tenders/UA-2023-03-23-010505-a</t>
  </si>
  <si>
    <t>https://zakupki.prom.ua/gov/tenders/UA-2023-03-23-010434-a</t>
  </si>
  <si>
    <t>https://zakupki.prom.ua/gov/tenders/UA-2023-03-23-010247-a</t>
  </si>
  <si>
    <t>Капітальний ремонт будівлі ЗТП-1203 (Улаштування покрівлі з металопрофілю) по вул. Димитрова, смт. Димитрово, Олександрійського району, Кіровоградської області</t>
  </si>
  <si>
    <t>Капітальний ремонт будівлі ЗТП-1202 (Улаштування покрівлі з металопрофілю) по вул. Комсомольська, смт. Димитрово, Олександрійського району, Кіровоградської області</t>
  </si>
  <si>
    <t>Капітальний ремонт будівлі ЗТП-1147 (Улаштування покрівлі з металопрофілю) по вул.6-го Грудня, м. Олександрія, Кіровоградської області</t>
  </si>
  <si>
    <t>Капітальний ремонт будівлі ЗТП-1052 (Улаштування покрівлі з металопрофілю) по вул.Діброви, м. Олександрія Кіровоградської обл.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</si>
  <si>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ЗТП-66 с. Першотравенка вул.Гагаріна 1А смт. Компаніївка Кропивницького р-ну Кіровоградської обл. (Улаштування покрівлі з металопрофілю)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</si>
  <si>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ЗТП-96 по вул.Михайлівська 54-п, м. Кропивницький (Улаштування покрівлі з металопрофілю) 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</si>
  <si>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ЗТП-330 с. Голубієвичі вул.Центральна 19, смт. Компаніївка Кропивницького р-ну Кіровоградської обл.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</si>
  <si>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обліку, підрядним способом (матеріали підрядника, крім лічильників) с. Марто-Іванівка ЗТП-1393 Олександрійського району (Інвестиційна Програма 2023 року п.2.2.1 1-ф шафа з комплектуючими (улаштування відгалуження за допомогою трубостійки)</t>
  </si>
  <si>
    <t>Електророзподільні кабелі (або еквівалент) (п.2.1.6; 2.7.4 ІП 2023р. та Основна діяльність):Електророзподільні кабелі (або еквівалент) (п.2.1.6; 2.7.4 ІП 2023р. та Основна діяльність)</t>
  </si>
  <si>
    <t>Встановлення однофазних шаф обліку, підрядним способом (матеріали підрядника, крім лічильників) с. Звенигородка, ЗТП-1308, 1364 Олександрійського району (Інвестиційна Програма 2023 року п.2.2.1 1-ф шафа з комплектуючими (улаштування відгалуження за допомогою гаку)</t>
  </si>
  <si>
    <t>31320000-5 Електророзподільні кабелі</t>
  </si>
  <si>
    <t>https://zakupki.prom.ua/gov/tenders/UA-2023-03-27-006723-a</t>
  </si>
  <si>
    <t>https://zakupki.prom.ua/gov/tenders/UA-2023-03-27-006317-a</t>
  </si>
  <si>
    <t>https://zakupki.prom.ua/gov/tenders/UA-2023-03-27-005875-a</t>
  </si>
  <si>
    <t>https://zakupki.prom.ua/gov/tenders/UA-2023-03-27-005517-a</t>
  </si>
  <si>
    <t>https://zakupki.prom.ua/gov/tenders/UA-2023-03-27-005437-a</t>
  </si>
  <si>
    <t>https://zakupki.prom.ua/gov/tenders/UA-2023-03-27-004288-a</t>
  </si>
  <si>
    <t>https://zakupki.prom.ua/gov/tenders/UA-2023-03-27-004027-a</t>
  </si>
  <si>
    <t>https://zakupki.prom.ua/gov/tenders/UA-2023-03-28-006365-a</t>
  </si>
  <si>
    <t>https://zakupki.prom.ua/gov/tenders/UA-2023-03-28-005844-a/lot-187a5374110441c795f3fec8bcf3d913</t>
  </si>
  <si>
    <t>https://zakupki.prom.ua/gov/tenders/UA-2023-03-28-005807-a</t>
  </si>
  <si>
    <t>Встановлення однофазних шаф обліку, підрядним способом (матеріали підрядника, крім лічильників) в м. Олександрія ЗТП-1016, 1017, 1059, 1071, 1082, 1099, 1129, 1130, РП 9/1 Олександрійського району (Інвестиційна Програма 2023 п.2.2.1 1-ф шафа з комплектуючими (улаштування відгалуження за допомогою трубостійки)</t>
  </si>
  <si>
    <t>Встановлення однофазних шаф обліку, підрядним способом (матеріали підрядника, крім лічильників) с. Звенигородка ЗТП-1308, 1364 Олександрійського району (Інвестиційна Програма 2023 року п.2.2.1 1-ф шафа з комплектуючими (улаштування відгалуження за допомогою трубостійки)</t>
  </si>
  <si>
    <t>https://zakupki.prom.ua/gov/tenders/UA-2023-03-30-000276-a</t>
  </si>
  <si>
    <t>Розробка ПКД. Нове будівництво. Система пожежної сигналізації. Система оповіщення про пожежу та управління евакуюванням людей. Система передавання тривожних сповіщень. Кіровоградська обл., м. Олександрія (п.7.18 ІП 2023)</t>
  </si>
  <si>
    <t>https://zakupki.prom.ua/gov/tenders/UA-2023-03-28-007169-a</t>
  </si>
  <si>
    <t>https://zakupki.prom.ua/gov/tenders/UA-2023-03-28-006674-a</t>
  </si>
  <si>
    <t>UA-2023-03-30-000276-a</t>
  </si>
  <si>
    <t>Розробка ПКД. Нове будівництво. Система пожежної сигналізації. Система оповіщення про пожежу та управління евакуюванням людей. Система передавання тривожних сповіщень. Кіровоградська область, м. Кропивницький, вул. Г.Родімцева, 90. ПС 150/35/10 кВт "Південно-Східна".(пункт Інвестиційної Програми 7.20)</t>
  </si>
  <si>
    <t>Розробка ПКД. Нове будівництво. Система пожежної сигналізації. Система оповіщення про пожежу та управління евакуюванням людей. Система передавання тривожних сповіщень. Кіровоградська область, м. Кропивницький, вул. Г.Родімцева, 90. ПС 150/35/10 кВт "Південно-Східна".(пункт Інвестиційної Програми 7.19)</t>
  </si>
  <si>
    <t>https://zakupki.prom.ua/gov/tenders/UA-2023-03-30-000296-a</t>
  </si>
  <si>
    <t>UA-2023-03-30-000296-a</t>
  </si>
  <si>
    <t>Винесення приладів обліку в спеціальний ящик ЩРЖУ в житловому будинку №41 по вул.Тарковського в м. Кропивницький (п.2.3.5 ІП 2023р)</t>
  </si>
  <si>
    <t>Капітальний ремонт будівлі ЗТП-1205 (Улаштування покрівлі з металопрофілю) по вул. Миру, смт. Димитрово, Олександрійського району, Кіровоградської області</t>
  </si>
  <si>
    <t>Винесення приладів обліку в спеціальний ящик ЩРЖУ в житловому будинку №9д по вул.Братиславська в м. Кропивницький (п.2.3.4 ІП 2023р)</t>
  </si>
  <si>
    <t>п.2.3. ІП-2023р. Винесення приладів обліку в спеціальний ящик ЩРЖУ в житловому будинку №9в по вул. Братиславська в м.Кропивницький</t>
  </si>
  <si>
    <t>Капітальний ремонт будівлі ЗТП-1226 (Улаштування покрівлі з металопрофілю) по вул. Привокзальна, смт. Пантаївка, Олександрійського району, Кіровоградської області</t>
  </si>
  <si>
    <t>п.2.3. ІП-2023р. Винесення приладів обліку в спеціальний ящик ЩРЖУ в житловому будинку №9а по вул. Братиславська в м.Кропивницький</t>
  </si>
  <si>
    <t>п.2.3. ІП-2023р. Винесення приладів обліку в спеціальний ящик ЩРЖУ в житловому будинку №9ба по вул. Братиславська в м.Кропивницький</t>
  </si>
  <si>
    <t>Капітальний ремонт будівлі ЗТП-1204 (Улаштування покрівлі з металопрофілю) по вул. Матросова, смт. Димитрово Олександрійського району, Кіровоградської області</t>
  </si>
  <si>
    <t>https://zakupki.prom.ua/gov/tenders/UA-2023-03-30-003336-a</t>
  </si>
  <si>
    <t>https://zakupki.prom.ua/gov/tenders/UA-2023-03-30-003304-a</t>
  </si>
  <si>
    <t>https://zakupki.prom.ua/gov/tenders/UA-2023-03-30-003251-a</t>
  </si>
  <si>
    <t>https://zakupki.prom.ua/gov/tenders/UA-2023-03-30-003031-a</t>
  </si>
  <si>
    <t>https://zakupki.prom.ua/gov/tenders/UA-2023-03-30-003000-a</t>
  </si>
  <si>
    <t>https://zakupki.prom.ua/gov/tenders/UA-2023-03-30-002930-a</t>
  </si>
  <si>
    <t>https://zakupki.prom.ua/gov/tenders/UA-2023-03-30-002824-a</t>
  </si>
  <si>
    <t>https://zakupki.prom.ua/gov/tenders/UA-2023-03-30-002711-a</t>
  </si>
  <si>
    <t>Капітальний ремонт будівлі ЗТП-1207 (Улаштування покрівлі з металопрофілю) по вул. Вишнева, смт.Димитрово, Олександрійського району, Кіровоградської області</t>
  </si>
  <si>
    <t>UA-2023-03-30-004919-a</t>
  </si>
  <si>
    <t>https://zakupki.prom.ua/gov/tenders/UA-2023-03-30-004919-a</t>
  </si>
  <si>
    <t>https://zakupki.prom.ua/gov/tenders/UA-2023-03-30-005086-a</t>
  </si>
  <si>
    <t>UA-2023-03-30-005086-a</t>
  </si>
  <si>
    <t>Капітальний ремонт ЗТП-141 по вул.Калініна, 69, с. Глодоси, Кіровоградської області (Улаштування покрівлі з металопрофілю, вимощення)</t>
  </si>
  <si>
    <t>Капітальний ремонт ЗТП-530 по вул. Метелькова, 53-а, м. Новоукраїнка, Кіровоградської області (Улаштування покрівлі з металопрофілю)</t>
  </si>
  <si>
    <t>Капітальний ремонт будівлі ЗТП-419 по вул. Жовтнева 64-а, смт. Завалля, Кіровоградської області (Улаштування покрівлі з металопрофілю)</t>
  </si>
  <si>
    <t>Капітальний ремонт будівлі ЗТП-469 по вул. Садова, 54 смт. Новоархангельськ, Кіровоградської області (Улаштування покрівлі з металопрофілю, вимощення)</t>
  </si>
  <si>
    <t>Капітальний ремонт будівлі ЗТП-24 по пров.Колгоспний, смт. Добровеличківка, Кіровоградської області (Улаштування покрівлі з металопрофілю, посилення стін мет.конструкцією)</t>
  </si>
  <si>
    <t>Капітальний ремонт будівлі ОПУ П/СТ 35/10 кВ "Помічна" по вул. Люби Шевцової, м. Помічна, Добровеличківського району Кіровоградської області (Улаштування покрівлі з металопрофілю)</t>
  </si>
  <si>
    <t>Капітальний ремонт будівлі ЗТП-658 по вул. Осипенка 34а, м. Помічна, Добровеличківського району, Кіровоградської області (Улаштування покрівлі  металопрофілю, вимощення)</t>
  </si>
  <si>
    <t>https://zakupki.prom.ua/gov/tenders/UA-2023-03-31-004510-a</t>
  </si>
  <si>
    <t>https://zakupki.prom.ua/gov/tenders/UA-2023-03-31-004318-a</t>
  </si>
  <si>
    <t>https://zakupki.prom.ua/gov/tenders/UA-2023-03-31-003446-a</t>
  </si>
  <si>
    <t>https://zakupki.prom.ua/gov/tenders/UA-2023-03-31-003235-a</t>
  </si>
  <si>
    <t>https://zakupki.prom.ua/gov/tenders/UA-2023-03-31-002787-a</t>
  </si>
  <si>
    <t>https://zakupki.prom.ua/gov/tenders/UA-2023-03-31-002313-a</t>
  </si>
  <si>
    <t>https://zakupki.prom.ua/gov/tenders/UA-2023-03-31-001976-a</t>
  </si>
  <si>
    <t xml:space="preserve">ЛОТ 1 - Реконструкція ЦРП-1 в м. Кропивницький Кіровоградської області (Кіровоградський МРЕМ), </t>
  </si>
  <si>
    <t>ЛОТ 2 - Реконструкція ЦРП-2 в м. Кропивницький Кіровоградської області (Кіровоградський МРЕМ) (пункт 1.12.1, 1.12.2 Інвестиційної Програми 2023)</t>
  </si>
  <si>
    <t>Роботи по встановленню однофазних шаф обліку, підрядним способом (матеріали підрядника, крім лічильників) в с. Тополі КТП – 14, 237, 428, 429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</si>
  <si>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обліку, підрядним способом (матеріали підрядника, крім лічильників) в с. Ташлик КТП -82 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</si>
  <si>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обліку, підрядним способом (матеріали підрядника, крім лічильників) в с. Солгутове КТП – 44,119,254,339,340 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</si>
  <si>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обліку, підрядним способом (матеріали підрядника, крім лічильників) в с. Жакчик КТП - 58, 59, 60, 67  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</si>
  <si>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 xml:space="preserve">Роботи по встановленню однофазних шаф обліку, підрядним способом (матеріали підрядника, крім лічильників) в с. Березівка КТП-173,81 Голованівського району, (п.2.2.1 1-ф шафа з комплектуючими (улаштування відгалуження за допомогою гаку) </t>
  </si>
  <si>
    <t>Встановлення однофазних шаф обліку в с. Чемерпіль КТП-100,201,84,86 Голованівськогор-ну (п.2.2.2 улаштування відгалуження за допомогою трубостійки)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</si>
  <si>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 в в м. Гайворон КТП-57 Голованівськогор-ну (п.2.2.2 улаштування відгалуження за допомогою трубостійки)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</si>
  <si>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облiку, пiдрядним способом (матерiалlл пiдрядника, крім лічильників) в м. Гайворон КТП - 57, 207 , 257, 342, 350 Голованiвськогор-ну, (п,2.2. 1-ф пlафа з комплектуюtIими (улашryвання вiдгалуження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</si>
  <si>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 в смт. Завалля КТП - 282, 283, 284 Голованівськогор-ну (п.2.2.1 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</si>
  <si>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 в с. Чемерпіль КТП - 84, 86, 99, 100, 133, 149, 201, 388 Голованівськогор-ну (п.2.2.1 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</si>
  <si>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 в с. Хащувате КТП – 12, 135, 166, 167, 180, 241, 249, 250, 251, 252, 259 Голованівськогор-ну (п.2.2.1 улаштування відгалуження за допомогою гаку)Відповідно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</t>
  </si>
  <si>
    <t>Конструкційні матеріали (або еквівалент), основна діяльність, приєднання</t>
  </si>
  <si>
    <t>Продукція, пов'язана з конструкційними матеріалами (або еквівалент), основна діяльність, приєднання:Продукція, пов'язана з конструкційними матеріалами (або еквівалент), основна діяльність, приєднання</t>
  </si>
  <si>
    <t>44140000-3 Продукція, пов’язана з конструкційними матеріалами</t>
  </si>
  <si>
    <t>https://zakupki.prom.ua/gov/tenders/UA-2023-04-03-000950-a/lot-44d17cfb5b2f434d89437c54c8b6faf6</t>
  </si>
  <si>
    <t>https://zakupki.prom.ua/gov/tenders/UA-2023-04-03-010145-a</t>
  </si>
  <si>
    <t>https://zakupki.prom.ua/gov/tenders/UA-2023-04-03-010385-a</t>
  </si>
  <si>
    <t>https://zakupki.prom.ua/gov/tenders/UA-2023-04-03-010464-a</t>
  </si>
  <si>
    <t>https://zakupki.prom.ua/gov/tenders/UA-2023-04-03-010551-a</t>
  </si>
  <si>
    <t>https://zakupki.prom.ua/gov/tenders/UA-2023-04-03-010561-a</t>
  </si>
  <si>
    <t>https://zakupki.prom.ua/gov/tenders/UA-2023-04-03-010636-a</t>
  </si>
  <si>
    <t>https://zakupki.prom.ua/gov/tenders/UA-2023-04-04-000044-a</t>
  </si>
  <si>
    <t>https://zakupki.prom.ua/gov/tenders/UA-2023-04-04-000049-a</t>
  </si>
  <si>
    <t>https://zakupki.prom.ua/gov/tenders/UA-2023-04-04-000133-a</t>
  </si>
  <si>
    <t>https://zakupki.prom.ua/gov/tenders/UA-2023-04-04-000406-a</t>
  </si>
  <si>
    <t>https://zakupki.prom.ua/gov/tenders/UA-2023-04-04-000680-a</t>
  </si>
  <si>
    <t>https://zakupki.prom.ua/gov/tenders/UA-2023-04-04-000779-a</t>
  </si>
  <si>
    <t>https://zakupki.prom.ua/gov/tenders/UA-2023-04-04-009813-a/lot-ef71cd4b497b4597a20602ce6c7ca54c</t>
  </si>
  <si>
    <t>UA-2023-04-04-009813-a</t>
  </si>
  <si>
    <t>45310000-3 Електромонтажні роботи</t>
  </si>
  <si>
    <t>Нове будівництво АСДУ ПС 150/35/10кВ (8 ПС-150кВ) (пункт 3.3 Інвестиційної Програми 2023)</t>
  </si>
  <si>
    <t>Персональний нагрудний відіореєстратор Х5В (ІП 2023 п.2.8.3) (або еквівалент):Персональний нагрудний відіореєстратор Х5В (ІП 2023 п.2.8.3) (або еквівалент)</t>
  </si>
  <si>
    <t>Будівництво КТП-823 для зовнішнього електропостачання станції технічного обслуговування автомобілів гр. Вдовиченка С.В. в с. Соколівське, вул. Автолюбителів, 3е</t>
  </si>
  <si>
    <t>Будівництво ПЛ-10кВ від оп.№52 ПЛ-10 кВ Л-175 ПС «Подорожнє»-35/10кВ для зовнішнього електропостачання тимчасової споруди насосної станції ТОВ «КІНГ ІНВЕСТ КАПІТАЛ» на території Подорожненської сільської ради, кад. №3525287600:02:000:0646 Олександрійського району Кіровоградської області</t>
  </si>
  <si>
    <t>Поточний ремонт категорії "Б" елегазових вимикачів типу LTB-170 на ПС 150/35/10 кВ Березівка</t>
  </si>
  <si>
    <t>Стійки СВ-105-5, до пункту 1.10. Інвестиційної програми 2022 (Укладення договору згідно пп.6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</si>
  <si>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45259000-7 Ремонт і технічне обслуговування установок</t>
  </si>
  <si>
    <t xml:space="preserve"> </t>
  </si>
  <si>
    <t>https://zakupki.prom.ua/gov/tenders/UA-2023-04-04-001043-a</t>
  </si>
  <si>
    <t>https://zakupki.prom.ua/gov/tenders/UA-2023-04-05-010348-a</t>
  </si>
  <si>
    <t>https://zakupki.prom.ua/gov/tenders/UA-2023-04-05-009691-a</t>
  </si>
  <si>
    <t>https://zakupki.prom.ua/gov/tenders/UA-2023-04-05-004163-a</t>
  </si>
  <si>
    <t>https://zakupki.prom.ua/gov/tenders/UA-2023-04-07-001645-a/lot-5e7b108dfd3a4c3c94c9a7185a2cf0c2</t>
  </si>
  <si>
    <t>Будівництво 2КЛ-10кВ ТП-1181-ТП-1548 для зовнішнього електропостачання закладу швидкого обслуговування ПП "ЕРМІС ЛТД" в м. Олександрія, вул. Г. Сталінграду, 21а</t>
  </si>
  <si>
    <t>Реконструкція РУ-10кВ ЗТП-1181 для зовнішнього електропостачання закладу швидкого обслуговування ПП "ЕРМІС ЛТД" в м. Олександрія, вул. Г.Сталінграду, 21а</t>
  </si>
  <si>
    <t>Електрична апаратура для комутування та захисту електричних кіл (або еквівалент), основна діяльність, приєднання</t>
  </si>
  <si>
    <t>31210000-1 Електрична апаратура для комутування та захисту електричних кіл</t>
  </si>
  <si>
    <t>https://zakupki.prom.ua/gov/tenders/UA-2023-04-17-000351-a</t>
  </si>
  <si>
    <t>https://zakupki.prom.ua/gov/tenders/UA-2023-04-17-000253-a</t>
  </si>
  <si>
    <t>https://zakupki.prom.ua/gov/tenders/UA-2023-04-20-008821-a</t>
  </si>
  <si>
    <t>Відмінено за видатками</t>
  </si>
  <si>
    <t>Шафа КТП-1000 10/0,4 кВ (приєднання) (або еквівалент).</t>
  </si>
  <si>
    <t>Трансформатор ТМГ-1000 10/0,4 кВ (приєднання) (або еквівалент)</t>
  </si>
  <si>
    <t>31680000-6 Електричне приладдя та супутні товари до електричного обладнання</t>
  </si>
  <si>
    <t>https://zakupki.prom.ua/gov/tenders/UA-2023-04-25-007183-a/lot-8748c140f01f431cab69c26fe9becfb6</t>
  </si>
  <si>
    <t>https://zakupki.prom.ua/gov/tenders/UA-2023-04-25-007048-a/lot-91069dccfabd49dfaece71f560c7f851</t>
  </si>
  <si>
    <t>https://zakupki.prom.ua/gov/tenders/UA-2023-04-25-003327-a</t>
  </si>
  <si>
    <t>Здійснення авторського нагляду за будівництвом об'єкта: "Реконструкція ЗРУ-10 кВ ПС 150/35/10 кВ "Бобринець" в м. Бобринець, Кіровоградський район, Кіровоградська область (пункт Інвестиційної програми 1.6)</t>
  </si>
  <si>
    <t xml:space="preserve">Здійснення авторського нагляду за будівництвом об'єкта: "Реконструкція ПЛ-10кВ Л-116 в с. Краснопілка, с. Лозуватка Новоукраїнського району Кіровоградської області" (пункт Інвестиційної Програми 1.1.3) </t>
  </si>
  <si>
    <t>Здійснення авторського нагляду за будівництвом об'єкта: "Реконструкція ПЛ-10 кВ Л-132 в с. Липняжка Новоукраїнського району Кіровоградської області" (пункт Інвестиційної Програми 1.1.1)</t>
  </si>
  <si>
    <t>Здійснення авторського нагляду за будівництвом об'єкта: "Реконструкція ПЛ-10 кВ Л-145 в Новоукраїнському районі Кіровоградської області" (пункт Інвестиційної Програми 1.1.2)</t>
  </si>
  <si>
    <t>Здійснення авторського нагляду за будівництвом об'єкта: "Реконструкція ПЛ-10 кВ Л-1122 в с. Павлівка Олександрійського району  Кіровоградської області" (пункт Інвестиційної Програми 1.1.4)</t>
  </si>
  <si>
    <t>Відновлення асфальтобетонного покриття після КР КЛ-0,4/10 кВ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</si>
  <si>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КЛ-35кВ відгалуження від ПЛ-35 кВ Л-608 до ПС 35/6 кВ Луч в м. Олександрія Кіровоградської області (Укладення договору згідно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</si>
  <si>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Ремонт контуру заземлення на ПС-35/10кВ Будіндустрія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</si>
  <si>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Ремонт контуру заземлення на ПС 35/6кВ БСІ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</si>
  <si>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71247000-1 Нагляд за будівельними роботами</t>
  </si>
  <si>
    <t>https://zakupki.prom.ua/gov/tenders/UA-2023-04-27-001496-a</t>
  </si>
  <si>
    <t>https://zakupki.prom.ua/gov/tenders/UA-2023-04-27-002191-a</t>
  </si>
  <si>
    <t>https://zakupki.prom.ua/gov/tenders/UA-2023-04-27-002515-a</t>
  </si>
  <si>
    <t>https://zakupki.prom.ua/gov/tenders/UA-2023-04-27-002688-a</t>
  </si>
  <si>
    <t>https://zakupki.prom.ua/gov/tenders/UA-2023-04-27-003600-a</t>
  </si>
  <si>
    <t>https://zakupki.prom.ua/gov/tenders/UA-2023-05-01-006160-a</t>
  </si>
  <si>
    <t>https://zakupki.prom.ua/gov/tenders/UA-2023-05-04-010342-a</t>
  </si>
  <si>
    <t>https://zakupki.prom.ua/gov/tenders/UA-2023-05-04-010968-a</t>
  </si>
  <si>
    <t>https://zakupki.prom.ua/gov/tenders/UA-2023-05-04-011709-a</t>
  </si>
  <si>
    <t>Відмінено за тихнічною помилкою</t>
  </si>
  <si>
    <t>https://zakupki.prom.ua/gov/tenders/UA-2023-04-26-009769-a</t>
  </si>
  <si>
    <t>UA-2023-04-26-009769-a</t>
  </si>
  <si>
    <t>Будівництво ділянки КЛ-10 кВ ТП-757 - ТП-826 для зовнішнього електропостачання комплексу будівель ТОВ "АВ ІНВЕСТ ГРУП" по вул. Мурманська, 43 в смт. Нове м. Кропивницький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</si>
  <si>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КЛ-10кВ ТП-503 - ТП-823 для зовнішнього електропостачання станції технічного обслуговування автомобілів гр. Вдовиченка С.В. в с. Соколівське, вул. Автолюбителів, 3е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</si>
  <si>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КЛ-0,4 кВ РБ-33 ТП-516 в м. Кропивницький для зовнішнього електропостачання комплексу ФОП Колос Є.В.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</si>
  <si>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Шафа КТП-1000 10/0,4 кВ (приєднання) (або еквівалент):Шафа КТП-1000 10/0,4 кВ (приєднання) (або еквівалент)</t>
  </si>
  <si>
    <t>Роботи по реконструкції ЦРП-25 м.Кропивницький</t>
  </si>
  <si>
    <t>Роботи по будівництву КЛ-10 кВ ЦРП-25 ПС Тягова-1 м. Кропивницький</t>
  </si>
  <si>
    <t>Роботи по будівництву КЛ 0,4кВ від ЗТП-757 с.Соколівське</t>
  </si>
  <si>
    <t>Капітальний ремонт будівлі ЗТП-194 по вул. Київська, 97 п в м.Кропивницький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</si>
  <si>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Трансформатор ТМГ-1000 10/0,4 кВ (приєднання) (або еквівалент):Трансформатор ТМГ-1000 10/0,4 кВ (приєднання) (або еквівалент)</t>
  </si>
  <si>
    <t>од</t>
  </si>
  <si>
    <t>https://zakupki.prom.ua/gov/tenders/UA-2023-05-10-013084-a</t>
  </si>
  <si>
    <t>https://zakupki.prom.ua/gov/tenders/UA-2023-05-10-012762-a</t>
  </si>
  <si>
    <t>https://zakupki.prom.ua/gov/tenders/UA-2023-05-11-005095-a</t>
  </si>
  <si>
    <t>https://zakupki.prom.ua/gov/tenders/UA-2023-05-11-004787-a/lot-70f892454c7144e0aa051568026c3a1f</t>
  </si>
  <si>
    <t>https://zakupki.prom.ua/gov/tenders/UA-2023-05-12-007347-a</t>
  </si>
  <si>
    <t>https://zakupki.prom.ua/gov/tenders/UA-2023-05-12-007145-a</t>
  </si>
  <si>
    <t>https://zakupki.prom.ua/gov/tenders/UA-2023-05-12-007007-a</t>
  </si>
  <si>
    <t>https://zakupki.prom.ua/gov/tenders/UA-2023-05-12-004983-a</t>
  </si>
  <si>
    <t>https://zakupki.prom.ua/gov/tenders/UA-2023-05-15-012110-a/lot-f51f37ef23534791923349f019e0b876</t>
  </si>
  <si>
    <t>Скасована за відсутністю коштів</t>
  </si>
  <si>
    <t>Скасовано за видатками</t>
  </si>
  <si>
    <t>Будівництво КЛ-0,4кВ А-20 ТП-425 для зовнішнього електропостачання комплексу будівель ТОВ "АВТОМИЙСАМЦЕНТР" по просп. Інженерів, 21 в м.Кропивницький</t>
  </si>
  <si>
    <t>Будівництво КЛ-04кВ від ЗТП-501 для зовнішнього електропостачання абонентської станції мобільного зв'язку в м. Кропивницький, вул. Героїв України</t>
  </si>
  <si>
    <t>https://zakupki.prom.ua/gov/tenders/UA-2023-05-30-010582-a</t>
  </si>
  <si>
    <t>https://zakupki.prom.ua/gov/tenders/UA-2023-06-05-010990-a</t>
  </si>
  <si>
    <t>Капітальний ремонт будівлі ЗТП-1223 по вул. Л.Українки, смт. Понтаївка, Олександрійського р-ну, Кіровоградської області (Улаштування покрівлі з металопрофілю)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</si>
  <si>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П/СТ "Братолюбівка" будинок зв'язку</t>
  </si>
  <si>
    <t>Капітальний ремонт будівлі ЗТП-1164 по вул. Садова, м. Олександрія, Кіровоградської області (Улаштування покрівлі з металопрофілю)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</si>
  <si>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ЗТП-349 в с.Пишне, Долинський р-н, Кіровоградської області (Улаштування покрівлі з металопрофілю)</t>
  </si>
  <si>
    <t>Капітальний ремонт підземного резервуара для води ПС "Кіровоградська" по вул. Героїв України, 47 в м. Кропивницький</t>
  </si>
  <si>
    <t>Виконання робіт по контуру заземлення на ПС 150/35/6 кВ ЗЧМ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</si>
  <si>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https://zakupki.prom.ua/gov/tenders/UA-2023-06-15-009126-a</t>
  </si>
  <si>
    <t>https://zakupki.prom.ua/gov/tenders/UA-2023-06-15-008920-a</t>
  </si>
  <si>
    <t>https://zakupki.prom.ua/gov/tenders/UA-2023-06-15-008882-a</t>
  </si>
  <si>
    <t>https://zakupki.prom.ua/gov/tenders/UA-2023-07-04-003582-a</t>
  </si>
  <si>
    <t>https://zakupki.prom.ua/gov/tenders/UA-2023-07-04-003089-a</t>
  </si>
  <si>
    <t>https://zakupki.prom.ua/gov/tenders/UA-2023-07-05-000234-a</t>
  </si>
  <si>
    <t>Капітальний ремонт огорожі ПС 35/10 кВ "Канатово", с. Бережинка, вулиця Аджамська, 100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</si>
  <si>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КТП-417 в с. Тишківка Добровеличківського РЕМ (монтаж системи контролю якості електроенергії Linax) для зовнішнього електропостачання ТОВ "Енергетична система ЛТД" в с.Тишківка</t>
  </si>
  <si>
    <t>Реконструкція ЦРП-1 в м. Кропивницький Кіровоградської області (Кіровоградський МРЕМ), Реконструкція ЦРП-2 в м. Кропивницький Кіровоградської області (Кіровоградський МРЕМ) (пункт 1.12.1, 1.12.2 Інвестиційної Програми 2023):ЛОТ 1 - Реконструкція ЦРП-1 в м. Кропивницький Кіровоградської області (Кіровоградський МРЕМ)(пункт 1.12.1 Інвестиційної Програми 2023)</t>
  </si>
  <si>
    <t>Реконструкція ЦРП-1 в м. Кропивницький Кіровоградської області (Кіровоградський МРЕМ), Реконструкція ЦРП-2 в м. Кропивницький Кіровоградської області (Кіровоградський МРЕМ) (пункт 1.12.1, 1.12.2 Інвестиційної Програми 2023):ЛОТ 2 - Реконструкція ЦРП-2 в м. Кропивницький Кіровоградської області (Кіровоградський МРЕМ) (пункт 1.12.2 Інвестиційної Програми 2023)</t>
  </si>
  <si>
    <t>Реконструкція ділянки ПЛ-10кВ Л-113 від ПС-150/35/10кВ "Новоукраїнка", яка розташована за адресою: вул. м. Вороного, м. Новоукпаїнка, Кіровоградської області для гр. Шиптенко А.Г.</t>
  </si>
  <si>
    <t>Нове будівництво ПЛ-10кВ Л-124 оп.№595  ПС "Добровеличківка" для зовнішнього електропостачання сушарки з будмайданом за адресою: вул. Садова в с. Михайлівка Добровеличківського району Кіровоградської області для СФГ "ЄВГЕН"</t>
  </si>
  <si>
    <t>Капітальний ремонт будівлі ЗТП-215 по вул. Ореста Гуменюка, 10а, м. Благовіщенськ, Кіровоградської області (Улаштування покрівлі з металопрофілю)</t>
  </si>
  <si>
    <t>Нове будівництво КТП-824 в м.Кропивницький для зовнішнього електропостачання складського комплексу з будівельним майданчиком ТОВ "АЛІКА-ЛОГІСТИК"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</si>
  <si>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Нове будівництво ПЛ-10 кВ Ф-1У-КТП-824 в м.Кропивницький для зовнішнього електропостачання складського комплексу з будівельним майданчиком ТОВ "АЛІКА-ЛОГІСТИК"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</si>
  <si>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Технічне переоснащення комірки 10 кВ ПС "УВТК"-35/10кВ в м.Кропивницький для зовнішнього електропостачання складського комплексу з будівельнм майданчиком ТОВ "АЛІКА-ЛОГІСТИК"</t>
  </si>
  <si>
    <t>Будівництво КЛ-0,4кВ від ЗТП-246 для зовнішнього електропостачання нежитлової будівлі (кафе) ФОП Мурадова Е.М. в м. Кропивницький, вул. Євгена Тельнова, 11/31а</t>
  </si>
  <si>
    <t>Будівництво КЛ-10 кВ ТП-827-ТП-246 для зовнішнього електропостачання адміністративно-комерційного комплексу ПП "СОІНС-250" по вул. Євгена Тельнова, (між буд.№11 тп №13) в м. Кропивницький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</si>
  <si>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КЛ-10 кВ ТП-827-ТП-134 для зовнішнього ел.постачання адм.-комерційного комплексу ПП "СОІНС-250" по вул. Євгена Тельнова, (між буд.№11 та № 13) в м. Кропивницький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</si>
  <si>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КЛ-10 кВ ТП-535 1СШ - ТП-820 в м. 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вул.Андріївська, 2-а (кад. №3510100000:33:212:0094) (приєднання):Будівництво КЛ-10 кВ ТП-535 1СШ - ТП-820 в м. 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вул.Андріївська, 2-а (кад. №3510100000:33:212:0094) (приєднання)</t>
  </si>
  <si>
    <t>Будівництво КЛ-10 кВ ТП-535 2СШ - ТП-820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 Андріївська, 2-а (кад.№3510100000:33:212:0094) (приєднання):Будівництво КЛ-10 кВ ТП-535 2СШ - ТП-820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 Андріївська, 2-а (кад.№3510100000:33:212:0094) (приєднання)</t>
  </si>
  <si>
    <t>https://zakupki.prom.ua/gov/tenders/UA-2023-07-13-000492-a</t>
  </si>
  <si>
    <t>https://zakupki.prom.ua/gov/tenders/UA-2023-07-19-002763-a</t>
  </si>
  <si>
    <t>https://zakupki.prom.ua/gov/tenders/UA-2023-07-12-001298-a</t>
  </si>
  <si>
    <t>https://zakupki.prom.ua/gov/tenders/UA-2023-07-24-008868-a</t>
  </si>
  <si>
    <t>https://zakupki.prom.ua/gov/tenders/UA-2023-07-24-009279-a</t>
  </si>
  <si>
    <t>https://zakupki.prom.ua/gov/tenders/UA-2023-07-24-010799-a</t>
  </si>
  <si>
    <t>https://zakupki.prom.ua/gov/tenders/UA-2023-07-27-007665-a</t>
  </si>
  <si>
    <t>https://zakupki.prom.ua/gov/tenders/UA-2023-07-27-007812-a</t>
  </si>
  <si>
    <t>https://zakupki.prom.ua/gov/tenders/UA-2023-08-01-001890-a</t>
  </si>
  <si>
    <t>https://zakupki.prom.ua/gov/tenders/UA-2023-08-01-002229-a</t>
  </si>
  <si>
    <t>https://zakupki.prom.ua/gov/tenders/UA-2023-08-03-000375-a</t>
  </si>
  <si>
    <t>https://zakupki.prom.ua/gov/tenders/UA-2023-08-03-004393-a</t>
  </si>
  <si>
    <t>https://zakupki.prom.ua/gov/tenders/UA-2023-08-01-001260-a/lot-6b72f122b7db4fb6a6217468b220f720</t>
  </si>
  <si>
    <t>https://zakupki.prom.ua/gov/tenders/UA-2023-08-01-000893-a/lot-746cdfb4e2ef4d19877b6e765de0c497</t>
  </si>
  <si>
    <t>Будівництво КЛ-0,4 кВ від ЗТП-396 в м.Кропивницький для зовн. ел.постачання комплексу ПП "АТ-КОНСАЛТИНГ" по просп. Університетський 11-А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</si>
  <si>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Придбання УКХ радіостанцій типу HYTERA HM785 (136-174 МГц), або аналог (пункт 5.1. Інвестиційної Програми 2023 року):Придбання УКХ радіостанцій типу HYTERA HM785 (136-174 МГц), або аналог (пункт 5.1. Інвестиційної Програми 2023 року)</t>
  </si>
  <si>
    <t>Придбання вакуумних вимикачів 6-10кВ для заміни існуючих на ПС-35кВ (господарський спосіб) (пункт 1.13 Інвестиційної Програми 2023 року):Придбання вакуумних вимикачів 6-10кВ для заміни існуючих на ПС-35кВ (господарський спосіб) (пункт 1.13 Інвестиційної Програми 2023 року)</t>
  </si>
  <si>
    <t>Придбання програмного комплексу по забезпеченню кібербезпеки (пункт 4.3 Інвестиційної Програми 2023 року):Придбання програмного комплексу по забезпеченню кібербезпеки (пункт 4.3 Інвестиційної Програми 2023 року)</t>
  </si>
  <si>
    <t>Придбання системи гарантованого електроживлення СГЕ-48-3,0;48-30, або аналог (пункт 7.22. Інвестиційної Програми 2023 року):Придбання системи гарантованого електроживлення СГЕ-48-3,0;48-30, або аналог (пункт 7.22. Інвестиційної Програми 2023 року)</t>
  </si>
  <si>
    <t>Придбання дизельних стаціонарних генераторів HIMOINSA HSY-25 T5 потужністю 16,7кВт, або аналог та HIMOINSA HYW-45 T5 потужністю 33кВт, або аналог (пункти 7.24 та 7.25 Інвестиційної Програми 2023 року):Придбання дизельних стаціонарних генераторів HIMOINSA HSY-25 T5 потужністю 16,7кВт, або аналог та HIMOINSA HYW-45 T5 потужністю 33кВт, або аналог (пункти 7.24 та 7.25 Інвестиційної Програми 2023 року)</t>
  </si>
  <si>
    <t>Розробка ПКД “Реконструкція ПЛ-150кВ Л-85К, Л-86К “Кварцит – Тимкове тяг.” в Кіровоградській області” (перехідний захід ІП-2023 - ІП-2024 п.1.14.1):Розробка ПКД “Реконструкція ПЛ-150кВ Л-85К, Л-86К “Кварцит – Тимкове тяг.” в Кіровоградській області” (перехідний захід ІП-2023 - ІП-2024 п.1.14.1)</t>
  </si>
  <si>
    <t>Капітальний ремонт будівлі ОПУ, ЗРУ П/СТ "Березівка" (заміна дверей, вікон), вул. Ентузіастів, 51, с. Березівка, Новоукраїнський р-н, Кіровоградська область</t>
  </si>
  <si>
    <t>Будівництво 2КТПММ-820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адресою:м.Кропивницький,вул.Андріївська,2-а (кад.№3510100000:33:212:0094) (Приєднання):Будівництво 2КТПММ-820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адресою:м.Кропивницький,вул.Андріївська,2-а (кад.№3510100000:33:212:0094) (Приєднання)</t>
  </si>
  <si>
    <t>Персональний нагрудний відеореєстратор Х5В (ІП 2023 п.2.8.3) (або еквівалент):Персональний нагрудний відеореєстратор Х5В (ІП 2023 п.2.8.3) (або еквівалент)</t>
  </si>
  <si>
    <t>Пристрої релейного захисту та допоміжних матеріалів по п.1.13. ІП 2023 року (Придбання вакуумних вимикачів 6-10кВ для заміни існуючих на ПС-35кВ) (господарський спосіб):Пристрої релейного захисту та допоміжних матеріалів по п.1.13. ІП 2023 року (Придбання вакуумних вимикачів 6-10кВ для заміни існуючих на ПС-35кВ) (господарський спосіб)</t>
  </si>
  <si>
    <t>48760000-3 Пакети програмного забезпечення для захисту від вірусів</t>
  </si>
  <si>
    <t>31120000-3 Генератори</t>
  </si>
  <si>
    <t>45220000-5 Інженерні та будівельні роботи</t>
  </si>
  <si>
    <t>https://zakupki.prom.ua/gov/tenders/UA-2023-08-09-006222-a/lot-54fe11372eb745f5a0360f700d959367</t>
  </si>
  <si>
    <t>https://zakupki.prom.ua/gov/tenders/UA-2023-08-09-003000-a/lot-d4a4536a59314e52a58dc77f503c93ca</t>
  </si>
  <si>
    <t>https://zakupki.prom.ua/gov/tenders/UA-2023-08-10-007949-a/lot-9af6122684ce49b1a18121432078d5c2</t>
  </si>
  <si>
    <t>https://zakupki.prom.ua/gov/tenders/UA-2023-08-08-008804-a</t>
  </si>
  <si>
    <t>https://zakupki.prom.ua/gov/tenders/UA-2023-08-10-004148-a/lot-60095470beea46aa904181de3a644481</t>
  </si>
  <si>
    <t>https://zakupki.prom.ua/gov/tenders/UA-2023-08-10-003836-a/lot-698949e70bbb4cda9c996c907d8d8ab4</t>
  </si>
  <si>
    <t>https://zakupki.prom.ua/gov/tenders/UA-2023-08-10-003635-a/lot-d5f74a8ffaa04c40bf915cd80a144b4c</t>
  </si>
  <si>
    <t>https://zakupki.prom.ua/gov/tenders/UA-2023-08-10-000166-a</t>
  </si>
  <si>
    <t>https://zakupki.prom.ua/gov/tenders/UA-2023-08-15-012899-a/lot-4a4a907c0e9b41c7ad42e2fa2519f6a4</t>
  </si>
  <si>
    <t>https://zakupki.prom.ua/gov/tenders/UA-2023-08-15-010986-a/lot-2aa5ff2724b74675b7d314883988d21b</t>
  </si>
  <si>
    <t>https://zakupki.prom.ua/gov/tenders/UA-2023-08-15-005675-a/lot-e037d4ca0fec46879f3d99f83852f7e2</t>
  </si>
  <si>
    <t>послуги</t>
  </si>
  <si>
    <t>Капітальний ремонт будівлі ОПУ П/СТ "Магнітна" по вул. Соборна, 1а, м. Знам'янка, Кіровоградської області (заміна вікон)</t>
  </si>
  <si>
    <t>Будівництво ЩТП-231 для зовн.ел.постач.стан.моб.зв.ПрАТ "ВФ Україна"</t>
  </si>
  <si>
    <t>Будівництво ПЛ-10кВ Л-201оп.196-200 для зовн.ел.постач.стан.моб.зв.ПрАТ "ВФ Україна"</t>
  </si>
  <si>
    <t>Будівництво КЛ-0,4кВ від ЗТП-422 для зовнішнього електропостачання торгівельних павільйонів ТОВ "РОКСОЛАНА ЛТД" в м. Кропивницький, біля перехрестя вулиць Героїв України та Пацаєва</t>
  </si>
  <si>
    <t>Трансформатор ТМГ-63 10/0,4 кВ (приєднання) (або еквівалент).:Трансформатор ТМГ-63 10/0,4 кВ (приєднання) (або еквівалент).</t>
  </si>
  <si>
    <t>https://zakupki.prom.ua/gov/tenders/UA-2023-08-23-006097-a</t>
  </si>
  <si>
    <t>https://zakupki.prom.ua/gov/tenders/UA-2023-08-23-006676-a</t>
  </si>
  <si>
    <t>https://zakupki.prom.ua/gov/tenders/UA-2023-08-23-004657-a</t>
  </si>
  <si>
    <t>https://zakupki.prom.ua/gov/tenders/UA-2023-08-24-003436-a</t>
  </si>
  <si>
    <t>https://zakupki.prom.ua/gov/tenders/UA-2023-08-24-000445-a/lot-a7f22f5f2e5a47c4ba0e6767db0131e1</t>
  </si>
  <si>
    <t>Улаштування захисної споруди тр-ру П/СТ 150/35/6 кВ "ГПП" по Кременчуцькому шосе в м. Світловодськ, Кіровоградської області</t>
  </si>
  <si>
    <t>45450000-6 Інші завершальні будівельні роботи</t>
  </si>
  <si>
    <t>https://zakupki.prom.ua/gov/tenders/UA-2023-09-04-001378-a</t>
  </si>
  <si>
    <t xml:space="preserve">Улаштування захисної споруди тр-ра ПС 150/35/10 кВ "Скельова" по вул. Перше Травня, 114 с-ще Велика Скельова олександрійського р-ну Кіровоградської області </t>
  </si>
  <si>
    <t>https://zakupki.prom.ua/gov/tenders/UA-2023-08-28-000647-a</t>
  </si>
  <si>
    <t>Шафа обліку ЯУ-1 без автомата (або еквівалент), основна діяльність, приєднання:Шафа обліку ЯУ-1 без автомата (або еквівалент), основна діяльність, приєднання</t>
  </si>
  <si>
    <t>https://zakupki.prom.ua/gov/tenders/UA-2023-08-29-004307-a/lot-29de64d61f3c4a659508a7ed55f85965</t>
  </si>
  <si>
    <t>Будівництво КТП-194 в смт. Голованівськ для зовнішнього електропостачання автомийки  гр. Голімбієвська Т. П. по вул.Соборна</t>
  </si>
  <si>
    <t>https://zakupki.prom.ua/gov/tenders/UA-2023-08-31-001439-a</t>
  </si>
  <si>
    <t>Будівництво ПЛ-10кВ Л-119 ПС "Голованівська"-35/10кВ оп.56-56/1 в смт. Голованівськ для зовнішнього електропостачання автомийки  гр. Голімбієвська Т. П. по вул. Соборна</t>
  </si>
  <si>
    <t>https://zakupki.prom.ua/gov/tenders/UA-2023-08-31-001572-a</t>
  </si>
  <si>
    <t>Будівництво ПЛІ-0,4кВ ТП-260 Л-10 оп.№9-13 для зовнішнього електропостачання абонентської станції мобільного зв'язку ПрАТ "Київстар" у м.  Кропивницький, вул. Велика Перспективна, 24</t>
  </si>
  <si>
    <t>https://zakupki.prom.ua/gov/tenders/UA-2023-08-31-001699-a</t>
  </si>
  <si>
    <t>Придбання дизельних стаціонарних генераторів HIMOINSA HSY-25 T5 потужністю 16,7кВт, або аналог та HIMOINSA HYW-45 T5 потужністю 33кВт, або аналог (Основна діяльність та пункти 7.24 та 7.25 Інвестиційної Програми 2023 року):Придбання дизельних стаціонарних генераторів HIMOINSA HSY-25 T5 потужністю 16,7кВт, або аналог та HIMOINSA HYW-45 T5 потужністю 33кВт, або аналог (Основна діяльність та пункти 7.24 та 7.25 Інвестиційної Програми 2023 року)</t>
  </si>
  <si>
    <t>https://zakupki.prom.ua/gov/tenders/UA-2023-09-01-009213-a/lot-90484c7cd7804a2ebcb0d1ddd4096d53</t>
  </si>
  <si>
    <t xml:space="preserve"> скорочення видатків на здійснення закупівлі товарів, робіт і послуг</t>
  </si>
  <si>
    <t>13 370</t>
  </si>
  <si>
    <t>https://zakupki.prom.ua/gov/tenders/UA-2023-09-12-005223-a/lot-dd6dd2c6db7946bab695096ee94db247</t>
  </si>
  <si>
    <t>Будівництво ПЛІ-0,4кв А-30 ТП-261 оп.№5 в м. Кропивницький для зовнішнього електропостачання абонентської станції мобільного зв'язку  "Київстар" по вул. Івана Похитонова, 4</t>
  </si>
  <si>
    <t>https://zakupki.prom.ua/gov/tenders/UA-2023-09-12-003129-a</t>
  </si>
  <si>
    <t>Будівництво КЛ-0,4кВ від КТП-814 в м. Кропивницький для зовнішнього електропостачання центру експлуатації ПрАТ "ВФ Україна" по вул. Автолюбителів</t>
  </si>
  <si>
    <t>Будівництво ПЛІ-0,4кВ від КТП-814 в м. Кропивницький для зовнішнього електропостачання центру експлуатації ПрАТ "ВФ Україна" по вул. Автолюбителів</t>
  </si>
  <si>
    <t>https://zakupki.prom.ua/gov/tenders/UA-2023-09-12-002759-a</t>
  </si>
  <si>
    <t>https://zakupki.prom.ua/gov/tenders/UA-2023-09-12-001499-a</t>
  </si>
  <si>
    <t>Придбання переносного приладу Е-125 "Гармоніка-М"  для визначення місць замикання на землю ПЛ 6-35кВ, або еквівалент до пункту 7.13 Інвестиційної програми 2023:Придбання переносного приладу Е-125 "Гармоніка-М"  для визначення місць замикання на землю ПЛ 6-35кВ, або еквівалент до пункту 7.13 Інвестиційної програми 2023</t>
  </si>
  <si>
    <t>https://zakupki.prom.ua/gov/tenders/UA-2023-09-06-008139-a/lot-93a24d6c4fdb4ddba53a8d2ec00ae2b8</t>
  </si>
  <si>
    <t>Садова техніка різна (або еквівалент) (Інвестиційна програма 2023 п. 7.6-7.10):Садова техніка різна (або еквівалент) (Інвестиційна програма 2023 п. 7.6-7.10)</t>
  </si>
  <si>
    <t>https://zakupki.prom.ua/gov/tenders/UA-2023-09-06-007953-a/lot-665ab122074d4269b70ceb0ce24e0253</t>
  </si>
  <si>
    <t>Придбання пресу гідравлічного електромонтажного ПГа-100 із комплектом матриць та гідравлічною насосною станцією ДПС 08Р2Э5 (або еквівалент) до пункту 7.11 Інвестиційної програми 2023:Придбання пресу гідравлічного електромонтажного ПГа-100 із комплектом матриць та гідравлічною насосною станцією ДПС 08Р2Э5 (або еквівалент) до пункту 7.11 Інвестиційної програми 2023</t>
  </si>
  <si>
    <t>https://zakupki.prom.ua/gov/tenders/UA-2023-09-06-007560-a/lot-db8ff7c4cb604387bc65ed74a83e9936</t>
  </si>
  <si>
    <t>Придбання комплекту засобів для бригад по обслуговуванню обладнання підстанцій 35кВ (СП) (п.7.4 ІП 2023р.) (або еквівалент):Придбання комплекту засобів для бригад по обслуговуванню обладнання підстанцій 35кВ (СП) (п.7.4 ІП 2023р.) (або еквівалент)</t>
  </si>
  <si>
    <t>Трансформатори струму (пункти 2.9.1. 2.9.2. 2.9.3. 2.9.4 2.9.5 Інвестиційної програми 2023р.) (або еквівалент):Трансформатори струму (пункти 2.9.1. 2.9.2. 2.9.3. 2.9.4 2.9.5 Інвестиційної програми 2023р.) (або еквівалент)</t>
  </si>
  <si>
    <t>https://zakupki.prom.ua/gov/tenders/UA-2023-09-06-007510-a/lot-ddd47924b96643848ed653cb9b1df1da</t>
  </si>
  <si>
    <t>https://zakupki.prom.ua/gov/tenders/UA-2023-09-05-007575-a/lot-896f824bd23949ff9ec40f9904f04ad8</t>
  </si>
  <si>
    <t>учасника дискваліфіковано, закупівля не відбулась</t>
  </si>
  <si>
    <t>Будівництво ПЛІ-0,4 кВ від КТП-427 для зовнішнього електропостачання базової станції мобільного зв'язку KD0118, в с. Великі Трояни, Голованівський район</t>
  </si>
  <si>
    <t>https://zakupki.prom.ua/gov/tenders/UA-2023-09-18-004898-a</t>
  </si>
  <si>
    <t>Будівництво КЛ-0,4кВ від ЗТП-720 для зовнішнього електропостачання Храму Парафія Апостола Андрія Первозванного ПЦУ в м. Кропивницький</t>
  </si>
  <si>
    <t>https://zakupki.prom.ua/gov/tenders/UA-2023-09-19-007532-a</t>
  </si>
  <si>
    <t>Ремонт блоків живлення BP/TEL-220-02A</t>
  </si>
  <si>
    <t>https://zakupki.prom.ua/gov/tenders/UA-2023-09-20-010554-a</t>
  </si>
  <si>
    <t>Капітальний ремонт приладу "Альтра"</t>
  </si>
  <si>
    <t>https://zakupki.prom.ua/gov/tenders/UA-2023-09-22-000657-a</t>
  </si>
  <si>
    <t>Провід ПВ 1х1,5 по п.1.13 ІП-2023 року (придбання вакуумних вимикачів 6-10кВ для заміни існуючих на ПС-35кВ) (господарський спосіб))</t>
  </si>
  <si>
    <t>UA-P-2023-09-22-000194-b</t>
  </si>
  <si>
    <t>https://zakupki.prom.ua/gov/plans/UA-P-2023-09-22-000194-b</t>
  </si>
  <si>
    <t>Будівництво КЛ-10 кВ від комірки №16 ПС "Таборище"-35/10кВ для зовнішнього електропостачання комплексу будівель (термопласт) ФОП Дігтярук В.М. за адресою: м.Світловодськ, вул. Макаренка, буд.9</t>
  </si>
  <si>
    <t>https://zakupki.prom.ua/gov/tenders/UA-2023-09-25-008707-a</t>
  </si>
  <si>
    <t>Технічне переоснащення комірки №16 ПС "Таборище"-35/10 кВ для зовнішнього електропостачання комплексу будівель (термопласт) ФОП Дігтярук В.М. за адресою м. Світловодськ, вул. Макаренка, буд.9</t>
  </si>
  <si>
    <t>https://zakupki.prom.ua/gov/tenders/UA-2023-09-25-008718-a</t>
  </si>
  <si>
    <t>Будівництво КТП-137 в м. Благовіщенське для зовнішнього електропостачання складу</t>
  </si>
  <si>
    <t>https://zakupki.prom.ua/gov/tenders/UA-2023-09-27-006761-a</t>
  </si>
  <si>
    <t>Будівництво ПЛ-10 кВ Л-123 оп.426 ПС "Вільхово" в м. Благовіщенське для зовнішнього електропостачання складу</t>
  </si>
  <si>
    <t>https://zakupki.prom.ua/gov/tenders/UA-2023-09-27-007155-a</t>
  </si>
  <si>
    <t>Розробка ПКД “Реконструкція ПЛ-150кВ Л-85К, Л-86К “Кварцит – Тимкове тягова” в Кіровоградській області” (перехідний захід ІП-2023 - ІП-2024 п.1.14.1):Розробка ПКД “Реконструкція ПЛ-150кВ Л-85К, Л-86К “Кварцит – Тимкове тягова” в Кіровоградській області” (перехідний захід ІП-2023 - ІП-2024 п.1.14.1)</t>
  </si>
  <si>
    <t>https://zakupki.prom.ua/gov/tenders/UA-2023-09-29-009263-a/lot-1b43f461855448bbb672524ab26096e5</t>
  </si>
  <si>
    <t>Ремонт кабельної лінії зв'язку від ЦВЗ №1 до АК №2 (інв.№ 106414), шляхом прокладання оптичного кабелю</t>
  </si>
  <si>
    <t>https://zakupki.prom.ua/gov/tenders/UA-2023-10-03-002362-a</t>
  </si>
  <si>
    <t>Капітальний ремонт комплексу будівель та споруд пров.Шевченка, 25а смт.Компаніївка</t>
  </si>
  <si>
    <t>https://zakupki.prom.ua/gov/tenders/UA-2023-10-09-004357-a</t>
  </si>
  <si>
    <t xml:space="preserve">неможливість усунення порушень, що виникли через виявлені порушення вимог законодавства </t>
  </si>
  <si>
    <t>Будівництво ПЛІ-0,4 кВ від ЗТП-680 для зовнішнього електропостачання котельні КП "Теплоенергетик" по вул. Комарова, 6 в м. Кропивницький</t>
  </si>
  <si>
    <t>https://zakupivli.pro/gov/tenders/UA-2023-10-10-013153-a</t>
  </si>
  <si>
    <t xml:space="preserve">Ремонт КЛ зв'язку від ПС 150 кВ "Кіровоградська" до РВБ Кіровоградського РЕМ в частині зварювання оптоволоконного </t>
  </si>
  <si>
    <t>https://zakupivli.pro/gov/tenders/UA-2023-10-16-006331-a</t>
  </si>
  <si>
    <t>Капітальний ремонт будівлі адміністративного корпусу за адресою Студентський бульвар 15 м. Кропивницький Кіровоградської обл. (аварійна система водопостачання)</t>
  </si>
  <si>
    <t>https://zakupivli.pro/gov/tenders/UA-2023-10-24-009180-a</t>
  </si>
  <si>
    <t>https://zakupivli.pro/gov/tenders/UA-2023-10-24-012659-a</t>
  </si>
  <si>
    <t>Будівництво ЩТП-139кВ для зовнішнього електропостачання абонентської станції мобільного зв'язку ПрАТ "Київстар" в с. Івангород, (Олександрівський РЕМ)</t>
  </si>
  <si>
    <t>Будівництво ЩТП-357 для зовнішнього електропостачання комплексу (магазин) ФОП Маренич А.В. по вул. Незалежності України, буд.54 в смт.Олександрівка Кропивницького району</t>
  </si>
  <si>
    <t>https://zakupivli.pro/gov/tenders/UA-2023-10-25-014030-a</t>
  </si>
  <si>
    <t>https://zakupivli.pro/gov/tenders/UA-2023-10-25-014028-a</t>
  </si>
  <si>
    <t>https://zakupivli.pro/gov/tenders/UA-2023-10-25-013765-a</t>
  </si>
  <si>
    <t>Технічне переоснащення комірки №16 ПС "Таборище"-35/10 кВ для зовнішнього електропостачання комплексу будівель (термопласт) ФОП Дігтярук В.М. за адресою: м. Світловодськ, вул. Макаренка, буд.9</t>
  </si>
  <si>
    <t>Будівництво ЩТП-1488 для зовнішнього електропостачання приміщення магазину гр. Логвин Ю.В. по просп. Соборний, буд.170-а в м. Олександрія</t>
  </si>
  <si>
    <t>https://zakupivli.pro/gov/tenders/UA-2023-11-09-003211-a</t>
  </si>
  <si>
    <t>https://zakupivli.pro/gov/tenders/UA-2023-11-09-002876-a</t>
  </si>
  <si>
    <t>Садова техніка різна (ІП 2023 п. 7.9, 7.10) (або еквівалент):Садова техніка різна (ІП 2023 п. 7.9, 7.10) (або еквівалент)</t>
  </si>
  <si>
    <t>https://zakupivli.pro/gov/tenders/UA-2023-11-17-011056-a/lot-deb817b15f0e45febd04c5bca1c2de4f</t>
  </si>
  <si>
    <t>Капітальний ремонт будівлі ЗТП-1189 пр. Будівельників м. Олександрія (улаштування покрівлі з металопрофілю)</t>
  </si>
  <si>
    <t>https://zakupivli.pro/gov/tenders/UA-2023-11-28-012355-a</t>
  </si>
  <si>
    <t>Капітальний ремонт будівлі РП-5 по вул. 40 років Перемоги м. Олександрія (Заміна металевих дверних блоків)</t>
  </si>
  <si>
    <t>https://zakupivli.pro/gov/tenders/UA-2023-11-28-012959-a</t>
  </si>
  <si>
    <t>Капітальний ремонт будівлі ЗТП-1199 по вул. Героїв Сталінграду, м. Олександрія</t>
  </si>
  <si>
    <t>https://zakupivli.pro/gov/tenders/UA-2023-11-28-014870-a</t>
  </si>
  <si>
    <t>Будівництво БКТПз-828 (2х1000) в м. Кропивницький для зовнішнього електропостачання  ТОВ «АГ» за адресою: м. Кропивницький, вул. Яновського, 65/52, із матеріалів та обладнання підрядника (приєднання):Будівництво БКТПз-828 (2х1000) в м. Кропивницький для зовнішнього електропостачання  ТОВ «АГ» за адресою: м. Кропивницький, вул. Яновського, 65/52, із матеріалів та обладнання підрядника (приєднання)</t>
  </si>
  <si>
    <t>https://zakupivli.pro/gov/tenders/UA-2023-11-29-007510-a/lot-717d1b8abee1462db72d4e2dd23fb0d6</t>
  </si>
  <si>
    <t>Капітальний ремонт КЛ-35 кВ відгалуження від ПЛ-35кВ Л-608 до ПС-35/6кВ Луч в м. Олександрія Кіровоградської області</t>
  </si>
  <si>
    <t>Капітальний ремонт КЛ-35 кВ відгалуження від ПЛ-35кВ Л-605У до ПС-35/6кВ Луч в м. Олександрія Кіровоградської області</t>
  </si>
  <si>
    <t>https://zakupivli.pro/gov/tenders/UA-2023-12-01-004762-a</t>
  </si>
  <si>
    <t>https://zakupivli.pro/gov/tenders/UA-2023-12-01-005369-a</t>
  </si>
  <si>
    <t>Будівництво ПЛ-10 кВ Л-171 оп.208-370 в с. Велика Андрусівка Олександрійського району для зовнішнього електропостачання водонапірної станції Грушки В.І.</t>
  </si>
  <si>
    <t>https://zakupivli.pro/gov/tenders/UA-2023-12-06-005005-a</t>
  </si>
  <si>
    <t>Капітальний ремонт будівлі ЗТП-1086 по пр.Соборному, м. Олександрія, Кіровоградської обл. (улаштування покрівлі з металопрофілю)</t>
  </si>
  <si>
    <t>https://zakupivli.pro/gov/tenders/UA-2023-12-06-005920-a</t>
  </si>
  <si>
    <t>Капітальний ремонт будівлі ЗТП-1404 по вул. 6-го Грудня, м. Олександрія, Кіровоградської області (улаштування покрівлі з металопрофілю)</t>
  </si>
  <si>
    <t>https://zakupivli.pro/gov/tenders/UA-2023-12-06-010301-a</t>
  </si>
  <si>
    <t>Капітальний ремонт будівлі ЗТП-1170 по вул. Діброва м.Олександрія (улаштування покрівлі з металопрофілю)</t>
  </si>
  <si>
    <t>https://zakupivli.pro/gov/tenders/UA-2023-12-07-000379-a</t>
  </si>
  <si>
    <t>Капітальний ремонт будівлі гараж СМІТ, АПК (система водопостачання) по вул. Енергетиків, 2Е в м. Кропивницький</t>
  </si>
  <si>
    <t>https://zakupivli.pro/gov/tenders/UA-2023-12-07-007786-a</t>
  </si>
  <si>
    <t>Ремонт електромагнітних котушок вмикання приводу масляного вимикача 35 кВ</t>
  </si>
  <si>
    <t>https://zakupivli.pro/gov/tenders/UA-2023-12-11-019550-a</t>
  </si>
  <si>
    <t>Реконструкція ВРУ-150 кВ ПС-150/35/10 кВ "Новоархангельська", с. Торговиця, Голованівський район, Кіровоградська область (пункт 1.9 Інвестиційної Програми 2024):Реконструкція ВРУ-150 кВ ПС-150/35/10 кВ "Новоархангельська", с. Торговиця, Голованівський район, Кіровоградська область (пункт 1.9 Інвестиційної Програми 2024)</t>
  </si>
  <si>
    <t>https://zakupivli.pro/gov/tenders/UA-2023-12-21-014486-a/lot-02a54ebb58694dfb9f557643406e227e</t>
  </si>
  <si>
    <t>ЛОТ1 - 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2024). ЛОТ2 - Придбання мобільного трифазного аналізатора якості електричної енергії типу Metrel MI2885 EU, з характеристикою процесу вимірювання класу S, або аналог (МС) (пункт 7.2. Інвестиційної Програми 2024).:ЛОТ1</t>
  </si>
  <si>
    <t>ЛОТ1 - 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2024). ЛОТ2 - Придбання мобільного трифазного аналізатора якості електричної енергії типу Metrel MI2885 EU, з характеристикою процесу вимірювання класу S, або аналог (МС) (пункт 7.2. Інвестиційної Програми 2024).:ЛОТ2</t>
  </si>
  <si>
    <t>https://zakupivli.pro/gov/tenders/UA-2023-12-14-013003-a</t>
  </si>
  <si>
    <t>закупівля скасована у  зв'язку з відсутністю подальшої потреби</t>
  </si>
  <si>
    <t>Капітальний ремонт на ПС 150/35/10 кВ Новоархангельська в частині заміни моторного приводу РПН силового трансформатора 1Т типу ТДТН-25000/150</t>
  </si>
  <si>
    <t>https://zakupivli.pro/gov/tenders/UA-2023-12-28-006964-a</t>
  </si>
  <si>
    <t xml:space="preserve">Капітальний ремонт на ПС 150/35/10 кВ "Березівка" в частині заміни моторного приводу РПН силового трансформатора 1Т  ТДТН-40000/150 </t>
  </si>
  <si>
    <t>https://zakupivli.pro/gov/tenders/UA-2023-12-28-007824-a</t>
  </si>
  <si>
    <t>Розробка ПКД: "Реконструкція ПЛ-0,4кВ від КТП-1309 в с.Звенигородка Олександрійського району (Олександрійський РЕМ)"</t>
  </si>
  <si>
    <t>Розробка ПКД: "Реконструкція ПЛ-0,4кВ від КТП-1306 в с.Марто-Іванівка Олександрійського району (Олександрійський РЕМ)"</t>
  </si>
  <si>
    <t>https://zakupivli.pro/gov/tenders/UA-2023-12-28-009035-a</t>
  </si>
  <si>
    <t>https://zakupivli.pro/gov/tenders/UA-2023-12-28-008817-a</t>
  </si>
  <si>
    <t>Розробка ПКД: "Реконструкція ПЛ-0,4кВ від КТП-1364 в с.Звенигородка Олександрійського району (Олександрійський РЕМ)"</t>
  </si>
  <si>
    <t>https://zakupivli.pro/gov/tenders/UA-2023-12-28-009172-a</t>
  </si>
  <si>
    <t>Розробка ПКД: Нове будівництво ділянки ПЛ-6 кВ від ПЛ-6 кВ Л-65 для живлення КТП-1480 та ЩТП-1481 по вул. Воронова, вул. Лугова та вул. Конєва в с. Марто-Іванівка Олександрійського району Кіровоградської області (Олександрійський РЕМ)</t>
  </si>
  <si>
    <t>https://zakupivli.pro/gov/tenders/UA-2023-12-28-009254-a</t>
  </si>
  <si>
    <t>Розробка ПКД: Реконструкція ПЛ-0,4 кВ від КТП-1308 в с. Звенигородка Олександрійського району (Олександрійський РЕМ)</t>
  </si>
  <si>
    <t>https://zakupivli.pro/gov/tenders/UA-2023-12-28-009421-a</t>
  </si>
  <si>
    <t>Капітальний ремонт будівлі ЗТП-1010 по вул. Покровська площа, м. Олександрія, Кіровоградської обл.  (Улаштування покрівлі з металопрофілю)</t>
  </si>
  <si>
    <t>Капітальний ремонт будівлі ЗТП-1163  по вул.Героїв Сталінграду, м. Олександрія, Кіровоградської обл. (Улаштування покрівлі з металопрофілю)</t>
  </si>
  <si>
    <t>https://zakupivli.pro/gov/tenders/UA-2023-12-29-000127-a</t>
  </si>
  <si>
    <t>https://zakupivli.pro/gov/tenders/UA-2023-12-29-000125-a</t>
  </si>
  <si>
    <t>Капітальний ремонт будівлі ЗТП-1169  по вул.Діброви, м. Олександрія, Кіровоградської обл. (Улаштування покрівлі з металопрофілю)</t>
  </si>
  <si>
    <t>Капітальний ремонт будівлі ЗТП-1098  по вул. Святомиколаївська, м. Олександрія, Кіровоградської обл. (Улаштування покрівлі з металопрофілю)</t>
  </si>
  <si>
    <t>Капітальний ремонт будівлі ЗТП-1100 по вул. Петра Сагайдачного, м. Олександрія, Кіровоградської обл. (Улаштування покрівлі з металопрофілю)</t>
  </si>
  <si>
    <t>https://zakupivli.pro/gov/tenders/UA-2023-12-29-001754-a</t>
  </si>
  <si>
    <t>https://zakupivli.pro/gov/tenders/UA-2023-12-29-000902-a</t>
  </si>
  <si>
    <t>https://zakupivli.pro/gov/tenders/UA-2023-12-29-000155-a</t>
  </si>
  <si>
    <t>Роботи по капітальному ремонту на ПС 150/35/10 кВ Березівка в частині заміни моторного приводу РПН силового трансформатора 1Т типу ТДТН-40000/150</t>
  </si>
  <si>
    <t>Роботи по капітальному ремонту на ПС 150/35/10 кВ Новоархангельська в частині заміни моторного приводу РПН силового трансформатора 1 Т типу ТДТН-25000/150</t>
  </si>
  <si>
    <t>https://zakupivli.pro/gov/tenders/UA-2024-01-04-005897-a</t>
  </si>
  <si>
    <t>https://zakupivli.pro/gov/tenders/UA-2024-01-04-005625-a</t>
  </si>
  <si>
    <t>Капітальний ремонт будівлі ОПУ П/СТ "Скельова" с.В.Скельове, Світловодський р-н, Кіровоградської обл.  (заміна вікон)</t>
  </si>
  <si>
    <t>Капітальний ремонт будівлі ОПУ П/СТ "ЗЧМ" по вул.Заводській 3-п, м.Світловодськ, Кіровоградської області (заміна вікон)</t>
  </si>
  <si>
    <t>Капітальний ремонт будівлі ЗТП-26  по вул.В.Бойко, м. Світловодськ, Кіровоградської обл. (Улаштування покрівлі з металопрофілю,  вимощення)</t>
  </si>
  <si>
    <t>https://zakupivli.pro/gov/tenders/UA-2024-01-08-000900-a</t>
  </si>
  <si>
    <t>https://zakupivli.pro/gov/tenders/UA-2024-01-08-000709-a</t>
  </si>
  <si>
    <t>https://zakupivli.pro/gov/tenders/UA-2024-01-08-000421-a</t>
  </si>
  <si>
    <t>Розробка ПКД: "Реконструкція ПЛ-0,4 кВ від КТП-245 в с.Оникієве Маловисківського (Новоукраїнського) району Маловисківський РЕМ"</t>
  </si>
  <si>
    <t>Розробка ПКД: "Нове будівництво ділянки ПЛ-10кВ Л-157 для живлення КТП-545 по вул.Світанкова в с.Оникієве Новоукраїнського району Кіровоградської області (Маловисківський РЕМ)</t>
  </si>
  <si>
    <t>Розробка ПКД: "Реконструкція ПЛ-0,4 кВ від КТП-428 в с.Оникієве Маловисківського (Новоукраїнського) району (Маловисківський РЕМ)</t>
  </si>
  <si>
    <t>https://zakupivli.pro/gov/tenders/UA-2024-01-08-005490-a</t>
  </si>
  <si>
    <t>https://zakupivli.pro/gov/tenders/UA-2024-01-08-004546-a</t>
  </si>
  <si>
    <t>https://zakupivli.pro/gov/tenders/UA-2024-01-08-003981-a</t>
  </si>
  <si>
    <t>44210000-5 Конструкції та їх частини</t>
  </si>
  <si>
    <t>https://zakupivli.pro/gov/tenders/UA-2024-01-11-008391-a</t>
  </si>
  <si>
    <t>Будівництво ПЛ, ПЛІ-10,0,4кВ Л-89 ТП-387 Л-3 с. Соколівське Кіровоградський РЕМ для зовнішнього електропостачання житлового будинку з будівельним майданчиком гр. Чухненко Н.Й. по вул. Зоологічна, буд. 20</t>
  </si>
  <si>
    <t>Будівництво ПЛІ-0,4кВ Л-3 КТП-387 с. Соколівське  Кіровоградський РЕМ для зовнішнього електропостачання житлового будинку з будівельним майданчиком гр. Чухненко Н.Й. по вул. Зоологічна, буд. 20</t>
  </si>
  <si>
    <t>https://zakupivli.pro/gov/tenders/UA-2024-01-12-010003-a</t>
  </si>
  <si>
    <t>https://zakupivli.pro/gov/tenders/UA-2024-01-12-009909-a</t>
  </si>
  <si>
    <t>Траверси</t>
  </si>
  <si>
    <t>https://zakupivli.pro/gov/tenders/UA-2024-01-13-000371-a</t>
  </si>
  <si>
    <t>Стійка СВ-105-5</t>
  </si>
  <si>
    <t>https://zakupivli.pro/gov/tenders/UA-2024-01-13-000381-a</t>
  </si>
  <si>
    <t>Капітальний ремонт комплексу будівель та споруд за адресою вул.Аджамська, 9, м. Кропивницький, цех з ремонту приладів обліку (літ."Х"), аварійне відновлення від пошкодження вибухом (вікна, двері,перегородки)</t>
  </si>
  <si>
    <t>Капітальний ремонт комплексу будівель та споруд за адресою вул.Аджамська, 9, м. Кропивницький, ремонтна майстерня з боксами (літ."З") та операторська складу ПММ (літ."Т") аварійне відновлення від пошкодження вибухом (вікна, двері)</t>
  </si>
  <si>
    <t>https://zakupivli.pro/gov/tenders/UA-2024-01-17-000623-a</t>
  </si>
  <si>
    <t>https://zakupivli.pro/gov/tenders/UA-2024-01-17-000372-a</t>
  </si>
  <si>
    <t xml:space="preserve">Капітальний ремонт реєстраторів аварійних подій "РЕКОН-07БС" </t>
  </si>
  <si>
    <t>https://zakupivli.pro/gov/tenders/UA-2024-01-17-005247-a</t>
  </si>
  <si>
    <t>Лічильники електроенергії (пункти Інвестиційної програми 2024 п. 2.1.1.1; 2.1.1.2; 2.1.2.1; 2.1.2.2; 2.1.2.3; 2.1.2.4; 2.3.1; 2.3.2) (або еквівалент):Лічильники електроенергії (пункти Інвестиційної програми 2024 п. 2.1.1.1; 2.1.1.2; 2.1.2.1; 2.1.2.2; 2.1.2.3; 2.1.2.4; 2.3.1; 2.3.2) (або еквівалент)</t>
  </si>
  <si>
    <t>https://zakupivli.pro/gov/tenders/UA-2024-01-18-003325-a/lot-fc53341c8b354448953712f1b371711c</t>
  </si>
  <si>
    <t>Садова техніка різна, або аналог (пункт 7.3-7.7 Інвестиційної Програми 2024):Садова техніка різна, або аналог (пункт 7.3-7.7 Інвестиційної Програми 2024)</t>
  </si>
  <si>
    <t>https://zakupivli.pro/gov/tenders/UA-2024-01-18-003702-a/lot-27cd208e8a504524a5e97e2ee6194a7e</t>
  </si>
  <si>
    <t>Придбання бригадного автомобіля ТК-ІV-АРМ на шасі Iveco EuroCargo 4x4, або аналог (пункт 6.4 Інвестиційної Програми 2024):Придбання бригадного автомобіля ТК-ІV-АРМ на шасі Iveco EuroCargo 4x4, або аналог (пункт 6.4 Інвестиційної Програми 2024)</t>
  </si>
  <si>
    <t>https://zakupivli.pro/gov/tenders/UA-2024-01-18-004061-a/lot-b857a65b5d5a449babbd1d091413e166</t>
  </si>
  <si>
    <t>Придбання автомобіля Peugeot Landtrek з кунгом, або аналог (пункт 6.3 Інвестиційної Програми 2024):Придбання автомобіля Peugeot Landtrek з кунгом, або аналог (пункт 6.3 Інвестиційної Програми 2024)</t>
  </si>
  <si>
    <t>34110000-1 Легкові автомобілі</t>
  </si>
  <si>
    <t>https://zakupivli.pro/gov/tenders/UA-2024-01-18-004549-a/lot-35b11790e83540b5b10175e6e83338b7</t>
  </si>
  <si>
    <t>Придбання системи гарантованого електроживлення в комплекті з АБ для вузлів ЗДТУ (пункт 5.1 Інвестиційної Програми 2024):Придбання системи гарантованого електроживлення в комплекті з АБ для вузлів ЗДТУ (пункт 5.1 Інвестиційної Програми 2024)</t>
  </si>
  <si>
    <t>https://zakupivli.pro/gov/tenders/UA-2024-01-18-008225-a/lot-e0982ca341584f5b9ebbbed729237236</t>
  </si>
  <si>
    <t>Трансформатори струму (пункти 2.1.2.5. 2.1.2.6. 2.1.2.7. 2.1.2.8.  Інвестиційної програми 2024р.) (або еквівалент):Трансформатори струму (пункти 2.1.2.5. 2.1.2.6. 2.1.2.7. 2.1.2.8.  Інвестиційної програми 2024р.) (або еквівалент)</t>
  </si>
  <si>
    <t>https://zakupivli.pro/gov/tenders/UA-2024-01-18-012259-a/lot-c8e2511ae6bb435cb115a9e6e96d80d3</t>
  </si>
  <si>
    <t>Придбання автопідйомника TK-IV-AGP 34 на шасі Iveco EuroCargo ML110E25WS 4х4, або аналог (пункт 6.1 Інвестиційної Програми 2024):Придбання автопідйомника TK-IV-AGP 34 на шасі Iveco EuroCargo ML110E25WS 4х4, або аналог (пункт 6.1 Інвестиційної Програми 2024)</t>
  </si>
  <si>
    <t>https://zakupivli.pro/gov/tenders/UA-2024-01-18-014724-a/lot-a487fc84f030424fa6d4779986499543</t>
  </si>
  <si>
    <t>Придбання автомобіля JAC N56 DoubleCab бортовий з тентом, або аналог (пункт 6.2 Інвестиційної Програми 2024):Придбання автомобіля JAC N56 DoubleCab бортовий з тентом, або аналог (пункт 6.2 Інвестиційної Програми 2024)</t>
  </si>
  <si>
    <t>https://zakupivli.pro/gov/tenders/UA-2024-01-18-015585-a/lot-ce8668c9daaa48848c914e219b61d49a</t>
  </si>
  <si>
    <t>Нове будівництво АСДУ Петрівського РЕМ (5 ПС-35кВ, 1 ЦРП) (пункт 3.1 Інвестиційної Програми 2024):Нове будівництво АСДУ Петрівського РЕМ (5 ПС-35кВ, 1 ЦРП) (пункт 3.1 Інвестиційної Програми 2024)</t>
  </si>
  <si>
    <t>https://zakupivli.pro/gov/tenders/UA-2024-01-18-015306-a/lot-2167d99758c7415aa6de22bf4afd25b4</t>
  </si>
  <si>
    <t>Реконструкція АСДУ Добровеличківського РЕМ (1 ПС-150кВ, 7 ПС-35кВ, 1 ЦРП) (пункт 3.2 Інвестиційної Програми 2024):Реконструкція АСДУ Добровеличківського РЕМ (1 ПС-150кВ, 7 ПС-35кВ, 1 ЦРП) (пункт 3.2 Інвестиційної Програми 2024)</t>
  </si>
  <si>
    <t>https://zakupivli.pro/gov/tenders/UA-2024-01-18-016148-a/lot-aec47e57b80445e6a012a23c508facff</t>
  </si>
  <si>
    <t>Реконструкція АСДУ Олександрівського РЕМ (10 ПС-35кВ) (пункт 3.3 Інвестиційної Програми 2024):Реконструкція АСДУ Олександрівського РЕМ (10 ПС-35кВ) (пункт 3.3 Інвестиційної Програми 2024)</t>
  </si>
  <si>
    <t>https://zakupivli.pro/gov/tenders/UA-2024-01-19-000255-a/lot-17d7c5ee87114cb7a46eb3b89daa246c</t>
  </si>
  <si>
    <t>Дошка обрізна, брус</t>
  </si>
  <si>
    <t>Конструкції та їх частини (Стійки СВ-105-5) (підстава - згідно з підпунктом 4 пункту 13 Особливостей товарів, робіт і послуг для замовників, передбачених Законом України «Про публічні закупівлі», на період дії правового режиму воєнного стану в Україні та протягом 90 днів з дня його припинення або скасування, затверджених постановою від 12.10.2022 № 1178)</t>
  </si>
  <si>
    <t>Каболка 20 мм</t>
  </si>
  <si>
    <t>Бачок розширювальний трансформатора 10/0,4 кВ</t>
  </si>
  <si>
    <t>03410000-7 Деревина</t>
  </si>
  <si>
    <t>39540000-9 Вироби різні з канату, мотузки, шпагату та сітки</t>
  </si>
  <si>
    <t>31160000-5 Частини електродвигунів, генераторів і трансформаторів</t>
  </si>
  <si>
    <t>https://zakupivli.pro/gov/tenders/UA-2024-01-22-014388-a</t>
  </si>
  <si>
    <t>https://zakupivli.pro/gov/tenders/UA-2024-01-22-009491-a</t>
  </si>
  <si>
    <t>кілограм</t>
  </si>
  <si>
    <t>https://zakupivli.pro/gov/tenders/UA-2024-01-22-008156-a</t>
  </si>
  <si>
    <t>https://zakupivli.pro/gov/tenders/UA-2024-01-22-007945-a</t>
  </si>
  <si>
    <t>Реконструкція ПС "Калинівка-2"-35/10кВ в частині заміни акумуляторної батареї, с.Калинівка, Кропивницький район, Кіровоградська область (пункт 1.11 ІП-2024)</t>
  </si>
  <si>
    <t>https://zakupivli.pro/gov/tenders/UA-2024-01-23-013208-a</t>
  </si>
  <si>
    <t>Конструкції та їх частини ЛОТ1-5 (або еквівалент) (основна діяльність).:ЛОТ1</t>
  </si>
  <si>
    <t>Конструкції та їх частини ЛОТ1-5 (або еквівалент) (основна діяльність).:ЛОТ2</t>
  </si>
  <si>
    <t>Конструкції та їх частини ЛОТ1-5 (або еквівалент) (основна діяльність).:ЛОТ3</t>
  </si>
  <si>
    <t>Конструкції та їх частини ЛОТ1-5 (або еквівалент) (основна діяльність).:ЛОТ4</t>
  </si>
  <si>
    <t>Конструкції та їх частини ЛОТ1-5 (або еквівалент) (основна діяльність).:ЛОТ5</t>
  </si>
  <si>
    <t>https://zakupivli.pro/gov/tenders/UA-2024-01-23-002308-a</t>
  </si>
  <si>
    <t>Роботи по відновленню асфальтобетонного покриття після ремонту КЛ-0,4-10кВ</t>
  </si>
  <si>
    <t>https://zakupivli.pro/gov/tenders/UA-2024-01-24-005968-a</t>
  </si>
  <si>
    <t>Елементи електричних схем (або еквівалент) (основна діяльність):ЛОТ 1</t>
  </si>
  <si>
    <t>Елементи електричних схем (або еквівалент) (основна діяльність):ЛОТ 2</t>
  </si>
  <si>
    <t>Елементи електричних схем (або еквівалент) (основна діяльність):ЛОТ 3</t>
  </si>
  <si>
    <t>https://zakupivli.pro/gov/tenders/UA-2024-01-24-010255-a/lot-5ba3acf01d964a4abc56d6441d99b463</t>
  </si>
  <si>
    <t>https://zakupivli.pro/gov/tenders/UA-2024-01-24-010255-a/lot-1d02cc7b7bdb497bbad33bd2c53f6481</t>
  </si>
  <si>
    <t>https://zakupivli.pro/gov/tenders/UA-2024-01-24-010255-a/lot-b5cfed231d4b4152ab260cca11cb8fc9</t>
  </si>
  <si>
    <t>Елементи електричних схем (реле) (або еквівалент) (основна діяльність)</t>
  </si>
  <si>
    <t>https://zakupivli.pro/gov/tenders/UA-2024-01-24-009975-a/lot-004106e949e24df4a3df0d3e17208f6d</t>
  </si>
  <si>
    <t>Ремонтна програма/приєднання</t>
  </si>
  <si>
    <t>Муфти кабельні (або еквівалент) (основна діяльність):Муфти кабельні (або еквівалент) (основна діяльність)</t>
  </si>
  <si>
    <t>31340000-1 Приладдя до ізольованих кабелів</t>
  </si>
  <si>
    <t>https://zakupivli.pro/gov/tenders/UA-2024-01-25-003776-a/lot-e4c72f4a0c7d4008abc34fb131552128</t>
  </si>
  <si>
    <t>Роботи по встановленню однофазних шаф обліку, підрядним способом (матеріали підрядника, крім лічильників) с.Олександрівка КТП - 41,75,76,77,78,79,80 Долинського р-ну, (ІП-2024 п.2.2.1 1-ф шафа з комплектуючими (улаштування відгалудження за допомогою гаку)</t>
  </si>
  <si>
    <t>Роботи по встановленню однофазних шаф обліку, підрядним способом (матеріали підрядника, крім лічильників) с.Іванівка КТП - 83,84,478,479,480 Долинського р-ну, (ІП-2024 п.2.2.1 1-ф шафа з комплектуючими (улаштування відгалудження за допомогою гаку)</t>
  </si>
  <si>
    <t>Встановлення однофазних шаф обліку, підрядним способом с. Ганнівка КТП-107, 252, 254, 255, 256, 267, 298, 304, 311 Петрівського району (ІП-2024 п.2.2.1 1-ф шафа з комплектуючими)</t>
  </si>
  <si>
    <t>Роботи по встановленню однофазних шаф обліку, підрядним способом (матеріали підрядника, крім лічильників) с.Федоро-Шулічено КТП - 302,303 Долинського р-ну, (ІП-2024 п.2.2.1 1-ф шафа з комплектуючими (улаштування відгалудження за допомогою гаку)</t>
  </si>
  <si>
    <t>Встановлення однофазних шаф обліку, підрядним способом с. Олександро-Мар'ївка КТП-91, 92, 95, 97, 171, 306 Петрівського району (ІП-2024 п.2.2.1 1-ф шафа з комплектуючими)</t>
  </si>
  <si>
    <t>Роботи по встановленню однофазних шаф обліку, підрядним способом (матеріали підрядника, крім лічильників) с.Козацьке КТП - 32,65,123,215,217,218,322 Петрівського р-ну, (ІП-2024 п.2.2.1 1-ф шафа з комплектуючими (улаштування відгалудження за допомогою гаку)</t>
  </si>
  <si>
    <t>Встановлення однофазних шаф обліку, підрядним способом с. Рядове КТП-56, 57 Петрівського р-ну (ІП-2024 п.2.2.1 1-ф шафа з комплектуючими)</t>
  </si>
  <si>
    <t>https://zakupivli.pro/gov/tenders/UA-2024-01-25-014181-a</t>
  </si>
  <si>
    <t>https://zakupivli.pro/gov/tenders/UA-2024-01-25-013828-a</t>
  </si>
  <si>
    <t>https://zakupivli.pro/gov/tenders/UA-2024-01-25-013604-a</t>
  </si>
  <si>
    <t>https://zakupivli.pro/gov/tenders/UA-2024-01-25-013506-a</t>
  </si>
  <si>
    <t>https://zakupivli.pro/gov/tenders/UA-2024-01-25-013302-a</t>
  </si>
  <si>
    <t>https://zakupivli.pro/gov/tenders/UA-2024-01-25-013186-a</t>
  </si>
  <si>
    <t>https://zakupivli.pro/gov/tenders/UA-2024-01-25-012929-a</t>
  </si>
  <si>
    <t>Трансформатори напруги</t>
  </si>
  <si>
    <t>https://zakupivli.pro/gov/tenders/UA-2024-01-29-003400-a</t>
  </si>
  <si>
    <t>Будівництво КЛ-0,4кВ від ЗТП-487 в м. Долинська для зовнішнього електропостачання житлового будинку по вул. Соборності України, 54</t>
  </si>
  <si>
    <t>https://zakupivli.pro/gov/tenders/UA-2024-01-31-005075-a</t>
  </si>
  <si>
    <t>Встановлення однофазних шаф обліку, підрядним способом с. Покровське КТП-3, 27, 40, 98, Голованівського району (ІП-2024 п.2.2.1 1-ф шафа з комплектуючими)</t>
  </si>
  <si>
    <t>https://zakupivli.pro/gov/tenders/UA-2024-01-31-007241-a</t>
  </si>
  <si>
    <t>Роботи по встановленню однофазних шаф облiку, пiдрядним способом (матерiали пiдрядника, кpiм лiчильникiв) с. Мощене КТП-15, 34, 42, 246, 400 Голованiвського p-ну (ІП-2024 п.2.2.2 1-ф шафа з комплектуючими (улаштування вiдгалуження за допомогою трубостiйки)</t>
  </si>
  <si>
    <t>https://zakupivli.pro/gov/tenders/UA-2024-01-31-007341-a</t>
  </si>
  <si>
    <t>Встановлення однофазних шаф обліку, підрядним способом с. Покровське КТП-3, 27, 40, 98, 332 Голованівського району (ІП-2024 п.2.2.2 1-ф шафа з комплектуючими)</t>
  </si>
  <si>
    <t>Встановлення однофазних шаф обліку підрядним способом (матеріали підрядника, крім лічильників) с. Долинівка КТП-19, 39, 43, 238, 390, 391, 392 Голованівського району (ІП-2024 п.2.2.2 1-ф шафа з комплектуючими (улаштування відгалуження за допомогою трубостійки)</t>
  </si>
  <si>
    <t>https://zakupivli.pro/gov/tenders/UA-2024-01-31-007708-a</t>
  </si>
  <si>
    <t>https://zakupivli.pro/gov/tenders/UA-2024-01-31-007699-a</t>
  </si>
  <si>
    <t>Встановлення однофазних шаф обліку, підрядним способом (матеріали підрядника, крім лічильників)  с. Долинівка КТП- 19, 38, 39, 238, 391, 392 Голованівського р-ну, (ІП-2024 п.2.2.1 1-ф шафа з комплектуючими (улаштування відгалуження за допомогою гаку)</t>
  </si>
  <si>
    <t>Роботи по встановленню однофазних шаф обліку, підрядним способом (матеріали підрядника, крім лічильників)  с. Мощене КТП-15, 34, 42, 246, 400 Голованівського р-ну, (ІП-2024 п.2.2.1 1-ф шафа з комплектуючими (улаштування відгалуження за допомогою гаку)</t>
  </si>
  <si>
    <t>https://zakupivli.pro/gov/tenders/UA-2024-01-31-008115-a</t>
  </si>
  <si>
    <t>https://zakupivli.pro/gov/tenders/UA-2024-01-31-007748-a</t>
  </si>
  <si>
    <t>Встановлення однофазних шаф обліку, підрядним способом (матеріали підрядника, крім лічильників)  с. Бандурове КТП-5, 35, 41, 101, 106, 113, 116, 172, 328 Голованівського р-ну, (ІП-2024 п.2.2.1 1-ф шафа з комплектуючими (улаштування відгалуження за допомогою гаку)</t>
  </si>
  <si>
    <t>https://zakupivli.pro/gov/tenders/UA-2024-01-31-008354-a</t>
  </si>
  <si>
    <t>Частини електродвигунів, генераторів і трансформаторів (або еквівалент) (основна діяльність):ЛОТ 1 - Частини електродвигунів, генераторів і трансформаторів (або еквівалент) (основна діяльність)</t>
  </si>
  <si>
    <t>Частини електродвигунів, генераторів і трансформаторів (або еквівалент) (основна діяльність):ЛОТ 2 - Частини електродвигунів, генераторів і трансформаторів (або еквівалент) (основна діяльність)</t>
  </si>
  <si>
    <t>https://zakupivli.pro/gov/tenders/UA-2024-01-31-010710-a</t>
  </si>
  <si>
    <t>Розробка ПКД: "Капітальний ремонт будівлі цеху з ремонту приладів обліку літ. "Х", комплексу будівель та споруд за адресою: вул. Аджамська, 9 у м. Кропивницький, Кіровоградської області</t>
  </si>
  <si>
    <t>https://zakupivli.pro/gov/tenders/UA-2024-02-01-010457-a</t>
  </si>
  <si>
    <t>Електророзподільні кабелі (або еквівалент)</t>
  </si>
  <si>
    <t>https://zakupivli.pro/gov/tenders/UA-2024-02-01-013304-a/lot-ede8b4d4e1c24398a30ec3f8c374f5bf</t>
  </si>
  <si>
    <t>Електричні акумулятори (або еквівалент) (основна діяльність):ЛОТ 1</t>
  </si>
  <si>
    <t>Електричні акумулятори (або еквівалент) (основна діяльність):ЛОТ 2</t>
  </si>
  <si>
    <t>https://zakupivli.pro/gov/tenders/UA-2024-02-01-013588-a</t>
  </si>
  <si>
    <t>31430000-9 Електричні акумулятори</t>
  </si>
  <si>
    <t>https://zakupivli.pro/gov/tenders/UA-2024-02-01-013687-a/lot-cbf7b0ffd1d84f068fddcb61e642799a</t>
  </si>
  <si>
    <t>Електрична апаратура для комутування та захисту електричних кіл (або еквівалент) (основна діяльність)</t>
  </si>
  <si>
    <t>Реконструкція ПЛ-0,4кВ від КТП-262 в с. Созонівка Кропивницького району Кіровоградської області (Кіровоградський РЕМ) (пункт 1.5.2 Інвестиційної Програми 2024)
Реконструкція ПЛ-0,4кВ від КТП-265 в с. Созонівка Кропивницького району Кіровоградської області (Кіровоградський РЕМ) (пункт 1.5.4 Інвестиційної Програми 2024)
:ЛОТ1. Реконструкція ПЛ-0,4кВ від КТП-262 в с. Созонівка Кропивницького району Кіровоградської області (Кіровоградський РЕМ) (пункт 1.5.2 Інвестиційної Програми 2024)</t>
  </si>
  <si>
    <t>https://zakupivli.pro/gov/tenders/UA-2024-02-02-013046-a</t>
  </si>
  <si>
    <t>Реконструкція ПЛ-0,4кВ від КТП-262 в с. Созонівка Кропивницького району Кіровоградської області (Кіровоградський РЕМ) (пункт 1.5.2 Інвестиційної Програми 2024)
Реконструкція ПЛ-0,4кВ від КТП-265 в с. Созонівка Кропивницького району Кіровоградської області (Кіровоградський РЕМ) (пункт 1.5.4 Інвестиційної Програми 2024)
:ЛОТ2. Реконструкція ПЛ-0,4кВ від КТП-265 в с. Созонівка Кропивницького району Кіровоградської області (Кіровоградський РЕМ) (пункт 1.5.4 Інвестиційної Програми 2024)</t>
  </si>
  <si>
    <t>Реконструкція ПЛ-0,4кВ від ТП-1130 в м. Олександрія з встановленням розвантажувальної ТП, Олександрійський район, Кіровоградська область (Олександрійський РЕМ) (пункт 1.5.14 Інвестиційної Програми 2024):Реконструкція ПЛ-0,4кВ від ТП-1130 в м. Олександрія з встановленням розвантажувальної ТП, Олександрійський район, Кіровоградська область (Олександрійський РЕМ) (пункт 1.5.14 Інвестиційної Програми 2024)</t>
  </si>
  <si>
    <t>https://zakupivli.pro/gov/tenders/UA-2024-02-02-013037-a/lot-b88700d6998348eda24af28d5e710879</t>
  </si>
  <si>
    <t>Реконструкція ПЛ-0,4кВ від КТП-1186 в м. Олександрія Кіровоградської області (Олександрійський РЕМ) (пункт 1.5.18 Інвестиційної Програми 2024):Реконструкція ПЛ-0,4кВ від КТП-1186 в м. Олександрія Кіровоградської області (Олександрійський РЕМ) (пункт 1.5.18 Інвестиційної Програми 2024)</t>
  </si>
  <si>
    <t>https://zakupivli.pro/gov/tenders/UA-2024-02-02-012973-a/lot-5deb52649e1c4ed58761c3f4b810a4d4</t>
  </si>
  <si>
    <t>Реконструкція ПЛ-0,4кВ від ТП-1129 в м. Олександрія з встановленням розвантажувальної ТП, Олександрійський район, Кіровоградська область (Олександрійський РЕМ) (пункт 1.5.13 Інвестиційної Програми 2024):Реконструкція ПЛ-0,4кВ від ТП-1129 в м. Олександрія з встановленням розвантажувальної ТП, Олександрійський район, Кіровоградська область (Олександрійський РЕМ) (пункт 1.5.13 Інвестиційної Програми 2024)</t>
  </si>
  <si>
    <t>https://zakupivli.pro/gov/tenders/UA-2024-02-02-012931-a/lot-d52fa2184e914102a00b8ed97b108942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</si>
  <si>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:ЛОТ1. Реконструкція КЛ-10кВ ТП-65 - ТП-367 в м. Кропивницький (Кіровоградський МРЕМ) (пункт 1.4.5 Інвестиційної Програми 2024)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</si>
  <si>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:ЛОТ2. Реконструкція КЛ-10кВ ТП-251 - ТП-367 в м. Кропивницький (Кіровоградський МРЕМ) (пункт 1.4.6 Інвестиційної Програми 2024)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</si>
  <si>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:ЛОТ3. Реконструкція КЛ-10кВ ТП-491 - ТП-515 в м. Кропивницький (Кіровоградський МРЕМ) (пункт 1.4.8 Інвестиційної Програми 2024)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</si>
  <si>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:ЛОТ4. Реконструкція КЛ-10кВ ТП-65 - ТП-482 в м. Кропивницький (Кіровоградський МРЕМ) (пункт 1.4.10 Інвестиційної Програми 2024)</t>
  </si>
  <si>
    <t>https://zakupivli.pro/gov/tenders/UA-2024-02-02-012574-a</t>
  </si>
  <si>
    <t>Реконструкція ПЛ-0,4кВ від ТП-1128 в м. Олександрія з встановленням розвантажувальної ТП, Олександрійський район, Кіровоградська область (Олександрійський РЕМ) (пункт 1.5.12 Інвестиційної Програми 2024):Реконструкція ПЛ-0,4кВ від ТП-1128 в м. Олександрія з встановленням розвантажувальної ТП, Олександрійський район, Кіровоградська область (Олександрійський РЕМ) (пункт 1.5.12 Інвестиційної Програми 2024)</t>
  </si>
  <si>
    <t>https://zakupivli.pro/gov/tenders/UA-2024-02-02-012545-a/lot-b24fd599e6ef483d887d3ddfdfff3b6e</t>
  </si>
  <si>
    <t>Реконструкція ПЛ-0,4кВ від КТП-1087 в м. Олександрія з встановленням розвантажувальної ТП, Олександрійський район, Кіровоградська область (Олександрійський РЕМ) (пункт 1.5.9 Інвестиційної Програми 2024)
Реконструкція ПЛ-0,4кВ від ЗТП-1104 в м. Олександрія з встановленням розвантажувальної ТП, Олександрійський район, Кіровоградська область (Олександрійський РЕМ) (пункт 1.5.10 Інвестиційної Програми 2024):ЛОТ1. Реконструкція ПЛ-0,4кВ від КТП-1087 в м. Олександрія з встановленням розвантажувальної ТП, Олександрійський район, Кіровоградська область (Олександрійський РЕМ) (пункт 1.5.9 Інвестиційної Програми 2024)</t>
  </si>
  <si>
    <t>Реконструкція ПЛ-0,4кВ від КТП-1087 в м. Олександрія з встановленням розвантажувальної ТП, Олександрійський район, Кіровоградська область (Олександрійський РЕМ) (пункт 1.5.9 Інвестиційної Програми 2024)
Реконструкція ПЛ-0,4кВ від ЗТП-1104 в м. Олександрія з встановленням розвантажувальної ТП, Олександрійський район, Кіровоградська область (Олександрійський РЕМ) (пункт 1.5.10 Інвестиційної Програми 2024):ЛОТ2. Реконструкція ПЛ-0,4кВ від ЗТП-1104 в м. Олександрія з встановленням розвантажувальної ТП, Олександрійський район, Кіровоградська область (Олександрійський РЕМ) (пункт 1.5.10 Інвестиційної Програми 2024)</t>
  </si>
  <si>
    <t>https://zakupivli.pro/gov/tenders/UA-2024-02-02-012435-a</t>
  </si>
  <si>
    <t>Реконструкція ПЛ-0,4кВ від КТП-1044 в м. Олександрія з встановленням розвантажувальної ТП, Олександрійський район, Кіровоградська область (Олександрійський РЕМ) (пункт 1.5.8 Інвестиційної Програми 2024):Реконструкція ПЛ-0,4кВ від КТП-1044 в м. Олександрія з встановленням розвантажувальної ТП, Олександрійський район, Кіровоградська область (Олександрійський РЕМ) (пункт 1.5.8 Інвестиційної Програми 2024)</t>
  </si>
  <si>
    <t>https://zakupivli.pro/gov/tenders/UA-2024-02-02-012110-a/lot-7f2e5f1b2215481f82591706fceb8001</t>
  </si>
  <si>
    <t>Реконструкція ПЛ-0,4кВ від ТП-1017 в м. Олександрія з встановленням розвантажувальної ТП, Олександрійський район, Кіровоградська область (Олександрійський РЕМ) (пункт 1.5.7 Інвестиційної Програми 2024):Реконструкція ПЛ-0,4кВ від ТП-1017 в м. Олександрія з встановленням розвантажувальної ТП, Олександрійський район, Кіровоградська область (Олександрійський РЕМ) (пункт 1.5.7 Інвестиційної Програми 2024)</t>
  </si>
  <si>
    <t>https://zakupivli.pro/gov/tenders/UA-2024-02-02-011984-a/lot-431928540d9a43159a6e3b8238f584ef</t>
  </si>
  <si>
    <t>Реконструкція ПЛ-0,4кВ від ЗТП-1106 Олександрійського РЕМ в м. Олександрія Олександрійського району Кіровоградської області (пункт 1.5.19 Інвестиційної Програми 2024):Реконструкція ПЛ-0,4кВ від ЗТП-1106 Олександрійського РЕМ в м. Олександрія Олександрійського району Кіровоградської області (пункт 1.5.19 Інвестиційної Програми 2024)</t>
  </si>
  <si>
    <t>https://zakupivli.pro/gov/tenders/UA-2024-02-02-011751-a/lot-b065d86a07a347b48df39e1d67f5fe76</t>
  </si>
  <si>
    <t>Реконструкція ПЛ-0,4кВ від КТП-1096 в м. Олександрія Кіровоградської області (Олександрійський РЕМ) (пункт 1.5.17 Інвестиційної Програми 2024):Реконструкція ПЛ-0,4кВ від КТП-1096 в м. Олександрія Кіровоградської області (Олександрійський РЕМ) (пункт 1.5.17 Інвестиційної Програми 2024)</t>
  </si>
  <si>
    <t>https://zakupivli.pro/gov/tenders/UA-2024-02-02-011638-a/lot-bffee2f0a5924e55a76b32caa2d7b046</t>
  </si>
  <si>
    <t xml:space="preserve">Реконструкція ПЛ-0,4кВ від КТП-1063 в м. Олександрія Кіровоградської області (Олександрійський РЕМ) (пункт 1.5.16 Інвестиційної Програми 2024) :Реконструкція ПЛ-0,4кВ від КТП-1063 в м. Олександрія Кіровоградської області (Олександрійський РЕМ) (пункт 1.5.16 Інвестиційної Програми 2024) </t>
  </si>
  <si>
    <t>https://zakupivli.pro/gov/tenders/UA-2024-02-02-011602-a/lot-e225c19f54204a91a5a74f086a0c2b78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</si>
  <si>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:ЛОТ1. 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</si>
  <si>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:ЛОТ2.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</t>
  </si>
  <si>
    <t>https://zakupivli.pro/gov/tenders/UA-2024-02-02-011459-a</t>
  </si>
  <si>
    <t>Реконструкція ПЛ-0,4кВ від ЗТП-1127 в м. Олександрія з встановленням розвантажувальної ТП, Олександрійський район, Кіровоградська область (Олександрійський РЕМ) (пункт 1.5.11 Інвестиційної Програми 2024):Реконструкція ПЛ-0,4кВ від ЗТП-1127 в м. Олександрія з встановленням розвантажувальної ТП, Олександрійський район, Кіровоградська область (Олександрійський РЕМ) (пункт 1.5.11 Інвестиційної Програми 2024)</t>
  </si>
  <si>
    <t>https://zakupivli.pro/gov/tenders/UA-2024-02-02-011398-a/lot-115c1ccee836457595f6efd525a149e8</t>
  </si>
  <si>
    <t>Реконструкція ПЛ-0,4кВ (СІП) Л-2, Л-3 від ТП-542 в с. Соколівське Кропивницького району Кіровоградської області (Коригування) (Кіровоградський РЕМ) (пункт 1.5.6 Інвестиційної Програми 2024):Реконструкція ПЛ-0,4кВ (СІП) Л-2, Л-3 від ТП-542 в с. Соколівське Кропивницького району Кіровоградської області (Коригування) (Кіровоградський РЕМ) (пункт 1.5.6 Інвестиційної Програми 2024)</t>
  </si>
  <si>
    <t>https://zakupivli.pro/gov/tenders/UA-2024-02-02-011282-a/lot-5d681b202a1c41728b223474db6dc6a7</t>
  </si>
  <si>
    <t>Реконструкція ПЛ-0,4кВ від ЗТП-136Г в м. Знам’янка Кропивницького району Кіровоградської області (Коригування) (Знам’янський РЕМ) (пункт 1.5.1 Інвестиційної Програми 2024):Реконструкція ПЛ-0,4кВ від ЗТП-136Г в м. Знам’янка Кропивницького району Кіровоградської області (Коригування) (Знам’янський РЕМ) (пункт 1.5.1 Інвестиційної Програми 2024)</t>
  </si>
  <si>
    <t>https://zakupivli.pro/gov/tenders/UA-2024-02-02-011124-a/lot-f08f3bbfaee243ae8b9e01cf1d2d9c5b</t>
  </si>
  <si>
    <t>Реконструкція ПЛ-10кВ Л-133 від ТП-600 до ТП-266 в с. Созонівка Кропивницького району Кіровоградської області (Кіровоградський РЕМ) (пункт 1.2.3 Інвестиційної Програми 2024):Реконструкція ПЛ-10кВ Л-133 від ТП-600 до ТП-266 в с. Созонівка Кропивницького району Кіровоградської області (Кіровоградський РЕМ) (пункт 1.2.3 Інвестиційної Програми 2024)</t>
  </si>
  <si>
    <t>https://zakupivli.pro/gov/tenders/UA-2024-02-02-010994-a/lot-d9f069fdda9a4a64ab4296b89f46d484</t>
  </si>
  <si>
    <t>Капітальний ремонт адмінбудівлі с. Соколівське (санітарно-технічних вузлів) за адресою: прос. Соколівський, 23 с. Соколівське Кропивницького району Кіровоградської області</t>
  </si>
  <si>
    <t>Аварійно-відновлювальні роботи ПЛ-10кВ Л-122 (інвентарний номер 0205314) Бобринецький РЕМ</t>
  </si>
  <si>
    <t>Аварійно-відновлювальні роботи ПЛ-10кВ Л-1310 (інвентарний номер 0205328) Бобринецький РЕМ</t>
  </si>
  <si>
    <t>https://zakupivli.pro/gov/tenders/UA-2024-02-02-012790-a</t>
  </si>
  <si>
    <t>https://zakupivli.pro/gov/tenders/UA-2024-02-02-000824-a</t>
  </si>
  <si>
    <t>https://zakupivli.pro/gov/tenders/UA-2024-02-02-000542-a</t>
  </si>
  <si>
    <t>Реконструкція ВРУ-150 кВ ПС-150/35/10 кВ "Новоархангельська", 
с. Торговиця, Голованівський район, Кіровоградська область (пункт 1.9 Інвестиційної Програми 2024):Реконструкція ВРУ-150 кВ ПС-150/35/10 кВ "Новоархангельська", 
с. Торговиця, Голованівський район, Кіровоградська область (пункт 1.9 Інвестиційної Програми 2024)</t>
  </si>
  <si>
    <t>https://zakupivli.pro/gov/tenders/UA-2024-02-02-013586-a/lot-fedb5a93a0db4e3684935411be656ca6</t>
  </si>
  <si>
    <t>Реконструкція ТП 6-10 кВ (ЛОТ1-2) (пункт 1.8.1; 1.8.2 Інвестиційної Програми 2024)
:Реконструкція ЗТП-175 в смт. Голованівськ Голованівського району Кіровоградської області (Голованівський РЕМ) (пункт 1.8.1 Інвестиційної Програми 2024)</t>
  </si>
  <si>
    <t xml:space="preserve">Реконструкція ТП 6-10 кВ (ЛОТ1-2) (пункт 1.8.1; 1.8.2 Інвестиційної Програми 2024)
:Реконструкція ЗТП-522 в смт. Побузьке Голованівського району Кіровоградської області (Голованівський РЕМ) (пункт 1.8.2 Інвестиційної Програми 2024). </t>
  </si>
  <si>
    <t>https://zakupivli.pro/gov/tenders/UA-2024-02-02-013279-a</t>
  </si>
  <si>
    <t>Реконструкція РП-10 кВ (ЛОТ1-2)
(пункт 1.12.1; 1.12.2 Інвестиційної Програми 2024):ЛОТ1. Реконструкція ЦРП-12 в м. Кропивницький Кіровоградської області (Кіровоградський МРЕМ) (перехідний захід ІП-2024 - ІП-2025) (пункт 1.12.1 Інвестиційної Програми 2024)</t>
  </si>
  <si>
    <t>Реконструкція РП-10 кВ (ЛОТ1-2)
(пункт 1.12.1; 1.12.2 Інвестиційної Програми 2024):ЛОТ2. Реконструкція ЦРП-26 в м. Кропивницький Кіровоградської області (Кіровоградський МРЕМ) (перехідний захід ІП-2024 - ІП-2025) (пункт 1.12.2 Інвестиційної Програми 2024)</t>
  </si>
  <si>
    <t>https://zakupivli.pro/gov/tenders/UA-2024-02-02-013167-a</t>
  </si>
  <si>
    <t>Реконструкція ПЛ-0,4кВ від ТП-1149 в м. Олександрія з встановленням розвантажувальної ТП, Олександрійський район, Кіровоградська область (Олександрійський РЕМ) (пункт 1.5.15 Інвестиційної Програми 2024):Реконструкція ПЛ-0,4кВ від ТП-1149 в м. Олександрія з встановленням розвантажувальної ТП, Олександрійський район, Кіровоградська область (Олександрійський РЕМ) (пункт 1.5.15 Інвестиційної Програми 2024)</t>
  </si>
  <si>
    <t>https://zakupivli.pro/gov/tenders/UA-2024-02-02-013148-a/lot-cc1237bccdb0425988617f98b583a717</t>
  </si>
  <si>
    <t>Реконструкція ПС-150 кВ “Південно-Східна” в частині заміни вимикачів 10 кВ, вул. Героїв Маріуполя, 90, м. Кропивницький Кіровоградська область (пункт 1.10 Інвестиційної Програми 2024):Реконструкція ПС-150 кВ “Південно-Східна” в частині заміни вимикачів 10 кВ, вул. Героїв Маріуполя, 90, м. Кропивницький Кіровоградська область (пункт 1.10 Інвестиційної Програми 2024)</t>
  </si>
  <si>
    <t>https://zakupivli.pro/gov/tenders/UA-2024-02-06-008339-a/lot-b84b63ae65e744d1bfe00a47b63878d2</t>
  </si>
  <si>
    <t>Електрична апаратура для комутування та захисту електричних кіл ЛОТ1-6 (або еквівалент) (основна діяльність):ЛОТ1</t>
  </si>
  <si>
    <t>Електрична апаратура для комутування та захисту електричних кіл ЛОТ1-6 (або еквівалент) (основна діяльність):ЛОТ2</t>
  </si>
  <si>
    <t>Електрична апаратура для комутування та захисту електричних кіл ЛОТ1-6 (або еквівалент) (основна діяльність):ЛОТ3</t>
  </si>
  <si>
    <t>Електрична апаратура для комутування та захисту електричних кіл ЛОТ1-6 (або еквівалент) (основна діяльність):ЛОТ4</t>
  </si>
  <si>
    <t>Електрична апаратура для комутування та захисту електричних кіл ЛОТ1-6 (або еквівалент) (основна діяльність):ЛОТ5</t>
  </si>
  <si>
    <t>Електрична апаратура для комутування та захисту електричних кіл ЛОТ1-6 (або еквівалент) (основна діяльність):ЛОТ6</t>
  </si>
  <si>
    <t>https://zakupivli.pro/gov/tenders/UA-2024-02-06-009098-a</t>
  </si>
  <si>
    <t>Абразивні вироби (або еквівалент) (основна діяльність):Абразивні вироби (або еквівалент) (основна діяльність)</t>
  </si>
  <si>
    <t>14810000-2 Абразивні вироби</t>
  </si>
  <si>
    <t>https://zakupivli.pro/gov/tenders/UA-2024-02-07-009090-a/lot-22a99a680c774a04b4fe6ba48365a060</t>
  </si>
  <si>
    <t>Придбання ліцензій на програмні продукти Eset (антивірусний захист) (пункт 4.7 Інвестиційної Програми 2024):Придбання ліцензій на програмні продукти Eset (антивірусний захист) (пункт 4.7 Інвестиційної Програми 2024)</t>
  </si>
  <si>
    <t>Придбання ліцензій на програмні продукти Microsoft (пункт 4.6 Інвестиційної Програми 2024):Придбання ліцензій на програмні продукти Microsoft (пункт 4.6 Інвестиційної Програми 2024)</t>
  </si>
  <si>
    <t>https://zakupivli.pro/gov/tenders/UA-2024-02-07-011926-a/lot-ea104699074e425e9237c4c23d7a5ccf</t>
  </si>
  <si>
    <t>https://zakupivli.pro/gov/tenders/UA-2024-02-07-011182-a/lot-6039e20885524aa9b98e3e13375ae3b3</t>
  </si>
  <si>
    <t>Нове будівництво розвантажувальної ТП-1468 для переключення частини мереж від ЗТП-1219 в смт. Олександрійське, Олександрійський район, Кіровоградської області (Олександрійський РЕМ) п.1.6.13 ІП-2024</t>
  </si>
  <si>
    <t>Нове будівництво розвантажувальної ТП-1467 для переключення частини мереж від ЗТП-1219 в смт. Олександрійське, Олександрійський район, Кіровоградської області (Олександрійський РЕМ) п.1.6.12 ІП-2024</t>
  </si>
  <si>
    <t>Нове будівництво розвантажувальної ТП-1469 для переключення частини мереж від РП-11 в смт. Олександрійське, Олександрійський район, Кіровоградської області (Олександрійський РЕМ) п.1.6.11 ІП-2024</t>
  </si>
  <si>
    <t>Нове будівництво ПЛ-6 кВ до розвантажувальної ТП-1458 для переключення частини мереж КТП-1124 в м. Олександрія Кіровоградської області (Олександрійський РЕМ) п.1.1.1 ІП-2024</t>
  </si>
  <si>
    <t>Нове будівництво розвантажувальної ТП-1458 для переключення частини мереж КТП-1124 в м. Олександрія Кіровоградської області (Олександрійський РЕМ) п.1.6.14 ІП-2024</t>
  </si>
  <si>
    <t>45231000-5 Будівництво трубопроводів, ліній зв’язку та електропередач</t>
  </si>
  <si>
    <t>https://zakupivli.pro/gov/tenders/UA-2024-02-08-002419-a</t>
  </si>
  <si>
    <t>https://zakupivli.pro/gov/tenders/UA-2024-02-08-002241-a</t>
  </si>
  <si>
    <t>https://zakupivli.pro/gov/tenders/UA-2024-02-08-002073-a</t>
  </si>
  <si>
    <t>https://zakupivli.pro/gov/tenders/UA-2024-02-08-001861-a</t>
  </si>
  <si>
    <t>https://zakupivli.pro/gov/tenders/UA-2024-02-08-001670-a</t>
  </si>
  <si>
    <t>Придбання модуля ТС-485 (Інвестиційна програма 2024 п. 2.3.2, 2.4):Придбання модуля ТС-485 (Інвестиційна програма 2024 п. 2.3.2, 2.4)</t>
  </si>
  <si>
    <t>Комп'ютерне обладнання (пункти 4.1,4.2,4.3,4.4 Інвестиційної Програми 2024 та Основна діяльність):Комп'ютерне обладнання (пункти 4.1,4.2,4.3,4.4 Інвестиційної Програми 2024 та Основна діяльність)</t>
  </si>
  <si>
    <t>Баласти для розрядних ламп чи трубок (або еквівалент) (основна діяльність):Баласти для розрядних ламп чи трубок (або еквівалент) (основна діяльність)</t>
  </si>
  <si>
    <t>30230000-0 Комп’ютерне обладнання</t>
  </si>
  <si>
    <t>31150000-2 Баласти для розрядних ламп чи трубок</t>
  </si>
  <si>
    <t>https://zakupivli.pro/gov/tenders/UA-2024-02-08-012979-a/lot-c58714133ad84545a9c959cc072316a4</t>
  </si>
  <si>
    <t>https://zakupivli.pro/gov/tenders/UA-2024-02-08-012868-a/lot-630d0160dbe1449689cdaf7e91fad0fd</t>
  </si>
  <si>
    <t>https://zakupivli.pro/gov/tenders/UA-2024-02-08-012050-a/lot-90e0305d16a74b5396126746675ffb5f</t>
  </si>
  <si>
    <t>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2024):Придбання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</t>
  </si>
  <si>
    <t>https://zakupivli.pro/gov/tenders/UA-2024-02-08-013211-a/lot-11eae538e2d8458fb9212bf62078e3d5</t>
  </si>
  <si>
    <t>Нове будівництво ТП-1479 для переключення мереж КТП-1130 в м. Олександрія Кіровоградської області (Олександрійський РЕМ) (пункт 1.6.9 ІП-2024)</t>
  </si>
  <si>
    <t>Нове будівництво ТП-1474 для переключення мереж 0,4кВ КТП-1044 в м. Олександрія Кіровоградської області (Олександрійський РЕМ) (пункт 1.6.2 ІП-2024)</t>
  </si>
  <si>
    <t>Нове будівництво ТП-1477 для переключення мереж 0,4 кВ від КТП-1129 в м.Олександрія, Кіровоградська область (Олександрійський РЕМ) п.1.6.8 ІП-2024</t>
  </si>
  <si>
    <t>Нове будівництво ТП №1475 для переключення частини мереж КТП-1127 в м. Олександрія Кіровоградської області (Олександрійський РЕМ) (пункт 1.6.6 ІП-2024)</t>
  </si>
  <si>
    <t>https://zakupivli.pro/gov/tenders/UA-2024-02-14-000570-a</t>
  </si>
  <si>
    <t>https://zakupivli.pro/gov/tenders/UA-2024-02-14-000440-a</t>
  </si>
  <si>
    <t>https://zakupivli.pro/gov/tenders/UA-2024-02-14-000408-a</t>
  </si>
  <si>
    <t>https://zakupivli.pro/gov/tenders/UA-2024-02-14-000270-a</t>
  </si>
  <si>
    <t>Елементи електричних схем</t>
  </si>
  <si>
    <t>Апаратура для передавання радіосигналу з приймальним пристроєм, або аналог (пункт 5.2-5.3 Інвестиційної Програми 2024):ЛОТ2</t>
  </si>
  <si>
    <t>Апаратура для передавання радіосигналу з приймальним пристроєм, або аналог (пункт 5.2-5.3 Інвестиційної Програми 2024):ЛОТ1</t>
  </si>
  <si>
    <t>https://zakupivli.pro/gov/tenders/UA-2024-02-15-012214-a/lot-564e8759c96c4ce8a362b8001548200a</t>
  </si>
  <si>
    <t>https://zakupivli.pro/gov/tenders/UA-2024-02-15-012214-a/lot-990f8dfb41a84e0492d0e6e54657e62f</t>
  </si>
  <si>
    <t>https://zakupivli.pro/gov/tenders/UA-2024-02-15-002556-a</t>
  </si>
  <si>
    <t>Виконання робіт згідно робочого проекту: "Нове будівництво зовнішньої мережі водопостачання будівлі Кіровоградського РЕМ по просп.Соколівський, 23 в с. Соколівське, Кропивницького району, Кіровоградської області" (кад.№3522587200:51:000:072)</t>
  </si>
  <si>
    <t>https://zakupivli.pro/gov/tenders/UA-2024-02-19-006735-a</t>
  </si>
  <si>
    <t>Реконструкція КЛ-10 кВ ТП-515 - ТП-516 в м. Кропивницький (Кіровоградський МРЕМ) (п.1.4.9 ІП-2024)</t>
  </si>
  <si>
    <t>Реконструкція КЛ-10 кВ ТП-367 - ТП-516 в м. Кропивницький (Кіровоградський МРЕМ) (п.1.4.7 ІП-2024)</t>
  </si>
  <si>
    <t>Встановлення однофазних шаф обліку, підрядним способом (матеріали підрядника, крім лічильника) в с. Олександрівка, КТП-74,450,470 Новоукраїнського району (ІП-2024 п.2.2.1 1-ф шафа з комплектуючими (улаштування відгалуження за допомогою гаку)</t>
  </si>
  <si>
    <t>Ремонтно-відновлювальні роботи енергооб'єктів 6-10 кВ в аварійних ситуаціях</t>
  </si>
  <si>
    <t>Встановлення однофазних шаф обліку, підрядним способом (матеріали підрядника, крім лічильника) в с. Олексіївка КТП-481, Новоукраїнського району (ІП-2024 п.2.2.1 1-ф шафа з комплектуючими (улаштування відгалуження за допомогою гаку)</t>
  </si>
  <si>
    <t>Ремонтно-відновлювальні роботи енергооб'єктів 0,4 кВ в аварійних ситуаціях</t>
  </si>
  <si>
    <t>Встановлення однофазних шаф обліку, підрядним способом в с. Пасічне КТП-239, 451 Новоукраїнського району (ІП-2024 п.2.2.1 1-ф шафа з комплектуючими (улаштування відгалуження за допомогою гаку)</t>
  </si>
  <si>
    <t>Встановлення однофазніх шаф обліку підрядним способом (матеріали підрядника, крім лічильників) с. Оникієве КТП-428  Новоукраїнського р-ну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</si>
  <si>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Новопетрівка КТП-114, 391, 482 Новоукраїнського району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</si>
  <si>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Новопавлівка КТП-452, 453 Новоукраїнського району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</si>
  <si>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Березівка КТП-116, 118, 119, 259, 318, 456, 457 Новоукраїнського району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</si>
  <si>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Новопетрівка КТП-114, 391, 482 Новоукраїнського району (ІП-2024 п.2.2.2 1-ф шафа з комплектуючими (улаштування відгалуження за допомогою трубостійки)</t>
  </si>
  <si>
    <t>Встановлення однофазних шаф обліку, підрядним способом в с. Олександрівка КТП-74, 450, 470 Новоукраїнського району (ІП-2024 п.2.2.2 1-ф шафа з комплектуючими (улаштування відгалуження за допомогою трубостійки)</t>
  </si>
  <si>
    <t>Встановлення однофазних шаф обліку, підрядним способом в с. Олексіївка КТП-481 Новоукраїнського району (ІП-2024 п.2.2.2 1-ф шафа з комплектуючими (улаштування відгалуження за допомогою трубостійки)</t>
  </si>
  <si>
    <t>Встановлення однофазних шаф обліку, підрядним способом в с. Березівка КТП-116, 118, 119, 318, 456, 457 Новоукраїнського району (ІП-2024 п.2.2.2 1-ф шафа з комплектуючими (улаштування відгалуження за допомогою трубостійки)</t>
  </si>
  <si>
    <t>Стояки СК-22.1-1.1, СК-22.2-1.1 (або еквівалент) (основна діяльність):Стояки СК-22.1-1.1, СК-22.2-1.1 (або еквівалент) (основна діяльність)</t>
  </si>
  <si>
    <t>https://zakupivli.pro/gov/tenders/UA-2024-02-20-011652-a</t>
  </si>
  <si>
    <t>https://zakupivli.pro/gov/tenders/UA-2024-02-20-011455-a</t>
  </si>
  <si>
    <t>https://zakupivli.pro/gov/tenders/UA-2024-02-20-011273-a</t>
  </si>
  <si>
    <t>https://zakupivli.pro/gov/tenders/UA-2024-02-20-011051-a</t>
  </si>
  <si>
    <t>https://zakupivli.pro/gov/tenders/UA-2024-02-20-010626-a</t>
  </si>
  <si>
    <t>https://zakupivli.pro/gov/tenders/UA-2024-02-20-010616-a</t>
  </si>
  <si>
    <t>https://zakupivli.pro/gov/tenders/UA-2024-02-20-010187-a</t>
  </si>
  <si>
    <t>https://zakupivli.pro/gov/tenders/UA-2024-02-20-010113-a</t>
  </si>
  <si>
    <t>https://zakupivli.pro/gov/tenders/UA-2024-02-20-010042-a</t>
  </si>
  <si>
    <t>https://zakupivli.pro/gov/tenders/UA-2024-02-20-009792-a</t>
  </si>
  <si>
    <t>https://zakupivli.pro/gov/tenders/UA-2024-02-20-009499-a</t>
  </si>
  <si>
    <t>https://zakupivli.pro/gov/tenders/UA-2024-02-20-009222-a</t>
  </si>
  <si>
    <t>https://zakupivli.pro/gov/tenders/UA-2024-02-20-008982-a</t>
  </si>
  <si>
    <t>https://zakupivli.pro/gov/tenders/UA-2024-02-20-008891-a</t>
  </si>
  <si>
    <t>https://zakupivli.pro/gov/tenders/UA-2024-02-20-008382-a</t>
  </si>
  <si>
    <t>https://zakupivli.pro/gov/tenders/UA-2024-02-20-007571-a/lot-d243b17001634d16a5f4556887346f70</t>
  </si>
  <si>
    <t>Реконструкція РП-10 кВ ЗТП-496 в м. Кропивницький для зовнішнього електропостачання виробничої бази ТОВ "АРК ГРУПП 19" по вул. Промислова, 3В</t>
  </si>
  <si>
    <t>Будівництво КЛ-10кВ від ТП-821 в м. Кропивницький для зовнішнього електропостачання виробничої бази ТОВ "АРК ГРУПП 19" по вул. Промислова, 3В</t>
  </si>
  <si>
    <t>Будівництво ТП-821 в м. Кропивницький для зовнішнього електропостачання виробничої бази ТОВ "АРК ГРУПП 19" по вул. Промислова, 3В</t>
  </si>
  <si>
    <t>https://zakupivli.pro/gov/tenders/UA-2024-02-21-000550-a</t>
  </si>
  <si>
    <t>https://zakupivli.pro/gov/tenders/UA-2024-02-21-000366-a</t>
  </si>
  <si>
    <t>https://zakupivli.pro/gov/tenders/UA-2024-02-21-000270-a</t>
  </si>
  <si>
    <t>Будівництво ПЛЗ -10 Ф-16 Бл оп.№10/1,28-36 м.Кропивницький для зовнішнього електропостачання комплексу будівель Фірми Агрогідромаш ТОВ вул. Джерельна, 86</t>
  </si>
  <si>
    <t>Будівництво ПЛІ-0,4кВ Л-2 ЩТП-756 для зовнішнього електропостачання житлового будинку садибного типу с.Соколівське</t>
  </si>
  <si>
    <t>Будівництво ЩТМ-832 в м.Кропивницький для зовнішнього електропостачання комплексу будівель Агрогідромаш ТОВ по вул. Джерельна, 86</t>
  </si>
  <si>
    <t>Капітальний ремонт будівлі цеху з ремонту приладів обліку літ."Х"(оздоблення), комплексу будівель та споруд за адресою: вул. Аджамська, 9 у м. Кропивницький, Кіровоградської області</t>
  </si>
  <si>
    <t>Капітальний ремонт будівлі цеху з ремонту приладів обліку літ. Х (покрівля)комплексу будівель та споруд за адресою вул. Аджамська, 9 у м. Кропивницький, Кіровоградської області</t>
  </si>
  <si>
    <t>https://zakupivli.pro/gov/tenders/UA-2024-02-22-002895-a</t>
  </si>
  <si>
    <t>https://zakupivli.pro/gov/tenders/UA-2024-02-22-001885-a</t>
  </si>
  <si>
    <t>https://zakupivli.pro/gov/tenders/UA-2024-02-22-001148-a</t>
  </si>
  <si>
    <t>https://zakupivli.pro/gov/tenders/UA-2024-02-22-000344-a</t>
  </si>
  <si>
    <t>https://zakupivli.pro/gov/tenders/UA-2024-02-22-000149-a</t>
  </si>
  <si>
    <t>Будівництво ПЛІ-0,4 кВ ТП-800 Л-20 оп.1-13 для зовнішнього електропостачання комплексу будівель, ПП "АВТОГРАД-БОШ" по вул. Перша Виставкова, буд.37-а смт. Нове, м. Кропивницький</t>
  </si>
  <si>
    <t>Будівництво КЛ-0,4 кВ ТП-800 А-20 оп.1 для зовнішнього електропостачання комплексу будівель, ПП "АВТОГРАД-БОШ" по вул. Перша Виставкова, буд.37 смт. Нове, м. Кропивницький</t>
  </si>
  <si>
    <t>https://zakupivli.pro/gov/tenders/UA-2024-02-22-011155-a</t>
  </si>
  <si>
    <t>https://zakupivli.pro/gov/tenders/UA-2024-02-22-011040-a</t>
  </si>
  <si>
    <t>Електронне обладнання (або еквівалент) (основна діяльність):Електронне обладнання (або еквівалент) (основна діяльність)</t>
  </si>
  <si>
    <t>31710000-6 Електронне обладнання</t>
  </si>
  <si>
    <t>https://zakupivli.pro/gov/tenders/UA-2024-02-22-008123-a/lot-e39baa3fa77a42ce898094455d3bd131</t>
  </si>
  <si>
    <t>Нове будівництво ТП№1471 для переключення мереж о,4кВ від КТП-1017 в м. Олександрія Кіровоградської області (Олександрійський РЕМ) (пункт 1.6.1 ІП-2024)</t>
  </si>
  <si>
    <t>Нове будівництво ТП-1476 для переключення мереж 0,4кВ від КТП-1128 в м. Олександрія Кіровоградської області (Олександрійський РЕМ)  (пункт 1.6.7 ІП-2024)</t>
  </si>
  <si>
    <t>https://zakupivli.pro/gov/tenders/UA-2024-02-23-002262-a</t>
  </si>
  <si>
    <t>https://zakupivli.pro/gov/tenders/UA-2024-02-23-001573-a</t>
  </si>
  <si>
    <t>Зовнішнє електропостачання базової станції мобільного зв'язку KD 0222 ТОВ "Лайфселл" в м. Благовіщенське Голованівського району для ТОВ ВКК "Арія"</t>
  </si>
  <si>
    <t>Ремонт обладнання РРЛЗ ЦВЗ-2 РБВ Олександрівського РЕМ</t>
  </si>
  <si>
    <t>https://zakupivli.pro/gov/tenders/UA-2024-02-26-000121-a</t>
  </si>
  <si>
    <t>https://zakupivli.pro/gov/tenders/UA-2024-02-26-000066-a</t>
  </si>
  <si>
    <t>Садова техніка різна (або еквівалент) (основна діяльність):Садова техніка різна (або еквівалент) (основна діяльність)</t>
  </si>
  <si>
    <t>https://zakupivli.pro/gov/tenders/UA-2024-02-27-004245-a/lot-ffe8bed0f0154fb4b699b7235090558c</t>
  </si>
  <si>
    <t>Трансформатори (або еквівалент) (основна діяльність):ЛОТ 1</t>
  </si>
  <si>
    <t>Трансформатори (або еквівалент) (основна діяльність):ЛОТ 2</t>
  </si>
  <si>
    <t>Трансформатори (або еквівалент) (основна діяльність):ЛОТ 3</t>
  </si>
  <si>
    <t>Трансформатори (або еквівалент) (основна діяльність):ЛОТ 4</t>
  </si>
  <si>
    <t>https://zakupivli.pro/gov/tenders/UA-2024-02-28-002778-a/lot-68233ac24358441b8c7a69f827b3f15d</t>
  </si>
  <si>
    <t>https://zakupivli.pro/gov/tenders/UA-2024-02-28-002778-a/lot-7e7d7871dd1d422facc0d678d34387f7</t>
  </si>
  <si>
    <t>https://zakupivli.pro/gov/tenders/UA-2024-02-28-002778-a/lot-f4dc81e09cff47aa8c6415c77d0e35e7</t>
  </si>
  <si>
    <t>https://zakupivli.pro/gov/tenders/UA-2024-02-28-002778-a/lot-37e1bfa351064f48b0cc09d606978fcc</t>
  </si>
  <si>
    <t>Вентиляційне обладнання (або еквівалент) (основна діяльність):Вентиляційне обладнання (або еквівалент) (основна діяльність)</t>
  </si>
  <si>
    <t>https://zakupivli.pro/gov/tenders/UA-2024-02-29-006630-a/lot-1848e7a921f94c98b2964468849001d0</t>
  </si>
  <si>
    <t>42520000-7 Вентиляційне обладнання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</si>
  <si>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:ЛОТ1. 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</si>
  <si>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:ЛОТ2.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</t>
  </si>
  <si>
    <t>https://zakupivli.pro/gov/tenders/UA-2024-03-01-007913-a/lot-8da8a63dd0ce42a380df5552566071d8</t>
  </si>
  <si>
    <t>https://zakupivli.pro/gov/tenders/UA-2024-03-01-007913-a/lot-93b7875b9bb14e36bad78b6b052d45ba</t>
  </si>
  <si>
    <t>Електричні акумулятори ЛОТ 2 (Укладення договору згідно пп. 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</si>
  <si>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Реконструкція ЗТП-1002 в м. Олександрія (Олександрійський РЕМ) (пункт 1.8.8 Інвестиційної Програми 2024)
Реконструкція КТП-204 в м. Кропивницький (Кіровоградський МРЕМ) (пункт 1.8.11 Інвестиційної Програми 2024)
Реконструкція КТП-373 в м. Кропивницький (Кіровоградський МРЕМ) (пункт 1.8.12 Інвестиційної Програми 2024):ЛОТ 1 Реконструкція ЗТП-1002 в м. Олександрія (Олександрійський РЕМ) (пункт 1.8.8 Інвестиційної Програми 2024)</t>
  </si>
  <si>
    <t>Реконструкція ЗТП-1002 в м. Олександрія (Олександрійський РЕМ) (пункт 1.8.8 Інвестиційної Програми 2024)
Реконструкція КТП-204 в м. Кропивницький (Кіровоградський МРЕМ) (пункт 1.8.11 Інвестиційної Програми 2024)
Реконструкція КТП-373 в м. Кропивницький (Кіровоградський МРЕМ) (пункт 1.8.12 Інвестиційної Програми 2024):ЛОТ 2 Реконструкція КТП-204 в м. Кропивницький (Кіровоградський МРЕМ) (пункт 1.8.11 Інвестиційної Програми 2024)</t>
  </si>
  <si>
    <t>Реконструкція ЗТП-1002 в м. Олександрія (Олександрійський РЕМ) (пункт 1.8.8 Інвестиційної Програми 2024)
Реконструкція КТП-204 в м. Кропивницький (Кіровоградський МРЕМ) (пункт 1.8.11 Інвестиційної Програми 2024)
Реконструкція КТП-373 в м. Кропивницький (Кіровоградський МРЕМ) (пункт 1.8.12 Інвестиційної Програми 2024):ЛОТ 3 Реконструкція КТП-373 в м. Кропивницький (Кіровоградський МРЕМ) (пункт 1.8.12 Інвестиційної Програми 2024)</t>
  </si>
  <si>
    <t>Капітальний ремонт будівлі цеху з ремонту приладів обліку літ. "Х" (підсилення стін)комплексу будвель та споруд за адресою: вул.Аджамська, 9 у м. Кропивницький, Кіровоградської області</t>
  </si>
  <si>
    <t>Баласти для розрядних ламп чи трубок</t>
  </si>
  <si>
    <t>Технічне переонащення КТП-67 для зовнішнього електропостачання житлового будинку Ковтанюк С.А. в м. Новомиргород</t>
  </si>
  <si>
    <t>https://zakupivli.pro/gov/tenders/UA-2024-03-04-011178-a</t>
  </si>
  <si>
    <t>https://zakupivli.pro/gov/tenders/UA-2024-03-04-011096-a/lot-7050861540fd4359b3415d117930c267</t>
  </si>
  <si>
    <t>https://zakupivli.pro/gov/tenders/UA-2024-03-04-011096-a/lot-803edfe76803430491a2a5e9cc16bc1c</t>
  </si>
  <si>
    <t>https://zakupivli.pro/gov/tenders/UA-2024-03-04-011096-a/lot-190acbd39713427db880d345f23d4854</t>
  </si>
  <si>
    <t>https://zakupivli.pro/gov/tenders/UA-2024-03-04-007678-a</t>
  </si>
  <si>
    <t>https://zakupivli.pro/gov/tenders/UA-2024-03-04-003068-a</t>
  </si>
  <si>
    <t>https://zakupivli.pro/gov/tenders/UA-2024-03-04-002146-a</t>
  </si>
  <si>
    <t>Реконструкція ПЛ-0,4 кВ Л-2 від КТП-67 з перенесенням частини лінії за територію ТОВ "Вересень плюс" на перехресті вул. В.Капніста та вул. Соборності в м. Новомиргород Новоукраїнського району Кіровоградської області</t>
  </si>
  <si>
    <t xml:space="preserve">Реконструкція ділянки КЛ-10 кВ Л-186 від ЗТП-304 до ЗТП-220 в зоні будівництва на перехресті вул. Капніста та Соборності в м. Новомиргород </t>
  </si>
  <si>
    <t>Будівництво ЩТП-520 в с. Федорівка Кропивницького району (Кіровоградський РЕМ) для зовнішнього електропостачання житлового будинку гр. Тертичного О.В. по вул. Шпаченка, буд. 29-Б</t>
  </si>
  <si>
    <t>https://zakupivli.pro/gov/tenders/UA-2024-03-05-012187-a</t>
  </si>
  <si>
    <t>https://zakupivli.pro/gov/tenders/UA-2024-03-05-011904-a</t>
  </si>
  <si>
    <t>https://zakupivli.pro/gov/tenders/UA-2024-03-05-002444-a</t>
  </si>
  <si>
    <t>ЛОТ № 2 Реконструкція ЗТП-522 в смт. Побузьке Голованівського району Кіровоградської області (Голованівський РЕМ) (пункт 1.8.2 Інвестиційної Програми 2024) (Укладення договору згідно пп. 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</si>
  <si>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ЛОТ № 1 Реконструкція ЗТП-175 в смт. Голованівськ Голованівського району Кіровоградської області (Голованівський РЕМ) (пункт 1.8.1 Інвестиційної Програми 2024) (Укладення договору згідно пп. 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</si>
  <si>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https://zakupivli.pro/gov/tenders/UA-2024-03-06-001796-a</t>
  </si>
  <si>
    <t>https://zakupivli.pro/gov/tenders/UA-2024-03-06-001512-a</t>
  </si>
  <si>
    <t>Ремонт системи захисту від КЗ на землю "АЛЬТРА" ПС 150/35/10 кВ "Південно-Східна"</t>
  </si>
  <si>
    <t>Модернізація мережевої інфраструктури (ядро) (пункт 4.5 Інвестиційної Програми 2024):Модернізація мережевої інфраструктури (ядро) (пункт 4.5 Інвестиційної Програми 2024)</t>
  </si>
  <si>
    <t>https://zakupivli.pro/gov/tenders/UA-2024-03-07-006789-a</t>
  </si>
  <si>
    <t>https://zakupivli.pro/gov/tenders/UA-2024-03-07-003046-a/lot-8b883bedd1ec460a98fe8a5d22d1b9a6</t>
  </si>
  <si>
    <t>https://zakupivli.pro/gov/tenders/UA-2024-03-11-000863-a</t>
  </si>
  <si>
    <t>https://zakupivli.pro/gov/tenders/UA-2024-03-11-000483-a</t>
  </si>
  <si>
    <t>Нове будівництво КЛ-6кВ від ПЛ 6кВ Л-51 для живлення ТП-1471 в м.Олександрія (пункт 1.3.1. ІП-2024)</t>
  </si>
  <si>
    <t>Нове будівництво ТП-1470 для переключення мереж 0,4кВвід ЗТП-1104 в м. Олександрія (пункт 1.6.5. ІП-2024)</t>
  </si>
  <si>
    <t>https://zakupivli.pro/gov/tenders/UA-2024-03-11-000147-a</t>
  </si>
  <si>
    <t>Нове будівництво КТП-1483 для переключення частини ПЛ-0,4 кВ від ЗТП-1087 по вул. Григорія Усика та частини ПЛ-0,4 кВ від ЗТП-1104 по вул. Райдужна в м. Олександрія Олександрійського району Кіровоградської області (Олександрійський РЕМ) (пункт 1.6.4. ІП-2024)</t>
  </si>
  <si>
    <t>https://zakupivli.pro/gov/tenders/UA-2024-03-11-000098-a</t>
  </si>
  <si>
    <t>Нове будівництво КЛ-6 кВ від ПЛ-6 кВ Л-51 для живлення ТП-1476 в м. Олександрія Кіровоградської області (Олександрійський РЕМ) (пункт 1.3.3. ІП-2024)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</si>
  <si>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2024);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:ЛОТ1. 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</si>
  <si>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2024);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:ЛОТ2.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</t>
  </si>
  <si>
    <t>Нове будівництво ТП-1473 для переключення мереж 0,4 кВ від КТП-1087 в м. Олександрія Кіровоградської області (Олександрійський РЕМ) (п.1.6.3 ІП-2024)</t>
  </si>
  <si>
    <t>Нове будівництво КЛ-6 кВ від ПЛ-6кВ Л-615 для живлення ТП-1473 в м. Олександрія Кіровоградської області (Олександрійський РЕМ) (пункт.1.3.2 ІП-2024р)</t>
  </si>
  <si>
    <t>Нове будівництво ТП-1472 для переключення мереж 0,4кВ від КТП-1149 в м. Олександрія Олександрійський район, Кіровоградська область (Олександрійський РЕМ) (пункт 1.6.10 ІП -2024)</t>
  </si>
  <si>
    <t>Нове будівництво ділянки ПЛ-6кВ від ПЛ-6кВ Л-602 для живлення ТП-1472 в м. Олександрія Олександрійський район, Кіровоградська область (Олександрійський РЕМ) (пункт 1.1.2 ІП -2024)</t>
  </si>
  <si>
    <t>https://zakupivli.pro/gov/tenders/UA-2024-03-12-011359-a</t>
  </si>
  <si>
    <t>https://zakupivli.pro/gov/tenders/UA-2024-03-12-008558-a</t>
  </si>
  <si>
    <t>https://zakupivli.pro/gov/tenders/UA-2024-03-12-008416-a</t>
  </si>
  <si>
    <t>https://zakupivli.pro/gov/tenders/UA-2024-03-12-008106-a</t>
  </si>
  <si>
    <t>https://zakupivli.pro/gov/tenders/UA-2024-03-12-007781-a</t>
  </si>
  <si>
    <t>https://zakupivli.pro/gov/tenders/UA-2024-03-12-007076-a</t>
  </si>
  <si>
    <t>https://zakupivli.pro/gov/tenders/UA-2024-03-13-002658-a/lot-41c91a583c6b4d88b089ca96a9f09369</t>
  </si>
  <si>
    <t>Знаряддя</t>
  </si>
  <si>
    <t>Строп, канат сталевий (або еквівалент) (основна діяльність):Строп, канат сталевий (або еквівалент) (основна діяльність)</t>
  </si>
  <si>
    <t>Конструкції та їх частини (або еквівалент) (основна діяльність):ЛОТ 1</t>
  </si>
  <si>
    <t>Конструкції та їх частини (або еквівалент) (основна діяльність):ЛОТ 2</t>
  </si>
  <si>
    <t>https://zakupivli.pro/gov/tenders/UA-2024-03-14-009075-a</t>
  </si>
  <si>
    <t>https://zakupivli.pro/gov/tenders/UA-2024-03-14-004029-a/lot-9c2a450121944557b4ff04df82d8bd68</t>
  </si>
  <si>
    <t>https://zakupivli.pro/gov/tenders/UA-2024-03-14-001638-a/lot-05849d1060b84de392d17d138e4058bb</t>
  </si>
  <si>
    <t>https://zakupivli.pro/gov/tenders/UA-2024-03-14-001638-a/lot-83c45c7f7d5348119a35d0c4ac2e1c91</t>
  </si>
  <si>
    <t>Реконструкція КТП-204 в м. Кропивницький (Кіровоградський МРЕМ) (пункт 1.8.11 Інвестиційної Програми 2024).
Реконструкція КТП-373 в м. Кропивницький (Кіровоградський МРЕМ) (пункт 1.8.12 Інвестиційної Програми 2024):ЛОТ 1 Реконструкція КТП-204 в м. Кропивницький (Кіровоградський МРЕМ) (пункт 1.8.11 Інвестиційної Програми 2024)</t>
  </si>
  <si>
    <t>Реконструкція КТП-204 в м. Кропивницький (Кіровоградський МРЕМ) (пункт 1.8.11 Інвестиційної Програми 2024).
Реконструкція КТП-373 в м. Кропивницький (Кіровоградський МРЕМ) (пункт 1.8.12 Інвестиційної Програми 2024):ЛОТ 2 Реконструкція КТП-373 в м. Кропивницький (Кіровоградський МРЕМ) (пункт 1.8.12 Інвестиційної Програми 2024)</t>
  </si>
  <si>
    <t>Електрична апаратура для комутування та захисту електричних кіл (або еквівалент), ЛОТ 3 (підстава - згідно з підпунктом 6 пункту 13 Особливостей товарів, робіт і послуг для замовників, передбачених Законом України «Про публічні закупівлі», на період дії правового режиму воєнного стану в Україні та протягом 90 днів з дня його припинення або скасування, затверджених постановою від 12.10.2022 № 1178)</t>
  </si>
  <si>
    <t>https://zakupivli.pro/gov/tenders/UA-2024-03-15-009363-a/lot-8c25c7b5af6c4597a603ac45f2841127</t>
  </si>
  <si>
    <t>https://zakupivli.pro/gov/tenders/UA-2024-03-15-009363-a/lot-bfff6f72cd2f440c9d6ffbbe3852a50d</t>
  </si>
  <si>
    <t>https://zakupivli.pro/gov/tenders/UA-2024-03-15-002037-a</t>
  </si>
  <si>
    <t>Придбання комплекту обладнання для віддаленого доступу до стаціонарних аналізаторів якості електроенергії на ПС-150кВ (МС) (пункт 7.2 Інвестиційної програми 2024)</t>
  </si>
  <si>
    <t>https://zakupivli.pro/gov/tenders/UA-2024-03-18-007381-a</t>
  </si>
  <si>
    <t>Продукція, пов'язана з конструкційними матеріалами (або еквівалент) (основна діяльність):Продукція, пов'язана з конструкційними матеріалами (або еквівалент) (основна діяльність)</t>
  </si>
  <si>
    <t>https://zakupivli.pro/gov/tenders/UA-2024-03-20-005051-a/lot-bfb4068314a54ad6a3d5b6fe0f51989f</t>
  </si>
  <si>
    <t>Ручні інструменти пневматичні чи моторизовані</t>
  </si>
  <si>
    <t>42650000-7 Ручні інструменти пневматичні чи моторизовані</t>
  </si>
  <si>
    <t>https://zakupivli.pro/gov/tenders/UA-2024-03-21-008100-a</t>
  </si>
  <si>
    <t>Світильники та освітлювальна арматура</t>
  </si>
  <si>
    <t>Частини до світильників та освітлювального обладнання</t>
  </si>
  <si>
    <t>31520000-7 Світильники та освітлювальна арматура</t>
  </si>
  <si>
    <t>31530000-0 Частини до світильників та освітлювального обладнання</t>
  </si>
  <si>
    <t>https://zakupivli.pro/gov/tenders/UA-2024-03-25-008603-a</t>
  </si>
  <si>
    <t>https://zakupivli.pro/gov/tenders/UA-2024-03-25-008156-a</t>
  </si>
  <si>
    <t>Реконструкція КЛ-6кВ ЗТП-520 - ЗТП-524 в смт. Побузьке Голованівського району (Голованівський РЕМ) (пункт 1.4.4 ІП-2024)</t>
  </si>
  <si>
    <t>Реконструкція КЛ-6кВ від ЗТП-408 до ЗТП-409 в смт. Завалля Гайворонського району Кіровоградської області (Гайворонський РЕМ)(пункт 1.4.1 ІП-2024)</t>
  </si>
  <si>
    <t>Реконструкція КТП-265 в с. Созонівка Кропивницького району Кіровоградської області (Кіровоградський РЕМ) (пункт 1.8.5 ІП-2024)</t>
  </si>
  <si>
    <t>https://zakupivli.pro/gov/tenders/UA-2024-03-25-001536-a</t>
  </si>
  <si>
    <t>https://zakupivli.pro/gov/tenders/UA-2024-03-25-001472-a</t>
  </si>
  <si>
    <t>https://zakupivli.pro/gov/tenders/UA-2024-03-25-001382-a</t>
  </si>
  <si>
    <t>Реконструкція КТП-262 в с. Созонівка Кропивницького району Кіровоградської області (Кіровоградський РЕМ) (пункт 1.8.4 ІП-2024)</t>
  </si>
  <si>
    <t>Реконструкція КТП-266 в с. Созонівка Кропивницького району Кіровоградської області (Кіровоградський РЕМ) (пункт 1.8.6 ІП-2024)</t>
  </si>
  <si>
    <t>Реконструкція КТП-237 в м. Кропивницький (Кіровоградський МРЕМ) (пункт 1.8.10 ІП-2024)</t>
  </si>
  <si>
    <t>Реконструкція ПЛ-0,4кВ від КТП-266 в с. Созонівка Кропивницького району Кіровоградської області (Кіровоградський РЕМ) (пункт 1.5.5 ІП-2024)</t>
  </si>
  <si>
    <t>Реконструкція КЛ-6кВ від ЗТП-411 до ЗТП-410 в смт. Завалля Голованівського району Кіровоградської області (Гайворонський РЕМ)(пункт 1.4.2 ІП-2024)</t>
  </si>
  <si>
    <t>https://zakupivli.pro/gov/tenders/UA-2024-03-25-001186-a</t>
  </si>
  <si>
    <t>https://zakupivli.pro/gov/tenders/UA-2024-03-25-000945-a</t>
  </si>
  <si>
    <t>https://zakupivli.pro/gov/tenders/UA-2024-03-25-000827-a</t>
  </si>
  <si>
    <t>https://zakupivli.pro/gov/tenders/UA-2024-03-25-000641-a</t>
  </si>
  <si>
    <t>https://zakupivli.pro/gov/tenders/UA-2024-03-25-000613-a</t>
  </si>
  <si>
    <t>Реконструкція ЗТП-347 в м. Кропивницький Кіровоградської області (Кіровоградський МРЕМ) (пункт 1.8.9 ІП-2024)</t>
  </si>
  <si>
    <t>Реконструкція КЛ-6кВ від ЗТП-408 до ЗТП-411 в смт. Завалля Голованівського району Кіровоградської області (Гайворонський РЕМ)(пункт 1.4.3 ІП-2024)</t>
  </si>
  <si>
    <t>Реконструкція ПЛ-0,4кВ КТП-263 з переключенням побутових споживачів на КТП-266 в с. Созонівка Кропивницького району Кіровоградської області (Кіровоградський РЕМ) (пункт.1.5.3. ІП-2024)</t>
  </si>
  <si>
    <t>Реконструкція ЗТП-105 в м. Новоукраїнка (Новоукраїнський РЕМ) (пункт 1.8.7 ІП-2024)</t>
  </si>
  <si>
    <t>Реконструкція ЗТП-525 в смт. Побузьке Голованівського району Кіровоградської області (Голованівський РЕМ) (пункт 1.8.3 ІП-2024)</t>
  </si>
  <si>
    <t>https://zakupivli.pro/gov/tenders/UA-2024-03-25-000494-a</t>
  </si>
  <si>
    <t>https://zakupivli.pro/gov/tenders/UA-2024-03-25-000416-a</t>
  </si>
  <si>
    <t>https://zakupivli.pro/gov/tenders/UA-2024-03-25-000383-a</t>
  </si>
  <si>
    <t>https://zakupivli.pro/gov/tenders/UA-2024-03-25-000272-a</t>
  </si>
  <si>
    <t>https://zakupivli.pro/gov/tenders/UA-2024-03-25-000171-a</t>
  </si>
  <si>
    <t>Впровадження програмного комплексу "АСТОР 8" (пункт 4.8 Інвестиційної Програми 2024) (відповідно до п.п. 5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</si>
  <si>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https://zakupivli.pro/gov/tenders/UA-2024-03-28-009986-a</t>
  </si>
  <si>
    <t>Капітальний ремонт будівлі ЗТП-1155 по вул. Миру, м. Олександрія, Кіровоградської області (улаштування покрівлі з металопрофілю)</t>
  </si>
  <si>
    <t>Капітальний ремонт будівлі ЗТП-1088 по пр. Соборний, м. Олександрія, Кіровоградської області (улаштування покрівлі з металопрофілю, вимощення)</t>
  </si>
  <si>
    <t>Капітальний ремонт будівлі ЗТП-1161 по вул. Кременчуцька, м. Олександрія, Кіровоградська область (улаштування покрівлі з металопрофілю, вимощення)</t>
  </si>
  <si>
    <t>Капітальний ремонт будувлі ЗТП-1060 по вул. Покровська площа, м. Олександрія, Кіровоградська область (улаштування покрівлі з металопрофілю, вимощення, фасад)</t>
  </si>
  <si>
    <t>Капітальний ремонт будівлі ЗТП-1009 по пр. Соборний, м. Олександрія, Кіровоградської області (улаштування покрівлі з металопрофілю, вимощення)</t>
  </si>
  <si>
    <t>Капітальний ремонт будівлі ЗТП-1016 по вул. Канатенко, м. Олександрія, Кіровоградська область (улаштування покрівлі з металопрофілю, вимощення)</t>
  </si>
  <si>
    <t>https://zakupivli.pro/gov/tenders/UA-2024-04-01-005782-a</t>
  </si>
  <si>
    <t>https://zakupivli.pro/gov/tenders/UA-2024-04-01-005332-a</t>
  </si>
  <si>
    <t>https://zakupivli.pro/gov/tenders/UA-2024-04-01-005080-a</t>
  </si>
  <si>
    <t>https://zakupivli.pro/gov/tenders/UA-2024-04-01-003935-a</t>
  </si>
  <si>
    <t>https://zakupivli.pro/gov/tenders/UA-2024-04-01-003767-a</t>
  </si>
  <si>
    <t>https://zakupivli.pro/gov/tenders/UA-2024-04-01-003479-a</t>
  </si>
  <si>
    <t>Будівництво ПЛ, ПЛІ-0,4 кВ Л-2 від КТП-141 для зовнішнього електропостачання житлового будинку з будівельним майданчиком гр. Соломко А.М. по вул. Лісова, буд.55 в с. Українка Кропивницького району</t>
  </si>
  <si>
    <t>Будівництво ПЛ-10 кВ Л-171 оп.208-370 в с. Велика Андрусівка Олександрійського району (по старому Світловодського району) для зовнішнього електропостачання водонапірної станції Грушки В.І.</t>
  </si>
  <si>
    <t>Будівництво КЛ-0,4 кВ А-40 від ТП-208 в м. Кропивницький для зовнішнього електропостачання частини нежитлового приміщення ФОП Калинюк О.М. по вул. В'ячеслава Чорновола, буд. 2Г</t>
  </si>
  <si>
    <t>Будівництво КЛ-0,4 кВ від ЗТП-393 для зовнішнього електропостачання нежитлової будівлі Петросяна Я.О. в м. Кропивницький по вул. Космонавта Попова, 13</t>
  </si>
  <si>
    <t>Телекомунікаційні кабелі та обладнання (або еквівалент) (основна діяльність):Телекомунікаційні кабелі та обладнання (або еквівалент) (основна діяльність)</t>
  </si>
  <si>
    <t>32520000-4 Телекомунікаційні кабелі та обладнання</t>
  </si>
  <si>
    <t>https://zakupivli.pro/gov/tenders/UA-2024-04-03-008285-a</t>
  </si>
  <si>
    <t>https://zakupivli.pro/gov/tenders/UA-2024-04-03-008011-a</t>
  </si>
  <si>
    <t>https://zakupivli.pro/gov/tenders/UA-2024-04-03-007759-a</t>
  </si>
  <si>
    <t>https://zakupivli.pro/gov/tenders/UA-2024-04-03-007567-a</t>
  </si>
  <si>
    <t>https://zakupivli.pro/gov/tenders/UA-2024-04-03-003922-a/lot-240932b8881a47c281f0f869225cfa6c</t>
  </si>
  <si>
    <t>Технічне переоснащення КТП-1028 м.Олександрія</t>
  </si>
  <si>
    <t>Технічне переоснащення РУ 0,4кВ ЗТП-208 м.Кропивницький</t>
  </si>
  <si>
    <t>https://zakupivli.pro/gov/tenders/UA-2024-04-03-011648-a</t>
  </si>
  <si>
    <t>https://zakupivli.pro/gov/tenders/UA-2024-04-03-011525-a</t>
  </si>
  <si>
    <t>https://zakupivli.pro/gov/tenders/UA-2024-04-03-011369-a</t>
  </si>
  <si>
    <t>Вузол термозакріплення в зборі</t>
  </si>
  <si>
    <t>https://zakupivli.pro/gov/tenders/UA-2024-04-03-011788-a</t>
  </si>
  <si>
    <t>ЛОТ 1 Мережеве обладнання (або еквівалент) (основна діяльність) (підстава - згідно з підпунктом 6 пункту 13 Особливостей товарів, робіт і послуг для замовників, передбачених Законом України «Про публічні закупівлі», на період дії правового режиму воєнного стану в Україні та протягом 90 днів з дня його припинення або скасування, затверджених постановою від 12.10.2022 № 1178)</t>
  </si>
  <si>
    <t>https://zakupivli.pro/gov/tenders/UA-2024-04-04-007798-a</t>
  </si>
  <si>
    <t>Електротехнічне обладнання (або еквівалент) (основна діяльність):Електротехнічне обладнання (або еквівалент) (основна діяльність)</t>
  </si>
  <si>
    <t>31730000-2 Електротехнічне обладнання</t>
  </si>
  <si>
    <t>https://zakupivli.pro/gov/tenders/UA-2024-04-04-010434-a/lot-428e5fc348a04f2b95b483219ef01b28</t>
  </si>
  <si>
    <t>Частини електророзподільної чи контрольної апаратури</t>
  </si>
  <si>
    <t>31230000-7 Частини електророзподільної чи контрольної апаратури</t>
  </si>
  <si>
    <t>https://zakupivli.pro/gov/tenders/UA-2024-04-08-004905-a</t>
  </si>
  <si>
    <t>Улаштування захисної споруди трансформатора 2Т П/СТ 150/35/10кВ "Кіровоградська" по вул. Героїв України, 47 м. Кропивницький, Кіровоградської області (Черга ІІ)</t>
  </si>
  <si>
    <t>Улаштування захисної споруди тр-ра 1Т П/СТ 150/35/10 кВ "Кіровоградська" по вул. Героїв України, 47 в м. Кропивницький</t>
  </si>
  <si>
    <t>Акумуляторні батареї</t>
  </si>
  <si>
    <t>Електричні інструменти</t>
  </si>
  <si>
    <t>31440000-2 Акумуляторні батареї</t>
  </si>
  <si>
    <t>43830000-0 Електричні інструменти</t>
  </si>
  <si>
    <t>https://zakupivli.pro/gov/tenders/UA-2024-04-09-001535-a</t>
  </si>
  <si>
    <t>https://zakupivli.pro/gov/tenders/UA-2024-04-09-001245-a</t>
  </si>
  <si>
    <t>https://zakupivli.pro/gov/tenders/UA-2024-04-09-000302-a</t>
  </si>
  <si>
    <t>https://zakupivli.pro/gov/tenders/UA-2024-04-09-000106-a</t>
  </si>
  <si>
    <t>Послуги з очищення та освітлення трансформаторної оливи об'ємом 2800 літрів</t>
  </si>
  <si>
    <t>послуга</t>
  </si>
  <si>
    <t>Послуги</t>
  </si>
  <si>
    <t>https://zakupivli.pro/gov/tenders/UA-2024-04-09-011832-a</t>
  </si>
  <si>
    <t>90740000-6 Послуги з відстеження, моніторингу забруднювачів і відновлення</t>
  </si>
  <si>
    <t>Трансформатори (або еквівалент) (основна діяльність):Трансформатори (або еквівалент) (основна діяльність)</t>
  </si>
  <si>
    <t>Силікагель</t>
  </si>
  <si>
    <t>24310000-0 Основні неорганічні хімічні речовини</t>
  </si>
  <si>
    <t>https://zakupivli.pro/gov/tenders/UA-2024-04-10-010420-a/lot-e271c08ebeb94133bfb9152f7f8c743e</t>
  </si>
  <si>
    <t>https://zakupivli.pro/gov/tenders/UA-2024-04-10-002649-a</t>
  </si>
  <si>
    <t>кг</t>
  </si>
  <si>
    <t>Капітальний ремонт будівлі ОПУ П/СТ 35/10 кВ "Подорожня" по вул. Колгоспна с. Подорожнє, Кіровоградської області (Улаштування покрівлі з металопрофілю, фасад)</t>
  </si>
  <si>
    <t>https://zakupivli.pro/gov/tenders/UA-2024-04-11-009544-a</t>
  </si>
  <si>
    <t>https://zakupivli.pro/gov/tenders/UA-2024-04-12-009467-a</t>
  </si>
  <si>
    <t>Замки, ключі та петлі</t>
  </si>
  <si>
    <t>44520000-1 Замки, ключі та петлі</t>
  </si>
  <si>
    <t>https://zakupivli.pro/gov/tenders/UA-2024-04-16-000092-a</t>
  </si>
  <si>
    <t>Сервери (або еквівалент) (основна діяльність):Сервери (або еквівалент) (основна діяльність)</t>
  </si>
  <si>
    <t>Будівництво ПЛІ 0,4кВ Л-1 оп.32 КТП-1038 м.Олександрія</t>
  </si>
  <si>
    <t>Роботи по новому будівництву системи пожежної сигналізації</t>
  </si>
  <si>
    <t>48820000-2 Сервери</t>
  </si>
  <si>
    <t>https://zakupivli.pro/gov/tenders/UA-2024-04-18-012162-a/lot-0e3b9723f71d48d78613891998020cd8</t>
  </si>
  <si>
    <t>https://zakupivli.pro/gov/tenders/UA-2024-04-18-011880-a</t>
  </si>
  <si>
    <t>https://zakupivli.pro/gov/tenders/UA-2024-04-18-009207-a</t>
  </si>
  <si>
    <t>04.04.20424</t>
  </si>
  <si>
    <t>Технічне переоснащення КЛ-0,4кВ Л-6 від ЗТП-1199 для зовнішнього електропостачання нежитлового приміщення гр. Макаренко К.А. по вул. Айвазовського, буд.42-а в м.Олександрія</t>
  </si>
  <si>
    <t>https://zakupivli.pro/gov/tenders/UA-2024-04-24-006858-a</t>
  </si>
  <si>
    <t>Трансформатори (або еквівалент) (основна діяльність)</t>
  </si>
  <si>
    <t>https://zakupivli.pro/gov/tenders/UA-2024-04-25-005173-a/lot-8ff0641e6de74e8f86042b3700b8a53f</t>
  </si>
  <si>
    <t>UA-2024-04-25-005173-a</t>
  </si>
  <si>
    <t>31170000-8 Трансформатори</t>
  </si>
  <si>
    <t>Будівництво ПЛІ-0,4кВ Л-9 КТП-320 в с. Протопопівка Олександрійського району (Олександрійські ЕМ) для зовнішнього електропостачання базової станції мобільного зв'язку "Лайфселл"</t>
  </si>
  <si>
    <t>https://zakupivli.pro/gov/tenders/UA-2024-04-26-001577-a</t>
  </si>
  <si>
    <t>Капітальний ремонт будівлі ЗТП-754 м. Кропивницький</t>
  </si>
  <si>
    <t>Технічне переоснащення КТП-99 для зовнішнього електропостачання комплексу будівель СФГ Романюка В.А. по вул.Західна, буд.1 в с. Тарасівка Кропивницького району (Бобринецькі ЕМ)</t>
  </si>
  <si>
    <t>Будівництво ЩТП-833 в м.Кропивницький для зовнішнього електропостачання житлового будинку гр. Макртишевська П.О. по вул. Кавказька, буд.6</t>
  </si>
  <si>
    <t>https://zakupivli.pro/gov/tenders/UA-2024-04-30-008406-a</t>
  </si>
  <si>
    <t>https://zakupivli.pro/gov/tenders/UA-2024-04-30-007763-a</t>
  </si>
  <si>
    <t>https://zakupivli.pro/gov/tenders/UA-2024-04-30-007691-a</t>
  </si>
  <si>
    <t>Електричне приладдя та супутні товари до електричного обладнання</t>
  </si>
  <si>
    <t>https://zakupivli.pro/gov/tenders/UA-2024-05-06-000775-a</t>
  </si>
  <si>
    <t>Будiвництво КЛ-10 кВ Л-139 оп.13 ТП-7 (КП: Електротранс) для зовнiшнього електропостачання електрозарядної станцiї №1 КП Електротранс по вул. Холодноярська, в м. Кропивницький</t>
  </si>
  <si>
    <t>https://zakupivli.pro/gov/tenders/UA-2024-05-06-005957-a</t>
  </si>
  <si>
    <t>Ремонтно-відновлювальні роботи енергооб'єктів 0,4кВ в аварійних ситуаціях</t>
  </si>
  <si>
    <t>Ремонтно-відновлювальні роботи енергооб'єктів 6-10кВ в аварійних ситуаціях</t>
  </si>
  <si>
    <t>https://zakupivli.pro/gov/tenders/UA-2024-05-08-001172-a</t>
  </si>
  <si>
    <t>https://zakupivli.pro/gov/tenders/UA-2024-05-08-000784-a</t>
  </si>
  <si>
    <t>Цифрова передавальна апаратура</t>
  </si>
  <si>
    <t>32270000-6 Цифрова передавальна апаратура</t>
  </si>
  <si>
    <t>https://zakupivli.pro/gov/tenders/UA-2024-05-09-002161-a</t>
  </si>
  <si>
    <t>https://zakupivli.pro/gov/tenders/UA-2024-05-09-001892-a</t>
  </si>
  <si>
    <t>Улаштування захисної споруди тр-ра 1Т ПС 150/35/10 кВ (Черга ІІ)</t>
  </si>
  <si>
    <t>Улаштування захисної споруди тр-ра 2Т ПС 150/35/10 кВ (Черга ІІ)</t>
  </si>
  <si>
    <t>Реконструкція ЗТП-1112 в м. Олександрія для зовнішнього електропостачання АЗС АТ "КОНЦЕРН ГАЛНАФТОГАЗ" по вул. Козацький шлях, 95</t>
  </si>
  <si>
    <t>Будівництво ЩТП-834 для зовнішнього електропостачання житлового будинку з будівельним майданчиком гр.Грош І.Б., за адресою: м. Кропивницький, проїзд Підлісний (кад.№3510100000:04:046:0037)</t>
  </si>
  <si>
    <t>https://zakupivli.pro/gov/tenders/UA-2024-05-10-008517-a/lot-1ee185c5fd264090b8f76f8b2beb6263</t>
  </si>
  <si>
    <t>https://zakupivli.pro/gov/tenders/UA-2024-05-10-008137-a</t>
  </si>
  <si>
    <t>https://zakupivli.pro/gov/tenders/UA-2024-05-10-007968-a</t>
  </si>
  <si>
    <t>https://zakupivli.pro/gov/tenders/UA-2024-05-10-004917-a</t>
  </si>
  <si>
    <t>https://zakupivli.pro/gov/tenders/UA-2024-05-10-004381-a</t>
  </si>
  <si>
    <t>Інформаційне обладнання</t>
  </si>
  <si>
    <t>32580000-2 Інформаційне обладнання</t>
  </si>
  <si>
    <t>https://zakupivli.pro/gov/tenders/UA-2024-05-13-000046-a</t>
  </si>
  <si>
    <t>https://zakupivli.pro/gov/tenders/UA-2024-05-14-010620-a</t>
  </si>
  <si>
    <t>Конструкційні матеріали (або еквівалент) (основна діяльність):Конструкційні матеріали (або еквівалент) (основна діяльність)</t>
  </si>
  <si>
    <t>https://zakupivli.pro/gov/tenders/UA-2024-05-17-000118-a/lot-311058576deb4cf79d53d580154014bd</t>
  </si>
  <si>
    <t>https://zakupivli.pro/gov/tenders/UA-2024-05-20-009265-a</t>
  </si>
  <si>
    <t>https://zakupivli.pro/gov/tenders/UA-2024-05-21-002810-a</t>
  </si>
  <si>
    <t xml:space="preserve">Шини для транспортних засобів  </t>
  </si>
  <si>
    <t>34350000-5 Шини для транспортних засобів великої та малої тоннажності</t>
  </si>
  <si>
    <t>https://zakupivli.pro/gov/tenders/UA-2024-05-22-000727-a</t>
  </si>
  <si>
    <t>09210000-4 Мастильні засоби</t>
  </si>
  <si>
    <t>Олива трансформаторна Т-1500 (або еквівалент) (Основна діяльність):Олива трансформаторна Т-1500 (або еквівалент) (Основна діяльність)</t>
  </si>
  <si>
    <t>Частини до трансформаторів</t>
  </si>
  <si>
    <t>Електротехнічне обладнання</t>
  </si>
  <si>
    <t>тонн</t>
  </si>
  <si>
    <t>https://zakupivli.pro/gov/tenders/UA-2024-05-23-004824-a/lot-984d3017e6ad48438ba3eee4225804b7</t>
  </si>
  <si>
    <t>https://zakupivli.pro/gov/tenders/UA-2024-05-23-000397-a</t>
  </si>
  <si>
    <t>https://zakupivli.pro/gov/tenders/UA-2024-05-23-000094-a</t>
  </si>
  <si>
    <t>Ремонт плат АТС цифрової *Меридіан-1* 61 опц. (інв.№0109026)</t>
  </si>
  <si>
    <t>Роботи по технічному переоснащенню комірки 10кВ Л-145 п/ст 35/10кВ "Тишківка" для завнішнього електропостачання елеваторного комплексу "Світанок"</t>
  </si>
  <si>
    <t>Технічне переонащення РП-6 кВ від ЦРП-5 в м. Світловодськ для зовнішнього електропостачання комплексу будівель ТОВ наукове-виробниче підприємство "ПОЛІНОМ" по вул. Залізняка Максима, буд. 33-в</t>
  </si>
  <si>
    <t>Будівництво ЩТП-280 для зовнішнього електропостачання квартири Лівандовської Ю.С. в с.Добронадіївка, вул. Привокзальна, 60, Олександрійського району, Кіровоградської області</t>
  </si>
  <si>
    <t>Роботи по технічному переоснащенню КТП-435 для зовнішнього електропостачання Елеваторного комплексу "Світанок"</t>
  </si>
  <si>
    <t>Будівництво КЛ-6 кВ від ЦРП-5 в м. Світловодськ для зовнішнього електропостачання комплексу будівель ТОВ наукове-виробниче підприємство "ПОЛІНОМ" по вул. Залізняка Максима, буд. 33-в</t>
  </si>
  <si>
    <t>45230000-8 Будівництво трубопроводів, ліній зв’язку та електропередач, шосе, доріг, аеродромів і залізничних доріг; вирівнювання поверхонь</t>
  </si>
  <si>
    <t>https://zakupivli.pro/gov/tenders/UA-2024-05-27-011689-a</t>
  </si>
  <si>
    <t>https://zakupivli.pro/gov/tenders/UA-2024-05-27-006967-a</t>
  </si>
  <si>
    <t>https://zakupivli.pro/gov/tenders/UA-2024-05-27-006416-a</t>
  </si>
  <si>
    <t>https://zakupivli.pro/gov/tenders/UA-2024-05-27-006318-a</t>
  </si>
  <si>
    <t>https://zakupivli.pro/gov/tenders/UA-2024-05-27-006168-a</t>
  </si>
  <si>
    <t>https://zakupivli.pro/gov/tenders/UA-2024-05-27-006163-a</t>
  </si>
  <si>
    <t>https://zakupivli.pro/gov/tenders/UA-2024-05-27-006049-a</t>
  </si>
  <si>
    <t xml:space="preserve">Капітальний ремонт будівлі ЗТП-133 по вул. Сонячна, 6И, м. Долинська, Кіровоградської області (Улаштування покрівлі з метало профілю, вимощення) </t>
  </si>
  <si>
    <t>Капітальний ремонт будівлі ЗТП-123 м. Долинська (Улаштування покрівлі з металопрофілю)</t>
  </si>
  <si>
    <t>https://zakupivli.pro/gov/tenders/UA-2024-05-30-000099-a</t>
  </si>
  <si>
    <t>https://zakupivli.pro/gov/tenders/UA-2024-05-30-000116-a</t>
  </si>
  <si>
    <t>Мікрофони та гучномовці</t>
  </si>
  <si>
    <t>Роботи з розчистки трас охоронної зони повітряної лінії 10кВ  Л-1102 оп.№3-12, 87-106, 110-144, 321-338, 340-359, 393-407 Олександрійський район Кіровоградська область</t>
  </si>
  <si>
    <t>32340000-8 Мікрофони та гучномовці</t>
  </si>
  <si>
    <t>77341000-2 Підрізання дерев</t>
  </si>
  <si>
    <t>https://zakupivli.pro/gov/tenders/UA-2024-05-31-003514-a</t>
  </si>
  <si>
    <t>https://zakupivli.pro/gov/tenders/UA-2024-05-31-006948-a</t>
  </si>
  <si>
    <t>Роботи з ремонту плат АТС Цифрової "Меридіан-1" версія 11С</t>
  </si>
  <si>
    <t>https://zakupivli.pro/gov/tenders/UA-2024-06-04-001790-a</t>
  </si>
  <si>
    <t>Мережеве обладнання</t>
  </si>
  <si>
    <t>https://zakupivli.pro/gov/tenders/UA-2024-06-06-001299-a</t>
  </si>
  <si>
    <t>Блок керування, блок живлення</t>
  </si>
  <si>
    <t>Реле</t>
  </si>
  <si>
    <t>https://zakupivli.pro/gov/tenders/UA-2024-06-10-003519-a</t>
  </si>
  <si>
    <t>https://zakupivli.pro/gov/tenders/UA-2024-06-10-003597-a</t>
  </si>
  <si>
    <t>Прилади для вимірювання величин</t>
  </si>
  <si>
    <t>https://zakupivli.pro/gov/tenders/UA-2024-06-11-004453-a</t>
  </si>
  <si>
    <t>Будівництво ЩТП-536 в с. Сонячне для зовнішнього електропостачання нежитлової будівлі Шаповалова А.О. по вул. Івана Миколайчука, 32</t>
  </si>
  <si>
    <t>https://zakupivli.pro/gov/tenders/UA-2024-06-13-006939-a</t>
  </si>
  <si>
    <t>Технічне переоснащення ПС "Созонівка" 35/10кВ (комірка Л-134) для зовнішнього електропостачання комплексу будівель "Агропроммонтаж" по вул.Холодноярська буд.190 м.Кропивницький</t>
  </si>
  <si>
    <t>https://zakupivli.pro/gov/tenders/UA-2024-06-13-011394-a</t>
  </si>
  <si>
    <t>Технічне переоснащення ПС 150/35/10кВ  "Березівка" що знаходиться на території Смолінської територіальної громади в Новоукраїнському районі Кіровоградської області, із матеріалів та обладнання підрядника (приєднання):Технічне переоснащення ПС 150/35/10кВ  "Березівка" що знаходиться на території Смолінської територіальної громади в Новоукраїнському районі Кіровоградської області, із матеріалів та обладнання підрядника (приєднання)</t>
  </si>
  <si>
    <t>https://zakupivli.pro/gov/tenders/UA-2024-06-14-000434-a/lot-6260dbe8be7343c1bb1acb90f5d6f6fb</t>
  </si>
  <si>
    <t>Конструкції та їх частини (або еквівалент) (Основна діяльність):Конструкції та їх частини (або еквівалент) (Основна діяльність)</t>
  </si>
  <si>
    <t>Придбання комплекту автомобільної УКХ радіостанції типу HYTERA HM785U UHF (440-470 МГц), або аналог (пункт 5.3 Інвестиційної Програми 2024):Придбання комплекту автомобільної УКХ радіостанції типу HYTERA HM785U UHF (440-470 МГц), або аналог (пункт 5.3 Інвестиційної Програми 2024)</t>
  </si>
  <si>
    <t>https://zakupivli.pro/gov/tenders/UA-2024-06-18-008358-a/lot-e9e0f5a7498c45d487bcaa4b6fdd453f</t>
  </si>
  <si>
    <t>https://zakupivli.pro/gov/tenders/UA-2024-06-18-010109-a/lot-884438cd3b75496ea79f1b5df73420e8</t>
  </si>
  <si>
    <t>https://zakupivli.pro/gov/tenders/UA-2024-06-19-006845-a</t>
  </si>
  <si>
    <t>Блок живлення</t>
  </si>
  <si>
    <t>Трансформатор струму CTSO 38</t>
  </si>
  <si>
    <t>https://zakupivli.pro/gov/tenders/UA-2024-06-20-010267-a</t>
  </si>
  <si>
    <t>https://zakupivli.pro/gov/tenders/UA-2024-06-20-010243-a</t>
  </si>
  <si>
    <t>https://zakupivli.pro/gov/tenders/UA-2024-06-20-010026-a</t>
  </si>
  <si>
    <t>Будівництво ПЛ, ПЛІ-0,4 кВ Л-1, Л-6 КТП-341 в с.Паращине Поле Кіровоградських ЕМ для зовнішнього електропостачання житлового будинку гр.Катаман А.С. по вул. Квітковій</t>
  </si>
  <si>
    <t>Будівництво ПЛІ-0,4кВ Л-2 ЩТП-819 оп.3 - оп.9 в м.Кропивницький для зовнішнього електропостачання житлового будинку Шуварікова О.Ю. кад.№3510100000:46:393:0047</t>
  </si>
  <si>
    <t>Кабелі та супутня продукція</t>
  </si>
  <si>
    <t>Будівництво ПЛ-10 кВ Л-201 до ЩТП-534 для зовнішнього електропостачання житлового будинку з будівельним майданчиком гр. Євдокимов Є. В. по пров. Маріупольський 6-й кад. № 3510100000:48:439:0007 в м. Кропивницький</t>
  </si>
  <si>
    <t>Будівництво ПЛІ-0,4 кВ від ЩТП-534 для зовнішнього електропостачання житлового будинку з будівельним майданчиком гр. Євдокимов Є. В. по пров. Маріупольський 6-й кад. № 3510100000:48:439:0007 в м. Кропивницький</t>
  </si>
  <si>
    <t>Будівництво ЩТП-534 для зовнішнього електропостачання житлового будинку з будівельним майданчиком гр. Євдокимов Є. В. по пров. Маріупольський 6-й кад. № 3510100000:48:439:0007 в м. Кропивницький</t>
  </si>
  <si>
    <t>Технічне переоснащення ЩТП-832 для зовнішнього електропостачання комплексу будівель Фірми "АГРОГІДРОМАШ" ТОВ по вул. Родникова, 86 в м. Кропивницький</t>
  </si>
  <si>
    <t>Будівництво ПЛІ-0,4кВ Л-3  КТП-786 оп. 76-83 для зовнішнього електропостачання житлового будинку з будівельним майданчиком гр. Скрипка О.С. кад. №3510166900:09:060:0135 в смт. Нове м. Кропивницький</t>
  </si>
  <si>
    <t>44320000-9 Кабелі та супутня продукція</t>
  </si>
  <si>
    <t>https://zakupivli.pro/gov/tenders/UA-2024-06-25-002869-a</t>
  </si>
  <si>
    <t>https://zakupivli.pro/gov/tenders/UA-2024-06-25-001923-a</t>
  </si>
  <si>
    <t>https://zakupivli.pro/gov/tenders/UA-2024-06-25-001166-a</t>
  </si>
  <si>
    <t>https://zakupivli.pro/gov/tenders/UA-2024-06-25-000716-a</t>
  </si>
  <si>
    <t>https://zakupivli.pro/gov/tenders/UA-2024-06-25-000624-a</t>
  </si>
  <si>
    <t>https://zakupivli.pro/gov/tenders/UA-2024-06-25-000567-a</t>
  </si>
  <si>
    <t>https://zakupivli.pro/gov/tenders/UA-2024-06-25-000508-a</t>
  </si>
  <si>
    <t>https://zakupivli.pro/gov/tenders/UA-2024-06-25-000445-a</t>
  </si>
  <si>
    <t>Капітальний ремонт будівлі гаражу ОВБ Добровеличківського РЕМ по вул.Європейська 2а  в смт. Добровеличківка,   Кіровоградської обл. (Улаштування покрівлі з металопрофілю)</t>
  </si>
  <si>
    <t>https://zakupivli.pro/gov/tenders/UA-2024-06-26-010363-a</t>
  </si>
  <si>
    <t>Шафа КТПС 100 кВА (приєднання)</t>
  </si>
  <si>
    <t>https://zakupivli.pro/gov/tenders/UA-2024-07-01-004453-a</t>
  </si>
  <si>
    <t>Технічне переоснащення ЗТП-253 для зовнішнього електропостачання адмінбудівлі ТОВ "АВГУСТ СИСТЕМ" по вул. Шевченка буд.12 в м.Кропивницький</t>
  </si>
  <si>
    <t>https://zakupivli.pro/gov/tenders/UA-2024-07-02-000094-a</t>
  </si>
  <si>
    <t>Різак кабельний дистанційний РКГ-100</t>
  </si>
  <si>
    <t>Капітальний ремонт душової кімнати адмінбудівлі с.Соколівське за адресою: прос.Соколівський, 23, с.Соколівське, Кропивницького району Кіровоградської області</t>
  </si>
  <si>
    <t>39240000-6 Різальні інструменти</t>
  </si>
  <si>
    <t>https://zakupivli.pro/gov/tenders/UA-2024-07-03-002336-a</t>
  </si>
  <si>
    <t>https://zakupivli.pro/gov/tenders/UA-2024-07-03-007270-a</t>
  </si>
  <si>
    <t>Пристрій автоматичного вмикання резерву зі стабілізацією вихідної постійної напруги АВР-СТ</t>
  </si>
  <si>
    <t>Трансформатор напруги</t>
  </si>
  <si>
    <t>https://zakupivli.pro/gov/tenders/UA-2024-07-08-006396-a</t>
  </si>
  <si>
    <t>https://zakupivli.pro/gov/tenders/UA-2024-07-08-006915-a</t>
  </si>
  <si>
    <t>Роботи з ремонту плат обладнання РРЛЗ ЦВЗ-2 - Олександрівський РЕМ</t>
  </si>
  <si>
    <t>https://zakupivli.pro/gov/tenders/UA-2024-07-10-008265-a</t>
  </si>
  <si>
    <t>Будівництво КЛ-6 кВ Л-641 оп.42/2-42/3 в с.Звенигородка Олександрійського району Кіровоградської області</t>
  </si>
  <si>
    <t>Будівництво ПЛІ-0,4кВ Л-1 ЩТП-1113 в с. Звенигородка Олександрійського району Кіровоградської області</t>
  </si>
  <si>
    <t>Кондиціонери</t>
  </si>
  <si>
    <t>42510000-4 Теплообмінники, кондиціонери повітря, холодильне обладнання та фільтрувальні пристрої</t>
  </si>
  <si>
    <t>https://zakupivli.pro/gov/tenders/UA-2024-07-15-002029-a</t>
  </si>
  <si>
    <t>https://zakupivli.pro/gov/tenders/UA-2024-07-15-002322-a</t>
  </si>
  <si>
    <t>https://zakupivli.pro/gov/tenders/UA-2024-07-15-004574-a</t>
  </si>
  <si>
    <t>Будівництво ПЛ,ПЛІ-0,4кВ Л-4,5 КТП-1069 оп.19-12 для зовнішнього електропостачання житлового будинку гр.Четверня О.С. по пров. Михайла Іванова, 38 в м.Олександрія</t>
  </si>
  <si>
    <t>https://zakupivli.pro/gov/tenders/UA-2024-07-16-006910-a</t>
  </si>
  <si>
    <t>Технічне обслуговування (ТО), діагностика та ремонт офісної техніки</t>
  </si>
  <si>
    <t>Світильники</t>
  </si>
  <si>
    <t>50310000-1 Технічне обслуговування і ремонт офісної техніки</t>
  </si>
  <si>
    <t>https://zakupivli.pro/gov/tenders/UA-2024-07-18-003108-a</t>
  </si>
  <si>
    <t>https://zakupivli.pro/gov/tenders/UA-2024-07-18-003762-a</t>
  </si>
  <si>
    <t>Будівництво ПЛІ-0,4кВ Л-1 від ЩТП-185 в с. Нова Осота Олександрівські ЕМ для зовнішнього електропостачання житлового будинку гр. Краплина О.В. по вул. Лісова, буд.3-а</t>
  </si>
  <si>
    <t>Будівництво ЩТП-185 в с.Нова Осота Олександрівські ЕМ для зовнішнього електропостачання житлового будинку гр. Краплина О.В. по вул. Лісова, буд.3-а</t>
  </si>
  <si>
    <t>Шафа КТП 160кВА (приєднання)</t>
  </si>
  <si>
    <t>Нове будівництво ЩТП-1311 (100кВА) в с.Звенигородка Олександрійського району Кіровоградської області</t>
  </si>
  <si>
    <t>Будівництво ПЛ-6кВ Л-641 оп.№42 в с.Звенигородка Олександрійського району Кіровоградської області</t>
  </si>
  <si>
    <t>https://zakupivli.pro/gov/tenders/UA-2024-07-22-001735-a</t>
  </si>
  <si>
    <t>https://zakupivli.pro/gov/tenders/UA-2024-07-22-002244-a</t>
  </si>
  <si>
    <t>https://zakupivli.pro/gov/tenders/UA-2024-07-22-008778-a</t>
  </si>
  <si>
    <t>https://zakupivli.pro/gov/tenders/UA-2024-07-22-009143-a</t>
  </si>
  <si>
    <t>https://zakupivli.pro/gov/tenders/UA-2024-07-22-009312-a</t>
  </si>
  <si>
    <t>Будіництво КЛ-0,4кВ ТП-441 А-60 для зовнішнього електропостачання магазину ТОВ "ЄВРОТЕХНІКА-2007" по вул. Кропивницького, кад.№3510100000:25:156:0111 в м.Кропивницький</t>
  </si>
  <si>
    <t>Ремонт автоматизованої системи диспетчерського управління Олександрійських ЕМ (інв.№2001931)</t>
  </si>
  <si>
    <t>https://zakupivli.pro/gov/tenders/UA-2024-07-23-006360-a</t>
  </si>
  <si>
    <t>https://zakupivli.pro/gov/tenders/UA-2024-07-23-006477-a</t>
  </si>
  <si>
    <t>Будівництво ПЛІ-0,4кВ від ЩТП-180 в с. Червоновершка Компаніївських ЕМ для зовнішнього електропостачання житлового будинку з господарськими будівлями гр. Лебідєв М.Д. по вул. Шкільна, буд.15</t>
  </si>
  <si>
    <t>Будівництво ЩТП-180 в с.Червоновершка Компаніївських ЕМ для зовнішнього електропостачання житлового будинку з господарськими будівлями гр. Лебідєв М.Д. по вул.Шкільна, 15</t>
  </si>
  <si>
    <t>Технічне переоснащення ПЛ-0,4кВ Л-3 від КТП-99 в с.Червоновершка Компаніївських ЕМ для зовнішнього електропостачання житлового будинку з господарськими будівлями гр. Лебідєв М.Д. по вул.Шкільна, 15</t>
  </si>
  <si>
    <t>Реконструкція ПЛ-35 кВ Л-746 «Голованівськ-Клинове» в частині улаштування кабельної вставки в прогоні опор №22-23 в Голованівському районі Кіровоградської області, із матеріалів та обладнання підрядника (приєднання):Реконструкція ПЛ-35 кВ Л-746 «Голованівськ-Клинове» в частині улаштування кабельної вставки в прогоні опор №22-23 в Голованівському районі Кіровоградської області, із матеріалів та обладнання підрядника (приєднання)</t>
  </si>
  <si>
    <t>https://zakupivli.pro/gov/tenders/UA-2024-07-24-001383-a</t>
  </si>
  <si>
    <t>https://zakupivli.pro/gov/tenders/UA-2024-07-24-001792-a</t>
  </si>
  <si>
    <t>https://zakupivli.pro/gov/tenders/UA-2024-07-24-001967-a</t>
  </si>
  <si>
    <t>https://zakupivli.pro/gov/tenders/UA-2024-07-24-010258-a/lot-a5a25b4308ba4cde9465599aa591a3ad</t>
  </si>
  <si>
    <t>Акумулятор стаціонарний MARATHON M 12V 100FT</t>
  </si>
  <si>
    <t>Вакуумний вимикач ВР35НСМ (або еквівалент) (основна діяльність):Вакуумний вимикач ВР35НСМ (або еквівалент) (основна діяльність)</t>
  </si>
  <si>
    <t>Будівництво ПЛЗ-10кВ Л-205 до ЩТП-224 для зовнішнього електропостачання нежитлової будівлі Первозванівської сільської ради по вул. Мічуріна, 16 в с.Зоря Кропивницького району Кіровоградської області</t>
  </si>
  <si>
    <t>Будівництво ЩТП-224 для зовнішнього електропостачання нежитлової будівлі Первозванівської сільської ради по вул. Мічуріна, 16 в с.Зоря Кропивницького району Кіровоградської області</t>
  </si>
  <si>
    <t>Будівництво ПЛІ-0,4кВ від ЩТП-224 для зовнішнього електропостачання нежитлової будівлі Первозванівської сільської ради по вул. Мічуріна, 16 в с.Зоря Кропивницького району Кіровоградської області</t>
  </si>
  <si>
    <t>https://zakupivli.pro/gov/tenders/UA-2024-07-25-002699-a</t>
  </si>
  <si>
    <t>https://zakupivli.pro/gov/tenders/UA-2024-07-25-003393-a</t>
  </si>
  <si>
    <t>https://zakupivli.pro/gov/tenders/UA-2024-07-25-003656-a</t>
  </si>
  <si>
    <t>https://zakupivli.pro/gov/tenders/UA-2024-07-25-005997-a/lot-718bcc6bbbbf473d87faab00b57b3872</t>
  </si>
  <si>
    <t>https://zakupivli.pro/gov/tenders/UA-2024-07-25-008020-a</t>
  </si>
  <si>
    <t>Шафа КТПС 100кВА (приєднання)</t>
  </si>
  <si>
    <t>https://zakupivli.pro/gov/tenders/UA-2024-07-29-002334-a</t>
  </si>
  <si>
    <t>Будівництво 2ПЛІ-0,4 кВ ТП-64 Л-3, 20 оп. В82-11 в м. Кропивницький для зовнішнього електропостачання житлового будинку Ковальової С.А.</t>
  </si>
  <si>
    <t>https://zakupivli.pro/gov/tenders/UA-2024-08-01-006484-a</t>
  </si>
  <si>
    <t>Капітальний ремонт будівлі ЗТП-290 по вул. Паркова, 1а, смт. Компаніївка Кропивницького р-ну Кіровоградської обл.</t>
  </si>
  <si>
    <t>Капітальний ремонт будівлі ЗТП-307 по вул. Перемоги, 158Б, смт. Компаніївка Кропивницького р-ну Кіровоградської обл. (Улаштування покрівлі, мет. двері, вимощення)</t>
  </si>
  <si>
    <t>Картриджі</t>
  </si>
  <si>
    <t>30120000-6 Фотокопіювальне та поліграфічне обладнання для офсетного друку</t>
  </si>
  <si>
    <t>https://zakupivli.pro/gov/tenders/UA-2024-08-05-006471-a</t>
  </si>
  <si>
    <t>https://zakupivli.pro/gov/tenders/UA-2024-08-05-006635-a</t>
  </si>
  <si>
    <t>https://zakupivli.pro/gov/tenders/UA-2024-08-05-007656-a</t>
  </si>
  <si>
    <t>https://zakupivli.pro/gov/tenders/UA-2024-08-05-009986-a</t>
  </si>
  <si>
    <t>Набір інструменту електромонтера</t>
  </si>
  <si>
    <t>Будівництво ПЛ-10 кВ Л-201 оп.192, 192/1 - 192/5 для зовнішнього електропостачання абонентської станції мобільного зв'язку, ТОВ "УКРТАУЕР" на території Первозванівської с/р Кропивницького району, Кіровоградської області</t>
  </si>
  <si>
    <t>Технічне обслуговування, ремонт ліфтів та підйомників</t>
  </si>
  <si>
    <t>50750000-7 Послуги з технічного обслуговування ліфтів</t>
  </si>
  <si>
    <t>https://zakupivli.pro/gov/tenders/UA-2024-08-08-003012-a</t>
  </si>
  <si>
    <t>https://zakupivli.pro/gov/tenders/UA-2024-08-08-003155-a</t>
  </si>
  <si>
    <t>https://zakupivli.pro/gov/tenders/UA-2024-08-08-003747-a</t>
  </si>
  <si>
    <t>Будівництво ПЛ-10 кВ Ф-1 оп.83-83/12 ПС "Знам.тягова" - 150/35/10 кВ в м. Знам'янка для зовнішнього електропостачання житлового будинку з будівельним майданчиком Бакуліної І.В. по вул. Світанкова</t>
  </si>
  <si>
    <t>Будівництво ЩТП-10110г в м.Знам'янка для зовнішнього електропостачання житлового будинку з будівельним майданчиком Бакуліної І.В. по вул. Світанкова (кад.№3510600000:50:001:0086), 44</t>
  </si>
  <si>
    <t>Будівництво ПЛІ-0,4 кВ ТП-272 Л-20 оп. 50-50/5 в м. Кропивницький для зовнішнього електропостачання абонентської станції мобільного зв'язку ТОВ "УКРТАУЕР"</t>
  </si>
  <si>
    <t xml:space="preserve">Будівництво 2ПЛ, ПЛІ-0,4кВ ТП-272 Л-4,20 оп.1-3 в м. Кропивницький для зовнішнього електропостачання абонентської станції мобільного зв'язку, ТОВ "УКРТАУЕР" </t>
  </si>
  <si>
    <t>https://zakupivli.pro/gov/tenders/UA-2024-08-08-010883-a</t>
  </si>
  <si>
    <t>https://zakupivli.pro/gov/tenders/UA-2024-08-08-010980-a</t>
  </si>
  <si>
    <t>https://zakupivli.pro/gov/tenders/UA-2024-08-08-011072-a</t>
  </si>
  <si>
    <t>https://zakupivli.pro/gov/tenders/UA-2024-08-08-011169-a</t>
  </si>
  <si>
    <t>Технічне переоснащення в с.Гайове Кропивницького району (Олександрівських ЕМ)</t>
  </si>
  <si>
    <t>Технічне переоснащення КТП-153 для зовнішнього електропостачання комплексу будівель ТДВ "2-ге ім. Петровського" по вул. Набережна, буд. 1-б в с. Веселе Кропивницького району</t>
  </si>
  <si>
    <t>Шафа КТПС 160 кВА (приєднання)</t>
  </si>
  <si>
    <t>Будівництво ПЛІ-0,4 кВ ТП-610 А-20 оп.№1-13 в м. Кропивницький для зовнішнього електропостачання нежитлової будівлі Бондаренко В. В. по вул. Аджамська, 10-а</t>
  </si>
  <si>
    <t>Будівництво КТП-835 в м. Кропивницький для зовнішнього електропостачання комплексу будівель (кондитерський цех) гр. Ковальової С. А. по вул. Покровська, 12-б</t>
  </si>
  <si>
    <t>Будівництво КЛ-10 кВ ТП-78-ТП-835 в м. Кропивницький для зовнішнього електропостачання комплексу будівель (кондитерський цех) гр. Ковальової С. А. по вул. Покровська, 12-б</t>
  </si>
  <si>
    <t>Надання послуг по технічному обслуговуванню АВР Замовника</t>
  </si>
  <si>
    <t>Придбання комплекту базової УКХ радіостанції типу HYTERA HM785U UHF (440-470 МГц), або аналог (пункт 5.2 Інвестиційної Програми 2024) та Придбання комплекту автомобільної УКХ радіостанції типу HYTERA HM785U UHF (440-470 МГц), або аналог (пункт 5.3 Інвестиційної Програми 2024):Придбання комплекту базової УКХ радіостанції типу HYTERA HM785U UHF (440-470 МГц), або аналог (пункт 5.2 Інвестиційної Програми 2024) та Придбання комплекту автомобільної УКХ радіостанції типу HYTERA HM785U UHF (440-470 МГц), або аналог (пункт 5.3 Інвестиційної Програми 2024)</t>
  </si>
  <si>
    <t>БФП Konica Minolta Bizhub 223</t>
  </si>
  <si>
    <t>Супутниковий модем Starlink SpaseX REV4 Gen3 Standart Kit</t>
  </si>
  <si>
    <t>Лічильники електроенергії (пункти Інвестиційної програми 2024 п. 2.1.1.1; 2.1.1.2; 2.1.2.1; 2.1.2.2; 2.1.2.4) (або еквівалент):Лічильники електроенергії (пункти Інвестиційної програми 2024 п. 2.1.1.1; 2.1.1.2; 2.1.2.1; 2.1.2.2; 2.1.2.4) (або еквівалент)</t>
  </si>
  <si>
    <t>Модуль комутаційний на базі вакуумного вимикача ВВ/TEL-10, або еквівалент (ІП 2024 року):Модуль комутаційний на базі вакуумного вимикача ВВ/TEL-10, або еквівалент (ІП 2024 року)</t>
  </si>
  <si>
    <t>Трансформатори струму (пункти 2.1.2.5. 2.1.2.6. 2.1.2.7. Інвестиційної Програми 2024).:Трансформатори струму (пункти 2.1.2.5. 2.1.2.6. 2.1.2.7. Інвестиційної Програми 2024).</t>
  </si>
  <si>
    <t xml:space="preserve">Будівництво 2ПЛІ-0,4кВ ТП-77 Л-4,20 оп.14-14/1 в м. Кропивницький для зовнішнього електропостачання нежитлової будівлі Журавки О.М. по пров. Госпітальний, 3 </t>
  </si>
  <si>
    <t>Будівництво 2ПЛІ-0,4 кВ ТП-77 Л-3, 20 оп.1-9 в м. Кропивницький для зовнішнього електропостачання нежитлової будівлі Журавки О. М. по пров. Госпітальний, 3</t>
  </si>
  <si>
    <t>Муфти кабельні</t>
  </si>
  <si>
    <t>50530000-9 Послуги з ремонту і технічного обслуговування техніки</t>
  </si>
  <si>
    <t>32530000-7 Телекомунікаційне супутникове обладнання</t>
  </si>
  <si>
    <t>Ремонт КЛ зв'язку РВБ Новоархангельський РЕМ - ПС Новоархангельська - ПС Березівка (ділянка від РВБ Новоархангельський РЕМ до ПС Новоархангельська), в частині зварювання оптоволоконного кабелю</t>
  </si>
  <si>
    <t>https://zakupivli.pro/gov/tenders/UA-2024-08-22-004345-a</t>
  </si>
  <si>
    <t>https://zakupivli.pro/gov/tenders/UA-2024-08-22-004238-a</t>
  </si>
  <si>
    <t>https://zakupivli.pro/gov/tenders/UA-2024-08-22-003941-a</t>
  </si>
  <si>
    <t>https://zakupivli.pro/gov/tenders/UA-2024-08-21-003135-a</t>
  </si>
  <si>
    <t>https://zakupivli.pro/gov/tenders/UA-2024-08-21-003975-a</t>
  </si>
  <si>
    <t>https://zakupivli.pro/gov/tenders/UA-2024-08-21-003447-a</t>
  </si>
  <si>
    <t>https://zakupivli.pro/gov/tenders/UA-2024-08-20-011009-a</t>
  </si>
  <si>
    <t>https://zakupivli.pro/gov/tenders/UA-2024-08-16-002910-a/lot-c6893bc9d2e647f9898277bf8dc55fab</t>
  </si>
  <si>
    <t>https://zakupivli.pro/gov/tenders/UA-2024-08-16-002605-a</t>
  </si>
  <si>
    <t>https://zakupivli.pro/gov/tenders/UA-2024-08-16-004297-a</t>
  </si>
  <si>
    <t>https://zakupivli.pro/gov/tenders/UA-2024-08-16-007878-a/lot-d825321c11524c23946505d178b1c702</t>
  </si>
  <si>
    <t>https://zakupivli.pro/gov/tenders/UA-2024-08-16-008358-a/lot-b9419c8bfa9f4b428da81c1e04e0bece</t>
  </si>
  <si>
    <t>https://zakupivli.pro/gov/tenders/UA-2024-08-16-008563-a/lot-45de53746c6340e5bb1629753e326403</t>
  </si>
  <si>
    <t>https://zakupivli.pro/gov/tenders/UA-2024-08-15-004257-a</t>
  </si>
  <si>
    <t>https://zakupivli.pro/gov/tenders/UA-2024-08-15-004128-a</t>
  </si>
  <si>
    <t>https://zakupivli.pro/gov/tenders/UA-2024-08-14-000304-a</t>
  </si>
  <si>
    <t>https://zakupivli.pro/gov/tenders/UA-2024-08-14-008653-a</t>
  </si>
  <si>
    <t>https://zakupivli.pro/gov/tenders/UA-2024-08-13-010928-a</t>
  </si>
  <si>
    <t>https://zakupivli.pro/gov/tenders/UA-2024-08-12-006182-a</t>
  </si>
  <si>
    <t>https://zakupivli.pro/gov/tenders/UA-2024-08-09-003010-a</t>
  </si>
  <si>
    <t>Котел твердопаливний ALTEP DUO PLUS (або еквівалент) (інвестиційна програма):Котел твердопаливний ALTEP DUO PLUS (або еквівалент) (інвестиційна програма)</t>
  </si>
  <si>
    <t>Теплоакумулятори Altep з теплообмінником (або еквівалент) (інвестиційна програма):Теплоакумулятори Altep з теплообмінником (або еквівалент) (інвестиційна програма)</t>
  </si>
  <si>
    <t>44620000-2 Радіатори і котли для систем центрального опалення та їх деталі</t>
  </si>
  <si>
    <t>44610000-9 Цистерни, резервуари, контейнери та посудини високого тиску</t>
  </si>
  <si>
    <t>https://zakupivli.pro/gov/tenders/UA-2024-08-29-007868-a/lot-cb7a0070271445bcac54725802fdc157</t>
  </si>
  <si>
    <t>https://zakupivli.pro/gov/tenders/UA-2024-08-29-008281-a/lot-bbb40fd8b5e34e94ba309455cc86056c</t>
  </si>
  <si>
    <t>Ремонт КПП</t>
  </si>
  <si>
    <t>https://zakupivli.pro/gov/tenders/UA-2024-09-02-005487-a</t>
  </si>
  <si>
    <t>Контроллер АВР</t>
  </si>
  <si>
    <t>https://zakupivli.pro/gov/tenders/UA-2024-09-06-000103-a</t>
  </si>
  <si>
    <t>Насоси циркуляційні DAB EVOPLUS(або еквівалент) (інвестиційна програма):Насоси циркуляційні DAB EVOPLUS(або еквівалент) (інвестиційна програма)</t>
  </si>
  <si>
    <t>Роботи по тенхнічному переоснащенню КТП-144 в с. Веселе Кропивницького району (Олександрівські ЕМ) для зовнішнього електропостачання комплексу будівель ТДВ "2-ге ім. Пертовського" по вул. Набережна буд. 1а</t>
  </si>
  <si>
    <t>42120000-6 Насоси та компресори</t>
  </si>
  <si>
    <t>https://zakupivli.pro/gov/tenders/UA-2024-09-09-007168-a/lot-49901563156c4bae92ed375affbc0b3d</t>
  </si>
  <si>
    <t>https://zakupivli.pro/gov/tenders/UA-2024-09-09-012658-a</t>
  </si>
  <si>
    <t>Капітальний ремонт будівлі ЗТП-63 по вул.Маяковського, 20а в м. Новомиргород, Кіровоградської області (Улаштування покрівлі з металопрофілю, вимощення)</t>
  </si>
  <si>
    <t>https://zakupivli.pro/gov/tenders/UA-2024-09-10-007035-a</t>
  </si>
  <si>
    <t>Пристрої релейного захисту та допоміжних матеріалів, або еквівалент (ІП 2024 року):Пристрої релейного захисту та допоміжних матеріалів, або еквівалент (ІП 2024 року)</t>
  </si>
  <si>
    <t>https://zakupivli.pro/gov/tenders/ua-2024-09-11-004952-a/lot-b56fa9551a6146e0901282ea176993f9</t>
  </si>
  <si>
    <t>Комп'ютерне обладнання (пункти 4.1, 4.2 Інвестиційної Програми 2024, ОД):Комп'ютерне обладнання (пункти 4.1, 4.2 Інвестиційної Програми 2024, ОД)</t>
  </si>
  <si>
    <t>Будівельні товари (або еквівалент) (основна діяльність):Будівельні товари (або еквівалент) (основна діяльність)</t>
  </si>
  <si>
    <t>44420000-0 Будівельні товари</t>
  </si>
  <si>
    <t>https://zakupivli.pro/gov/tenders/ua-2024-09-12-009706-a/lot-b4c1da4dfc3f4311834341bd6131103a</t>
  </si>
  <si>
    <t>https://zakupivli.pro/gov/tenders/ua-2024-09-12-010471-a/lot-4b4b3bb6233b497487c702bf630a3036</t>
  </si>
  <si>
    <t xml:space="preserve"> Елементи електричних схем</t>
  </si>
  <si>
    <t>Будівництво ПЛІ-0,4 кВ ТП-246 Л-30 оп.№1-7 в м.Кропивницький для зовнішнього електропостачання нежитлового приміщення ТОВ "Універсал-Плюс" по вул. Віктора Френчка, буд. 25, корп. 1</t>
  </si>
  <si>
    <t>Будівництво ПЛ, ПЛІ-0,4 кВ ТП-81 Л-20, 30 оп.1-10/1 в м. Кропивницький для зовнішнього електропостачання житлового будинку гр. Лебедьова О.А. по пров. Квітки Цісик (Мухіної), буд. 13</t>
  </si>
  <si>
    <t>Комплект димоходів (або еквівалент) (інвестиційна програма)
:Комплект димоходів (або еквівалент) (інвестиційна програма)</t>
  </si>
  <si>
    <t>44160000-9 Магістралі, трубопроводи, труби, обсадні труби, тюбінги та супутні вироби</t>
  </si>
  <si>
    <t>https://zakupivli.pro/gov/tenders/ua-2024-09-13-002771-a</t>
  </si>
  <si>
    <t>https://zakupivli.pro/gov/tenders/ua-2024-09-13-003709-a</t>
  </si>
  <si>
    <t>https://zakupivli.pro/gov/tenders/ua-2024-09-13-010422-a</t>
  </si>
  <si>
    <t>https://zakupivli.pro/gov/tenders/ua-2024-09-13-010785-a/lot-34eac7e1ffcb433f884b9f524b4234e4</t>
  </si>
  <si>
    <t>Крани, клапани, змішувачі, або еквівалент (ІП 2024 року):Крани, клапани, змішувачі, або еквівалент (ІП 2024 року)</t>
  </si>
  <si>
    <t>Насоси циркуляційні DAB EVOPLUS (або еквівалент) (інвестиційна програма):Насоси циркуляційні DAB EVOPLUS (або еквівалент) (інвестиційна програма)</t>
  </si>
  <si>
    <t>42130000-9 Арматура трубопровідна: крани, вентилі, клапани та подібні пристрої</t>
  </si>
  <si>
    <t>https://zakupivli.pro/gov/tenders/ua-2024-09-20-001099-a/lot-7f3cf0e67a7f4039be31f0df67d5990e</t>
  </si>
  <si>
    <t>https://zakupivli.pro/gov/tenders/ua-2024-09-19-013922-a/lot-a9e65b5158bb4cdeb7f3a2eebb30b671</t>
  </si>
  <si>
    <t>Будівництво 2ПЛІ-0,4кВ ТП-689 Л-2,20 оп.1-6 для зовнішнього електропостачання житлового будинку з будівельним майданчиком гр. Байбароша М.О. по вул. Ксенії Ерделі, буд. 18 в м. Кропивницькому</t>
  </si>
  <si>
    <t>Роботи по будівництву ПЛІ-0,4кВ ТП-689 Л-20 оп.24/03-24/06 для зовнішнього електропостачання житлового будинку з будівельним майданчиком гр. Байбароша М.О. по вул. Ксенії Ерделі буд.18 в м. Кропивницький</t>
  </si>
  <si>
    <t>Будівництво ПЛІ-0,4 кВ Л-5 оп.3 ЗТП-1035 в м. Олександрія для зовнішнього електропостачання житлового будинку гр. Ходак Т.М. по просп. Соборний, буд. 77 в м. Олександрія</t>
  </si>
  <si>
    <t>Ремонт вузлів та агрегатів автокрана КС3577</t>
  </si>
  <si>
    <t>Послуги з обслуговування наземних видів транспорту</t>
  </si>
  <si>
    <t>63710000-9 Послуги з обслуговування наземних видів транспорту</t>
  </si>
  <si>
    <t>https://zakupivli.pro/gov/tenders/ua-2024-09-23-009602-a</t>
  </si>
  <si>
    <t>https://zakupivli.pro/gov/tenders/ua-2024-09-23-004972-a</t>
  </si>
  <si>
    <t>https://zakupivli.pro/gov/tenders/ua-2024-09-23-004311-a</t>
  </si>
  <si>
    <t>https://zakupivli.pro/gov/tenders/ua-2024-09-23-002326-a</t>
  </si>
  <si>
    <t>https://zakupivli.pro/gov/tenders/ua-2024-09-23-001580-a</t>
  </si>
  <si>
    <t>Роботи по будівництву ЩТП - 475 для зовнішнього електропостачання житлового будинку гр. Стріхарської Р.Ф. по вул. Чкалова 5 в с.Дівоче Поле Олександрійського району</t>
  </si>
  <si>
    <t>Шини для транспортних засобів (або еквівалент) Основна діяльність:Шини для транспортних засобів (або еквівалент) Основна діяльність</t>
  </si>
  <si>
    <t>Роботи по будівництву ПЛІ-0,4кВ Л-1 ЩТП-475 для зовнішнього електропостачання житлового будинку гр. Стріхарської Р.Ф. по вул. Чкалова, 5 с. Дівоче Поле Олександрійського району</t>
  </si>
  <si>
    <t>Будівництво ПЛЗ-10кВ Л-117 ПС "Новоукраїнка" для зовнішнього електропостачання незавершеного будівництва нежитлового приміщення ТОВ "ІСТРЕЙТ" по вул. Соборна, 54</t>
  </si>
  <si>
    <t>Шафа АСКОЕ "ПОБУТ-PLC2" (п.2.1.2.11 ІП-2024)</t>
  </si>
  <si>
    <t>Комутаційний контролер КК-01-10 R (п.2.1.2.10 ІП-2024)</t>
  </si>
  <si>
    <t>32260000-3 Обладнання для передавання даних</t>
  </si>
  <si>
    <t>https://zakupivli.pro/gov/tenders/ua-2024-09-25-012201-a</t>
  </si>
  <si>
    <t>https://zakupivli.pro/gov/tenders/ua-2024-09-25-009794-a/lot-726c9645d8664293946e2f9fb5c14294</t>
  </si>
  <si>
    <t>https://zakupivli.pro/gov/tenders/ua-2024-09-25-000210-a</t>
  </si>
  <si>
    <t>https://zakupivli.pro/gov/tenders/ua-2024-09-25-000110-a</t>
  </si>
  <si>
    <t>https://zakupivli.pro/gov/tenders/ua-2024-09-25-000091-a</t>
  </si>
  <si>
    <t>https://zakupivli.pro/gov/tenders/ua-2024-09-25-000083-a</t>
  </si>
  <si>
    <t>Будівництво ПЛІ-0,4кВ ЗТП-449, оп.1-оп.6 для зовнішнього електропостачання торговельно-побутового комплексу ТОВ "ФМ-АЛЬЯНС" на розі вул.Космонавта Попова та Юрія Коваленка в м. Кропивницький (Кропивницькі міські ЕМ)</t>
  </si>
  <si>
    <t>Будівництво КЛ-0,4 кВ РБ-2 ЗТП-449 для зовнішнього електропостачання торговельно-побутового комплексу ТОВ "ФМ-АЛЬЯНС" на розі вул. Космонавта Попова та Юрія Коваленка в м. Кропивницький (Кропивницькі міські ЕМ)</t>
  </si>
  <si>
    <t>https://zakupivli.pro/gov/tenders/ua-2024-09-27-000167-a</t>
  </si>
  <si>
    <t>https://zakupivli.pro/gov/tenders/ua-2024-09-27-000136-a</t>
  </si>
  <si>
    <t>Переможця дискваліфікрвано(не виправив помилки за 24 години), закупівля не відбулась</t>
  </si>
  <si>
    <t>Послуги з технічного обслуговування та ремонту транспортних засобів ПрАТ "Кіровоградобленерго"
:Послуги з технічного обслуговування та ремонту транспортних засобів ПрАТ "Кіровоградобленерго"</t>
  </si>
  <si>
    <t>Шафи КТП, КТПс та ЩО (або еквівалент) (приєднання):Шафи КТП, КТПс та ЩО (або еквівалент) (приєднання)</t>
  </si>
  <si>
    <t>https://zakupivli.pro/gov/tenders/ua-2024-10-03-012179-a/lot-224b3e3103c845148449157ba432a748</t>
  </si>
  <si>
    <t>https://zakupivli.pro/gov/tenders/ua-2024-10-03-012005-a/lot-977c4db819034b64934a5a4a92132bf6</t>
  </si>
  <si>
    <t>Комплектуючі до котлів (труба сталева, відвід кован., згін сталевий) (інвестиційна програма)</t>
  </si>
  <si>
    <t>https://zakupivli.pro/gov/tenders/ua-2024-10-09-000575-a</t>
  </si>
  <si>
    <t>ПОСЛУГИ З ПЕРЕВЕЗЕННЯ ВАНТАЖІВ ТА МОНТАЖУ/ДЕМОНТАЖУ КОНСТРУКЦІЙ</t>
  </si>
  <si>
    <t>Ремонт блоків та модулів до вакуумних вимикачів 6-10кВ</t>
  </si>
  <si>
    <t>60180000-3 Прокат вантажних транспортних засобів із водієм для перевезення товарів</t>
  </si>
  <si>
    <t>https://zakupivli.pro/gov/tenders/ua-2024-10-14-011744-a</t>
  </si>
  <si>
    <t>https://zakupivli.pro/gov/tenders/ua-2024-10-14-000539-a</t>
  </si>
  <si>
    <t xml:space="preserve"> Послуги з ремонту і технічного обслуговування техніки</t>
  </si>
  <si>
    <t>https://zakupivli.pro/gov/tenders/ua-2024-10-16-012402-a</t>
  </si>
  <si>
    <t>Будівництво ПЛ-10 кВ оп.201/1 Л-108 ПС "Гайворонська ГЕС" в с. Хащувате (Гайворонські ЕМ) для зовнішнього електропостачання комплексу будівель ПП "ГУЦЬ" по вул. Залізнична, 16</t>
  </si>
  <si>
    <t>Будівництво ділянки ПЛ-10кВ Л-173 ПС "Березівка"-150/35/10кВ для зовнішнього електропостачання сонятної електростанції "ТЕРЦІЯ СОЛАР" ТОВ "ТЕРЦІЯ СОЛАР" кад.№3523183800:55:000:0248 на території Смолінської селищної ради Новоукраїнського району Кіровоградської області</t>
  </si>
  <si>
    <t>Будівництво КТП-29 в с. Хащувате (Гайворонські ЕМ) для зовнішнього електропостачання комплексу будівель ПП "ГУЦЬ" по вул. Залізнична, 16</t>
  </si>
  <si>
    <t>Будівництво ділянки ПЛ-10 кВ Л-173 ПС "Березівка" - 150/35/10 кВ для зовнішнього електропостачання сонячної електростанції "СІРІУС ПІВІ" ТОВ "СІРІУС ПІВІ" на території Смолінської селищної ради Новоукраїнського району Кіровоградської області</t>
  </si>
  <si>
    <t>https://zakupivli.pro/gov/tenders/ua-2024-10-17-014832-a</t>
  </si>
  <si>
    <t>https://zakupivli.pro/gov/tenders/ua-2024-10-17-014759-a</t>
  </si>
  <si>
    <t>https://zakupivli.pro/gov/tenders/ua-2024-10-17-014694-a</t>
  </si>
  <si>
    <t>https://zakupivli.pro/gov/tenders/ua-2024-10-17-014575-a</t>
  </si>
  <si>
    <t>Будівництво ПЛ-10 кВ оп.10-10/5 Ф-1У в м. Кропивницький для зовнішнього електропостачання нежитлової будівлі гр.Пономаренко О.О. по проїзду Аджамському, буд.5</t>
  </si>
  <si>
    <t>https://zakupivli.pro/gov/tenders/ua-2024-10-21-012894-a</t>
  </si>
  <si>
    <t>Трансформатори (або еквівалент) (приєднання):Трансформатори (або еквівалент) (приєднання)</t>
  </si>
  <si>
    <t>Вікна металопластикові</t>
  </si>
  <si>
    <t>44220000-8 Столярні вироби</t>
  </si>
  <si>
    <t>https://zakupivli.pro/gov/tenders/ua-2024-10-25-008799-a/lot-e7258f63594447c8bfb65274e192ffb8</t>
  </si>
  <si>
    <t>https://zakupivli.pro/gov/tenders/ua-2024-10-25-003611-a</t>
  </si>
  <si>
    <t>Будівництво КЛ-10 кВ Л-1101 в с. Мар'ївка (Компаніївські ЕМ) для зовнішнього електропостачання станції мобільного зв'язку ПрАТ "Київстар"</t>
  </si>
  <si>
    <t>Будівництво ПЛ-10 кВ Л-1101 оп.№26-30 в с. Мар'ївка (Компаніївські ЕМ) для зовнішнього електропостачання станції мобільного зв'язку ПрАТ "Київстар"</t>
  </si>
  <si>
    <t>Будівництво ПЛІ-0,4 кВ ТП-268 Л-3 оп.№36-36/4 в м. Кропивницький для зовнішнього електропостачання житлового будинку з будівельним майданчиком гр. Халявка І.Ю. по пров. Гулака-Артемовського</t>
  </si>
  <si>
    <t>Провід ASXsn 4x25 (приєднання)</t>
  </si>
  <si>
    <t>https://zakupivli.pro/gov/tenders/ua-2024-10-29-008676-a</t>
  </si>
  <si>
    <t>https://zakupivli.pro/gov/tenders/ua-2024-10-29-008424-a</t>
  </si>
  <si>
    <t>https://zakupivli.pro/gov/tenders/ua-2024-10-29-008170-a</t>
  </si>
  <si>
    <t>https://zakupivli.pro/gov/tenders/ua-2024-10-29-002264-a</t>
  </si>
  <si>
    <t>метри</t>
  </si>
  <si>
    <t>Технічне переоснащення ком.№22 ПС "Березівка"-150/35/10кВ для зовнішнього електропостачання сонячної електростанції "СІРІУС ПІВІ" ТОВ "СІРІУС ПІВІ" кад.№3523183800:55:000:0250 на території Смолінської селищної ради Новоукраїнського району Кіровоградської області</t>
  </si>
  <si>
    <t>Технічне переоснащення ком.№14 ПС "Березівка"-150/35/10кВ для зовнішнього електропостачання сонячної електростанції "СІРІУС ПІВІ" ТОВ "СІРІУС ПІВІ" кад.№3523183800:55:000:0250 на території Смолінської селищної ради Новоукраїнського району Кіровоградської області</t>
  </si>
  <si>
    <t>Будівництво ЩТП-838 в м. Кропивницький для зовнішнього електропостачання нежитлової будівлі з будівельним майданчиком гр.Щуцький Д.Є. на перехресті вул. Сєнчева Сергія та Джерельної</t>
  </si>
  <si>
    <t>Будівництво ПЛІ-0,4 кВ ТП-287 Л-2 оп.№18-оп.№18/6 для зовнішнього електропостачання житлового будинку гр.Штанько В.І. по пров. Лелеківський 2-й буд.60 в м. Кропивницький</t>
  </si>
  <si>
    <t>https://zakupivli.pro/gov/tenders/ua-2024-10-30-007644-a</t>
  </si>
  <si>
    <t>https://zakupivli.pro/gov/tenders/ua-2024-10-30-007410-a</t>
  </si>
  <si>
    <t>https://zakupivli.pro/gov/tenders/ua-2024-10-30-006594-a</t>
  </si>
  <si>
    <t>https://zakupivli.pro/gov/tenders/ua-2024-10-30-005005-a</t>
  </si>
  <si>
    <t>Будівництво ПЛ-10 кВ Ф-1 оп.83-83/12 ПС "Знам.тягова"-150/35/10 кВ в м.Знам'янка для зовнішнього електропостачання житлового будинку з будівельним майданчиком Бакуліної І.В. по вул.Світанкова (кад.№3510600000:50: 001:0086), 44</t>
  </si>
  <si>
    <t>Основа для кріплення кабеля ВІС 3050.К (приєднання)</t>
  </si>
  <si>
    <t>Будівництво ділянки ПЛ-10кВ Л-173 ПС "Березівка"-150/35/10кВ для зовнішнього електропостачання сонячної електростанції "ФЕНІКС СОЛАР" ТОВ "ФЕНІКС СОЛАР" кад.№3523183800:55:000:0247 на території Смолінської селищної ради Новоукраїнського району Кіровоградської області</t>
  </si>
  <si>
    <t>Будівництво ПЛІ-0,4 кВ ТП-448 Л-20 оп.1-оп.6 для зовнішнього електропостачання нежитлового приміщення ФОП Баркар О.М. по вул.Незалежності, буд.9 корп.1 в м.Кропивницький</t>
  </si>
  <si>
    <t>Будівництво КЛ-0,4 кВ ТП-488 Л-20 оп.1 для зовнішнього електропостачання нежитлового приміщення ФОП Баркар О.М. по вул.Незалежності, буд.9 корп.1 в м.Кропивницький</t>
  </si>
  <si>
    <t>Будівництво 2ПЛІ-0,4 кВ ТП-489 Л-30 Л-40 оп.1-4 в м.Кропивницький для зовнішнього електропостачання вбудованого в житловий будинок нежитлового приміщення ФОП Кременний В.Л. по вул.Генерала Жадова, буд.21 корп.3</t>
  </si>
  <si>
    <t>https://zakupivli.pro/gov/tenders/ua-2024-11-01-010548-a</t>
  </si>
  <si>
    <t>https://zakupivli.pro/gov/tenders/ua-2024-11-01-007893-a</t>
  </si>
  <si>
    <t>https://zakupivli.pro/gov/tenders/ua-2024-11-01-003014-a</t>
  </si>
  <si>
    <t>https://zakupivli.pro/gov/tenders/ua-2024-11-01-000488-a</t>
  </si>
  <si>
    <t>https://zakupivli.pro/gov/tenders/ua-2024-11-01-000327-a</t>
  </si>
  <si>
    <t>https://zakupivli.pro/gov/tenders/ua-2024-11-01-000272-a</t>
  </si>
  <si>
    <t>https://zakupivli.pro/gov/tenders/ua-2024-11-01-000223-a</t>
  </si>
  <si>
    <t>Будівництво КЛ-10 кВ від ЗТП-664 до ЗТП-318 для зовнішнього електропостачання комунального некомерційного підприємства "Кіровоградська обласна лікарня Кіровоградської обласної ради", м. Кропивницький, просп. Університетський, 2/5</t>
  </si>
  <si>
    <t>https://zakupivli.pro/gov/tenders/ua-2024-11-05-013976-a</t>
  </si>
  <si>
    <t>Послуги на встановленому парку маслонаповненого високовольтного обладнання (силові трансформатори, трансформатори струму та напруги, високовольтні вводи силових трансформаторів):Послуги на встановленому парку маслонаповненого високовольтного обладнання (силові трансформатори, трансформатори струму та напруги, високовольтні вводи силових трансформаторів)</t>
  </si>
  <si>
    <t>Комплектуючі до персонального комп’ютеру</t>
  </si>
  <si>
    <t>Послуги з технічного обслуговування та ремонту транспортних засобів ПрАТ "Кіровоградобленерго":Послуги з технічного обслуговування та ремонту транспортних засобів ПрАТ "Кіровоградобленерго"</t>
  </si>
  <si>
    <t>50110000-9 Послуги з ремонту і технічного обслуговування мототранспортних засобів і супутнього обладнання</t>
  </si>
  <si>
    <t>https://zakupivli.pro/gov/tenders/ua-2024-11-06-015235-a/lot-d69c8c45ec2f4c0fa5a82cd614829419</t>
  </si>
  <si>
    <t>https://zakupivli.pro/gov/tenders/ua-2024-11-06-014697-a</t>
  </si>
  <si>
    <t>https://zakupivli.pro/gov/tenders/ua-2024-11-06-013838-a/lot-e19801afb2d0458d9226770d35b97cb7</t>
  </si>
  <si>
    <t>https://zakupivli.pro/gov/tenders/ua-2024-11-07-003266-a</t>
  </si>
  <si>
    <t>Провід ASXsn 4х25 (приєднання)</t>
  </si>
  <si>
    <t>Електрична апаратура для комутування та захисту електричних кіл (або еквівалент) (основна діяльність):Електрична апаратура для комутування та захисту електричних кіл (або еквівалент) (основна діяльність)</t>
  </si>
  <si>
    <t>https://zakupivli.pro/gov/tenders/ua-2024-11-08-003305-a</t>
  </si>
  <si>
    <t>https://zakupivli.pro/gov/tenders/ua-2024-11-08-002662-a</t>
  </si>
  <si>
    <t>https://zakupivli.pro/gov/tenders/ua-2024-11-08-000190-a/lot-f753d7ae34c146dab6c4dfa4877bb131</t>
  </si>
  <si>
    <t>Будівництво ПЛ-10 кВ Л-117 оп.2 до КТП-86 на території Катеринівської сільської ради Кропивницьких ЕМ для зовнішнього електропостачання садового товариства «Металург»</t>
  </si>
  <si>
    <t>Будівництво КТП-86 на території Катеринівської сільської ради Кропивницьких ЕМ для зовнішнього електропостачання садового товариства «Металург»</t>
  </si>
  <si>
    <t>https://zakupivli.pro/gov/tenders/ua-2024-11-12-010433-a</t>
  </si>
  <si>
    <t>https://zakupivli.pro/gov/tenders/ua-2024-11-12-010311-a</t>
  </si>
  <si>
    <t>Будівництво КЛ-0,4 кВ ТП-828 С-2 для зовнішнього електропостачання ТОВ «АГ» по вул. Яновського, 65/52 корп.№3 в м. Кропивницький</t>
  </si>
  <si>
    <t>Будівництво КЛ-0,4 кВ ТП-828 С-2 для зовнішнього електропостачання ТОВ «АГ» по вул. Яновського, 65/52 корп.№1 в м. Кропивницький</t>
  </si>
  <si>
    <t>Будівництво КЛ-0,4 кВ ТП-828 для зовнішнього електропостачання ТОВ «АГ» по вул. Яновського, 65/52 корп.№2 в м. Кропивницький</t>
  </si>
  <si>
    <t>Будівництво ЩТП-469 для зовнішнього електропостачання житлового будинку з будівельним майданчиком гр. Татаров О.І. по вул. Львівська (кад.№3522587201:51:030:0006), буд. 15 в с. Соколівське Кропивницького району</t>
  </si>
  <si>
    <t>Будівництво ПЛІ-0,4 кВ ЩТП-469 для зовнішнього електропостачання житлового будинку з будівельним майданчиком гр. Татаров О.І. по вул. Львівська (кад.№3522587201:51:030:0006), буд. 15 в с. Соколівське Кропивницького району</t>
  </si>
  <si>
    <t>Будівництво КЛ-0,4 кВ ТП-828 для зовнішнього електропостачання ТОВ «АГ» по вул. Яновського, 65/52 корп.№4 в м. Кропивницький</t>
  </si>
  <si>
    <t>Будівництво ПЛЗ-10 кВ Л-1 для зовнішнього електропостачання житлового будинку з будівельним майданчиком гр. Татаров О.І. по вул. Львівська (кад.№3522587201:51:030:0006), буд. 15 в с. Соколівське Кропивницького району</t>
  </si>
  <si>
    <t>Будівництво КЛ-0,4 кВ ТП-828 С-2 для зовнішнього електропостачання ТОВ «АГ» по вул. Яновського, 65/52 корп.№2 в м. Кропивницький</t>
  </si>
  <si>
    <t>Будівництво КЛ-0,4 кВ ТП-828 С-2 для зовнішнього електропостачання ТОВ «АГ» по вул. Яновського, 65/52 корп.№4 в м. Кропивницький</t>
  </si>
  <si>
    <t>Будівництво КЛ-0,4 кВ ТП-828 для зовнішнього електропостачання ТОВ «АГ» по вул. Яновського, 65/52 корп.№3 в м. Кропивницький</t>
  </si>
  <si>
    <t>Будівництво КЛ-0,4 кВ ТП-828 для зовнішнього електропостачання ТОВ «АГ» по вул. Яновського, 65/52 корп.№1 в м. Кропивницький</t>
  </si>
  <si>
    <t>Капітальний ремонт огорожі із з/б П/СТ Кіровоградська по вул. Героїв України, 47</t>
  </si>
  <si>
    <t>Послуги з заправки та відновлення картриджів:Послуги з заправки та відновлення картриджів</t>
  </si>
  <si>
    <t>https://zakupivli.pro/gov/tenders/ua-2024-11-14-015224-a</t>
  </si>
  <si>
    <t>https://zakupivli.pro/gov/tenders/ua-2024-11-14-014888-a</t>
  </si>
  <si>
    <t>https://zakupivli.pro/gov/tenders/ua-2024-11-14-014524-a</t>
  </si>
  <si>
    <t>https://zakupivli.pro/gov/tenders/ua-2024-11-14-014426-a</t>
  </si>
  <si>
    <t>https://zakupivli.pro/gov/tenders/ua-2024-11-14-014342-a</t>
  </si>
  <si>
    <t>https://zakupivli.pro/gov/tenders/ua-2024-11-14-014309-a</t>
  </si>
  <si>
    <t>https://zakupivli.pro/gov/tenders/ua-2024-11-14-014257-a</t>
  </si>
  <si>
    <t>https://zakupivli.pro/gov/tenders/ua-2024-11-14-014124-a</t>
  </si>
  <si>
    <t>https://zakupivli.pro/gov/tenders/ua-2024-11-14-014034-a</t>
  </si>
  <si>
    <t>https://zakupivli.pro/gov/tenders/ua-2024-11-14-014016-a</t>
  </si>
  <si>
    <t>https://zakupivli.pro/gov/tenders/ua-2024-11-14-013905-a</t>
  </si>
  <si>
    <t>https://zakupivli.pro/gov/tenders/ua-2024-11-14-003634-a</t>
  </si>
  <si>
    <t>https://zakupivli.pro/gov/tenders/ua-2024-11-14-000435-a/lot-8f19eeb085d646b49b6ef911f2f940b4</t>
  </si>
  <si>
    <t>Будівництво ПЛ-6 кВ Л-175 від ПС ″БСІ″-35/6 кВ для зовнішнього електропостачання сонячної фотоелектричної станції ТОВ "СОНЯЧНА-1", кад.№35231555700:02:000:0031 в селищі Смоліне, Новоукраїнського району Кіровоградської області</t>
  </si>
  <si>
    <t>Будівництво КЛ-0,4 кВ ТП-441 А-60 для зовнішнього електропостачання магазину ТОВ "ЄВРОТЕХНІКА-2007" по вул. Кропивницького кад. №3510100000:25:156:0111 в м. Кропивницький</t>
  </si>
  <si>
    <t>Будівництво КЛ-6 кВ Л-175 від ПС ″БСІ″-35/6 кВ для зовнішнього електропостачання сонячної фотоелектричної станції ТОВ "СОНЯЧНА-1", кад.№35231555700:02:000:0031 в селищі Смоліне, Новоукраїнського району Кіровоградської області</t>
  </si>
  <si>
    <t>Технічне переоснащення РП-6 кВ ПС ″БСІ″-35/6 кВ для зовнішнього електропостачання сонячної фотоелектричної станції ТОВ "СОНЯЧНА-1", кад.№35231555700:02:000:0031 в селищі Смоліне, Новоукраїнського району Кіровоградської області</t>
  </si>
  <si>
    <t>Стояки СК-22.1-1.1 (з підп'ятником), СК-22.2-1.1 (з підп'ятником) (або еквівалент) (основна діяльність):Стояки СК-22.1-1.1 (з підп'ятником), СК-22.2-1.1 (з підп'ятником) (або еквівалент) (основна діяльність)</t>
  </si>
  <si>
    <t>https://zakupivli.pro/gov/tenders/ua-2024-11-15-012568-a</t>
  </si>
  <si>
    <t>https://zakupivli.pro/gov/tenders/ua-2024-11-15-012380-a</t>
  </si>
  <si>
    <t>https://zakupivli.pro/gov/tenders/ua-2024-11-15-012171-a</t>
  </si>
  <si>
    <t>https://zakupivli.pro/gov/tenders/ua-2024-11-15-012017-a</t>
  </si>
  <si>
    <t>https://zakupivli.pro/gov/tenders/ua-2024-11-15-003479-a/lot-11880c4fa9ad415190f2e963dc3ffcfd</t>
  </si>
  <si>
    <t>https://zakupivli.pro/gov/tenders/ua-2024-11-20-001284-a</t>
  </si>
  <si>
    <t>Трансформатори (приєднання)</t>
  </si>
  <si>
    <t>https://zakupivli.pro/gov/tenders/ua-2024-11-21-004000-a</t>
  </si>
  <si>
    <t>Будівництво ПЛІ-0,4 кВ Л-20 оп.10-21 КТП-756 в м. Кропивницький для зовнішнього електропостачання житлового будинку гр. Шаповалов М. А. по вул. Ягідна буд. 26 в с-ще Нове, м. Кропивницький</t>
  </si>
  <si>
    <t>https://zakupivli.pro/gov/tenders/ua-2024-11-22-008839-a</t>
  </si>
  <si>
    <t>Будівництво ПЛІ-0,4кВ Л-3 ЦРП-12  оп.№1-№10 в м. Кропивницький для зовнішнього електропостачання станції мобільного зв'язку ПрАТ "ВФ Україна" по вул. Олени Теліги, 8</t>
  </si>
  <si>
    <t>Ремонт ГБО</t>
  </si>
  <si>
    <t>https://zakupivli.pro/gov/tenders/ua-2024-11-26-016347-a</t>
  </si>
  <si>
    <t>https://zakupivli.pro/gov/tenders/ua-2024-11-26-009164-a</t>
  </si>
  <si>
    <t>Шафи КТП (або еквівалент) (приєднання):Шафи КТП (або еквівалент) (приєднання)</t>
  </si>
  <si>
    <t>https://zakupivli.pro/gov/tenders/ua-2024-11-27-011735-a/lot-005bd18e83f34633b7d96ff26d4c1a03</t>
  </si>
  <si>
    <t>https://zakupivli.pro/gov/tenders/ua-2024-11-27-005230-a</t>
  </si>
  <si>
    <t xml:space="preserve">Закупівля не відбулась </t>
  </si>
  <si>
    <t>Будівництво ПЛ-10кВ, ПЛІ-0,4кВ Л-154, Л-1 КТП-58 в с.Вершино-Кам'янка Новгородківських ЕМ для зовнішнього електропостачання житлового будинку гр. Процюк О. А. по вул. Центральна, 79</t>
  </si>
  <si>
    <t>https://zakupivli.pro/gov/tenders/ua-2024-12-06-014938-a</t>
  </si>
  <si>
    <t>https://zakupivli.pro/gov/tenders/ua-2024-12-06-014805-a</t>
  </si>
  <si>
    <t>https://zakupivli.pro/gov/tenders/ua-2024-12-06-014140-a/lot-628c39fa42db430685f2c3e79f0a736d</t>
  </si>
  <si>
    <t>https://zakupivli.pro/gov/tenders/ua-2024-12-06-012047-a</t>
  </si>
  <si>
    <t>Роботи по реконструкції  ПЛ-0,4 кВ Л-2 КТП-377  оп. №36 для зовнішнього  електропостачання житлового будинку Решетицької І.В. в с. Приютівка Олександрійського району (Олександрійські ЕМ)</t>
  </si>
  <si>
    <t>14210000-6 Гравій, пісок, щебінь і наповнювачі</t>
  </si>
  <si>
    <t>https://zakupivli.pro/gov/tenders/ua-2024-12-06-011782-a</t>
  </si>
  <si>
    <t>https://zakupivli.pro/gov/tenders/ua-2024-12-05-016124-a/lot-5b948d2d35fa4166a57eeab1785cc6de</t>
  </si>
  <si>
    <t>https://zakupivli.pro/gov/tenders/ua-2024-12-05-015239-a/lot-1187ee375879455ba98b9232d0729d74</t>
  </si>
  <si>
    <t>https://zakupivli.pro/gov/tenders/ua-2024-12-04-012135-a</t>
  </si>
  <si>
    <t>https://zakupivli.pro/gov/tenders/ua-2024-12-03-012447-a/lot-27a447f16f4a4a818eb01daf699ca267</t>
  </si>
  <si>
    <t>https://zakupivli.pro/gov/tenders/ua-2024-12-02-004435-a</t>
  </si>
  <si>
    <t>Панель ЩО-05-1414 (приєднання)</t>
  </si>
  <si>
    <t>https://zakupivli.pro/gov/tenders/ua-2024-12-16-012483-a</t>
  </si>
  <si>
    <t>https://zakupivli.pro/gov/tenders/ua-2024-12-16-012032-a</t>
  </si>
  <si>
    <t>Частини електродвигунів, генераторів і трансформаторів (основна діяльність):Частини електродвигунів, генераторів і трансформаторів (основна діяльність)</t>
  </si>
  <si>
    <t>Послуги з повірки засобів вимірювальної техніки (основна діяльність):ЛОТ 1 -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</si>
  <si>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2 -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</si>
  <si>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3 -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</si>
  <si>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4 -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</si>
  <si>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5 - Послуги з повірки засобів вимірювальної техніки (основна діяльність)</t>
  </si>
  <si>
    <t>https://zakupivli.pro/gov/tenders/ua-2024-12-17-020706-a/lot-c9c271d6a6ab49e8b5d1d79964e6819d</t>
  </si>
  <si>
    <t>71630000-3 Послуги з технічного огляду та випробовувань</t>
  </si>
  <si>
    <t>https://zakupivli.pro/gov/tenders/ua-2024-12-17-016908-a/lot-3e531e5cd5e8429a83f954cc68e1da17</t>
  </si>
  <si>
    <t>https://zakupivli.pro/gov/tenders/ua-2024-12-17-016908-a/lot-e99018e179d04c2f89fc2b4dc1cc8ca4</t>
  </si>
  <si>
    <t>https://zakupivli.pro/gov/tenders/ua-2024-12-17-016908-a/lot-47b80c82df264fb6bba9e168a480914e</t>
  </si>
  <si>
    <t>https://zakupivli.pro/gov/tenders/ua-2024-12-17-016908-a/lot-35b0ab82a7f64756b2663012645b01a3</t>
  </si>
  <si>
    <t>https://zakupivli.pro/gov/tenders/ua-2024-12-17-016908-a/lot-5a42616100344db4a23e981012b6a810</t>
  </si>
  <si>
    <t>Конструкції та їх частини (основна діяльність):ЛОТ1</t>
  </si>
  <si>
    <t>Конструкції та їх частини (основна діяльність):ЛОТ2</t>
  </si>
  <si>
    <t>Конструкції та їх частини (основна діяльність):ЛОТ3</t>
  </si>
  <si>
    <t>Частини для лісогосподарської техніки:Частини для лісогосподарської техніки (основна діяльність)</t>
  </si>
  <si>
    <t>Елементи електричних схем (основна діяльність):Елементи електричних схем (основна діяльність)</t>
  </si>
  <si>
    <t>16820000-9 Частини для лісогосподарської техніки</t>
  </si>
  <si>
    <t>https://zakupivli.pro/gov/tenders/ua-2024-12-19-015237-a/lot-32acbfc5db2140a58cad3239c51ef67e</t>
  </si>
  <si>
    <t>https://zakupivli.pro/gov/tenders/ua-2024-12-19-015237-a/lot-314cfa8962ac4a7692f6a0a741729e26</t>
  </si>
  <si>
    <t>https://zakupivli.pro/gov/tenders/ua-2024-12-19-015237-a/lot-866ba318f0d74c89ac62062a62b4e097</t>
  </si>
  <si>
    <t>https://zakupivli.pro/gov/tenders/ua-2024-12-19-013809-a/lot-996ccce8132043d0b711cfba2c2aab7f</t>
  </si>
  <si>
    <t>https://zakupivli.pro/gov/tenders/ua-2024-12-19-008061-a/lot-4f3ca28a506440b7aac92e4c4b38309e</t>
  </si>
  <si>
    <t>Електророзподільні кабелі (основна діяльність):Електророзподільні кабелі (основна діяльність)</t>
  </si>
  <si>
    <t>https://zakupivli.pro/gov/tenders/ua-2024-12-20-005683-a/lot-a70ea84e10ae476286482dd01a112183</t>
  </si>
  <si>
    <t>Шини для транспортних засобів (Основна діяльність)
:Шини для транспортних засобів (Основна діяльність)</t>
  </si>
  <si>
    <t>Капітальний ремонт комплексу будівль та споруд цех з ремонту приладів обліку, літ. «Х» (лабораторія СДЗП)  за адресою Аджамська, 9, м. Кропивницький (вентиляційна система)</t>
  </si>
  <si>
    <t>https://zakupivli.pro/gov/tenders/ua-2024-12-23-019298-a/lot-a887349b3fb143d5bd934266cc2c168f</t>
  </si>
  <si>
    <t>https://zakupivli.pro/gov/tenders/ua-2024-12-23-011949-a/lot-9f8ce52257bd4588893567d880c0eefb</t>
  </si>
  <si>
    <t>https://zakupivli.pro/gov/tenders/ua-2024-12-23-005679-a</t>
  </si>
  <si>
    <t>Баласти для розрядних ламп чи трубок (основна діяльність):Баласти для розрядних ламп чи трубок (основна діяльність)</t>
  </si>
  <si>
    <t>https://zakupivli.pro/gov/tenders/ua-2024-12-24-017756-a/lot-aadf24d394f0401fbdb306221bfe5c69</t>
  </si>
  <si>
    <t>Будівельні прути, стрижні, дроти та профілі (основна діяльність):ЛОТ 1 - Будівельні прути, стрижні, дроти та профілі (основна діяльність)</t>
  </si>
  <si>
    <t>Будівельні прути, стрижні, дроти та профілі (основна діяльність):ЛОТ 2 - Будівельні прути, стрижні, дроти та профілі (основна діяльність)</t>
  </si>
  <si>
    <t>Технічне переоснащення ЗТП-525 в м. Кропивницький для зовнішнього електропостачання адміністративно-торгівельного комплексу ПП "ПРОМБУДАГРОСЕРВІС" по вул. Нейгауза, 8</t>
  </si>
  <si>
    <t>Будівництво КЛ-0,4кВ А-23  ЗТП-525 в м. Кропивницький для зовнішнього електропостачання адміністративно-торгівельного комплексу ПП "ПРОМБУДАГРОСЕРВІС" по вул. Нейгауза, 8</t>
  </si>
  <si>
    <t>Конструкції та їх частини (або еквівалент) (основна діяльність):Конструкції та їх частини (або еквівалент) (основна діяльність)</t>
  </si>
  <si>
    <t>44330000-2 Будівельні прути, стрижні, дроти та профілі</t>
  </si>
  <si>
    <t>https://zakupivli.pro/gov/tenders/ua-2024-12-25-010078-a</t>
  </si>
  <si>
    <t>https://zakupivli.pro/gov/tenders/ua-2024-12-25-004680-a</t>
  </si>
  <si>
    <t>https://zakupivli.pro/gov/tenders/ua-2024-12-25-000652-a</t>
  </si>
  <si>
    <t>https://zakupivli.pro/gov/tenders/ua-2024-12-25-000472-a/lot-da02b9c11d7d432285ebb6054f941b00</t>
  </si>
  <si>
    <t>Елементи електричних схем ЛОТ №1-2 (основна діяльність):ЛОТ1</t>
  </si>
  <si>
    <t>Шафа КТПС 100 кВА</t>
  </si>
  <si>
    <t>24950000-8 Спеціалізована хімічна продукція</t>
  </si>
  <si>
    <t>https://zakupivli.pro/gov/tenders/ua-2024-12-26-010326-a/lot-8495b0b47a884eb9a5e5781237145fc2</t>
  </si>
  <si>
    <t>https://zakupivli.pro/gov/tenders/ua-2024-12-26-010326-a/lot-9327d6896194476caacb1f261a954423</t>
  </si>
  <si>
    <t>https://zakupivli.pro/gov/tenders/ua-2024-12-26-008861-a</t>
  </si>
  <si>
    <t>https://zakupivli.pro/gov/tenders/ua-2024-12-26-007271-a</t>
  </si>
  <si>
    <t>https://zakupivli.pro/gov/tenders/ua-2024-12-26-006943-a</t>
  </si>
  <si>
    <t>https://zakupivli.pro/gov/tenders/ua-2024-12-26-005498-a/lot-182d36d9de1d40afb80055f988a85186</t>
  </si>
  <si>
    <t>32440000-9 Телеметричне та термінальне обладнання</t>
  </si>
  <si>
    <t>https://zakupivli.pro/gov/tenders/ua-2024-12-30-006675-a/lot-b79a8ddabf8343659b9fd9e960942b9c</t>
  </si>
  <si>
    <t>Будівництво ПЛІ-0,4 кВ Л-17 ЗТП-298  для зовнішнього електропостачання абонентської станції мобільного зв’язку ПрАТ «Київстар» по вул. Соборна, буд.4 в м. Кропивницький</t>
  </si>
  <si>
    <t>Будівництво ПЛ-10 кВ Л-121/В в сел. Вільшанка Голованівського району Кіровоградської області</t>
  </si>
  <si>
    <t>Будівництво ПЛІ-0,4 кВ оп.26/1-26/4 Л-1 від КТП-381 для зовнішнього електропостачання житлового будинку гр. Шатайло М. В. по вул. Лугова, буд. 1в в с. Соколівське Кропивницького району</t>
  </si>
  <si>
    <t>https://zakupivli.pro/gov/tenders/ua-2025-01-03-000698-a</t>
  </si>
  <si>
    <t>https://zakupivli.pro/gov/tenders/ua-2025-01-03-000567-a</t>
  </si>
  <si>
    <t>https://zakupivli.pro/gov/tenders/ua-2025-01-03-000294-a</t>
  </si>
  <si>
    <t>https://zakupivli.pro/gov/tenders/ua-2025-01-02-003891-a</t>
  </si>
  <si>
    <t>https://zakupivli.pro/gov/tenders/ua-2025-01-02-001786-a</t>
  </si>
  <si>
    <t>https://zakupivli.pro/gov/tenders/ua-2025-01-02-001375-a</t>
  </si>
  <si>
    <t>Лічильники (основна діяльність):Лічильники (основна діяльність)</t>
  </si>
  <si>
    <t>Електронне обладнання (або еквівалент) (основна діяльність):ЛОТ 2</t>
  </si>
  <si>
    <t>Електронне обладнання (або еквівалент) (основна діяльність):ЛОТ 3</t>
  </si>
  <si>
    <t>Електронне обладнання (або еквівалент) (основна діяльність):ЛОТ 4</t>
  </si>
  <si>
    <t>https://zakupivli.pro/gov/tenders/ua-2025-01-03-004740-a/lot-70092edfd275441faa65347500714538</t>
  </si>
  <si>
    <t>https://zakupivli.pro/gov/tenders/ua-2025-01-03-003984-a/lot-50b685476034412da7562ca35923381f</t>
  </si>
  <si>
    <t>https://zakupivli.pro/gov/tenders/ua-2025-01-03-003984-a/lot-452604689ca9495a953a47e51fdc2042</t>
  </si>
  <si>
    <t>https://zakupivli.pro/gov/tenders/ua-2025-01-03-003984-a/lot-d9dc049fd427431c887b0b22fc44c310</t>
  </si>
  <si>
    <t>https://zakupivli.pro/gov/tenders/ua-2025-01-03-003984-a/lot-decf2d07245e4d41802cc4d48de309e9</t>
  </si>
  <si>
    <t>торги відмінено</t>
  </si>
  <si>
    <t>https://zakupivli.pro/gov/tenders/ua-2025-01-07-003941-a/lot-b62fd9b22d1245d9a8b4c094ea7037e6</t>
  </si>
  <si>
    <t>закупівля скасована</t>
  </si>
  <si>
    <t>Технічне переоснащення ЗТП-299 в м. Кропивницький для зовнішнього електропостачання житлового будинку гр. Гордієнко В.В. по вул. Михайлівська, буд. 30/37</t>
  </si>
  <si>
    <t>Мастильні засоби (або еквівалент) (основна діяльність):ЛОТ 1</t>
  </si>
  <si>
    <t>Мастильні засоби (або еквівалент) (основна діяльність):ЛОТ 2</t>
  </si>
  <si>
    <t>https://zakupivli.pro/gov/tenders/ua-2025-01-08-007829-a</t>
  </si>
  <si>
    <t>https://zakupivli.pro/gov/tenders/ua-2025-01-08-001594-a/lot-5fa98a015d904ec082c909d73e6a9e7f</t>
  </si>
  <si>
    <t>https://zakupivli.pro/gov/tenders/ua-2025-01-08-001594-a/lot-09dfeed27af7413b87449fe990a10f59</t>
  </si>
  <si>
    <t>Гумові вироби (основна діяльність):Гумові вироби (основна діяльність)</t>
  </si>
  <si>
    <t>Конструкційні матеріали (або еквівалент) (основна діяльність):ЛОТ 2</t>
  </si>
  <si>
    <t>https://zakupivli.pro/gov/tenders/ua-2025-01-14-013229-a/lot-6c40ccac7e5b4631b61b742e9587204f</t>
  </si>
  <si>
    <t>https://zakupivli.pro/gov/tenders/ua-2025-01-14-012680-a/lot-c5eb74efef1c4e54bc9797769aacf50e</t>
  </si>
  <si>
    <t>https://zakupivli.pro/gov/tenders/ua-2025-01-14-005210-a/lot-195f9e5d6d6142b39c449679b2321205</t>
  </si>
  <si>
    <t>https://zakupivli.pro/gov/tenders/ua-2025-01-14-003223-a/lot-e692f4ba6d6c4710a237418d66031724</t>
  </si>
  <si>
    <t>https://zakupivli.pro/gov/tenders/ua-2025-01-14-003223-a/lot-ceb60723e7cf47e0a6baf1ad44570098</t>
  </si>
  <si>
    <t>Електрична апаратура для комутування та захисту електричних кіл (основна діяльність):Електрична апаратура для комутування та захисту електричних кіл (основна діяльність)</t>
  </si>
  <si>
    <t>Блок керування BU-220-01 Релсіс (або еквівалент); Контролер СКУД ANC-E інтегрований (або еквівалент) (основна діяльність):Блок керування BU-220-01 Релсіс (або еквівалент); Контролер СКУД ANC-E інтегрований (або еквівалент) (основна діяльність)</t>
  </si>
  <si>
    <t>Шафа КТПС 160 кВА (зовнішне електропостачання житлового будинку, гр. Многолітня Н.Я. в с. Тарасівка, Кропивницького р-ну)</t>
  </si>
  <si>
    <t>42960000-3 Системи керування та контролю, друкарське і графічне обладнання та обладнання для автоматизації офісу й обробки інформації</t>
  </si>
  <si>
    <t>https://zakupivli.pro/gov/tenders/ua-2025-01-16-015154-a/lot-a2083914569a4dfe9016d0439e44acc3</t>
  </si>
  <si>
    <t>https://zakupivli.pro/gov/tenders/ua-2025-01-16-010939-a/lot-21f071099f3b4397b02db75d7e195ceb</t>
  </si>
  <si>
    <t>https://zakupivli.pro/gov/tenders/ua-2025-01-16-005603-a</t>
  </si>
  <si>
    <t>https://zakupivli.pro/gov/tenders/ua-2025-01-16-005354-a</t>
  </si>
  <si>
    <t>Будівництво КЛ-0,4 кВ Л-4 2КТПММ-840 в м.Кропивницький для зовнішнього електропостачання багатоквартирного житлового будинку ТОВ"СУЗІР'Я СКАЙ"  вул. Степана Чобану, 2-А</t>
  </si>
  <si>
    <t>Будівництво КЛ-0,4 кВ Л-2 2КТПММ-840 в м.Кропивницький для зовнішнього електропостачання багатоквартирного житлового будинку ТОВ"СУЗІР'Я СКАЙ"  вул. Степана Чобану, 2-А</t>
  </si>
  <si>
    <t>https://zakupivli.pro/gov/tenders/ua-2025-01-16-016675-a</t>
  </si>
  <si>
    <t>https://zakupivli.pro/gov/tenders/ua-2025-01-16-016667-a</t>
  </si>
  <si>
    <t>Електроізоляційна олива (або еквівалент) (основна діяльність):Електроізоляційна олива (або еквівалент) (основна діяльність)</t>
  </si>
  <si>
    <t>https://zakupivli.pro/gov/tenders/ua-2025-01-20-013715-a/lot-93e866fc5ade43b8ac57ab7bb20be4f7</t>
  </si>
  <si>
    <t>Послуги з післягарантійного або негарантійного ремонту приладів обліку електричної енергії виробництва ТОВ «НІК-ЕЛЕКТРОНІКА»</t>
  </si>
  <si>
    <t>Нове будівництво ЩТП-50/В (100 кВА) в сел. Вільшанка Голованівського району Кіровоградської області</t>
  </si>
  <si>
    <t>50410000-2 Послуги з ремонту і технічного обслуговування вимірювальних, випробувальних і контрольних приладів</t>
  </si>
  <si>
    <t>https://zakupivli.pro/gov/tenders/ua-2025-01-21-018882-a</t>
  </si>
  <si>
    <t>https://zakupivli.pro/gov/tenders/ua-2025-01-21-018552-a/lot-e49d6d865e6546d0964a02a5429b1c96</t>
  </si>
  <si>
    <t>https://zakupivli.pro/gov/tenders/ua-2025-01-21-014078-a/lot-8e9785c165fc4832b117a5b31bbb9abc</t>
  </si>
  <si>
    <t>https://zakupivli.pro/gov/tenders/ua-2025-01-21-013373-a</t>
  </si>
  <si>
    <t>https://zakupivli.pro/gov/tenders/ua-2025-01-21-013032-a</t>
  </si>
  <si>
    <t>https://zakupivli.pro/gov/tenders/ua-2025-01-21-000895-a/lot-72cf47d587464486b68684e7ea013d5e</t>
  </si>
  <si>
    <t>https://zakupivli.pro/gov/tenders/ua-2025-01-21-000895-a/lot-a9355564e9d5476a9a00f73ee1b4dfa6</t>
  </si>
  <si>
    <t>Роботи з капiтального ремонту КЛ-10кВ ТП-65- ТП-367 (ділянка через проїздну частину дороги на розі вул. Полтавська та пров.Крутим) м. Кропивницький</t>
  </si>
  <si>
    <t>Будівництво ПЛ,ПЛІ-0,4 кВ Л-2, Л-4 КТП-183 для зовнішнього електропостачання житлового будинку гр. Єгорова О.А. по вул. Зарічна, буд. 11 в с. Клинці Кропивницького району</t>
  </si>
  <si>
    <t>https://zakupivli.pro/gov/tenders/ua-2025-01-22-016532-a</t>
  </si>
  <si>
    <t>https://zakupivli.pro/gov/tenders/ua-2025-01-22-010427-a/lot-ab55c876957845d995a437ad188d9b09</t>
  </si>
  <si>
    <t>https://zakupivli.pro/gov/tenders/ua-2025-01-22-002610-a</t>
  </si>
  <si>
    <t>https://zakupivli.pro/gov/tenders/ua-2025-01-23-015872-a</t>
  </si>
  <si>
    <t>Акумулятор стаціонарний A412/100 F10</t>
  </si>
  <si>
    <t>https://zakupivli.pro/gov/tenders/ua-2025-01-27-005506-a/lot-1c70e86f1a0341b0842814bcb542a94d</t>
  </si>
  <si>
    <t>https://zakupivli.pro/gov/tenders/ua-2025-01-27-004441-a</t>
  </si>
  <si>
    <t>https://zakupivli.pro/gov/tenders/ua-2025-01-27-004273-a</t>
  </si>
  <si>
    <t>Реконструкція ПЛ-0,4кВ від ЗТП-1045 в м. Олександрія Кіровоградської області (Олександрійські ЕМ) (пункт 1.2.4.1.2 Інвестиційної Програми 2025):Реконструкція ПЛ-0,4кВ від ЗТП-1045 в м. Олександрія Кіровоградської області (Олександрійські ЕМ) (пункт 1.2.4.1.2 Інвестиційної Програми 2025)</t>
  </si>
  <si>
    <t>Реконструкція ПЛ-150кВ Л-85К, 86К “Кварцит - Тимкове тягова” в Кропивницькому районі Кіровоградської області (пункт 1.2.1.1. Інвестиційної Програми 2025):Реконструкція ПЛ-150кВ Л-85К, 86К “Кварцит - Тимкове тягова” в Кропивницькому районі Кіровоградської області (пункт 1.2.1.1. Інвестиційної Програми 2025)</t>
  </si>
  <si>
    <t>Реконструкція ПЛ-0,4кВ від ЗТП-1034 в м. Олександрія Кіровоградської області (Олександрійські ЕМ) (пункт 1.2.4.1.1 Інвестиційної Програми 2025):Реконструкція ПЛ-0,4кВ від ЗТП-1034 в м. Олександрія Кіровоградської області (Олександрійські ЕМ) (пункт 1.2.4.1.1 Інвестиційної Програми 2025)</t>
  </si>
  <si>
    <t>https://zakupivli.pro/gov/tenders/ua-2025-01-27-012573-a/lot-c1ffa8a86b97469f9acfff5201e327d4</t>
  </si>
  <si>
    <t>https://zakupivli.pro/gov/tenders/ua-2025-01-27-012515-a/lot-6be83a9fe00e47c98a043124b93bf4a7</t>
  </si>
  <si>
    <t>https://zakupivli.pro/gov/tenders/ua-2025-01-27-012138-a/lot-829e8af6f8794bdab5ad08ace204eed8</t>
  </si>
  <si>
    <t>Реконструкція ПЛ-35кВ Л-381/1 відгалуження на ПС “Бережинка” в Кіровоградському районі Кіровоградської області в частині заміни одноколової ділянки на двоколову протяжністю 1,97 км (пункт 1.2.2.1. Інвестиційної Програми 2025):Реконструкція ПЛ-35кВ Л-381/1 відгалуження на ПС “Бережинка” в Кіровоградському районі Кіровоградської області в частині заміни одноколової ділянки на двоколову протяжністю 1,97 км (пункт 1.2.2.1. Інвестиційної Програми 2025)</t>
  </si>
  <si>
    <t>https://zakupivli.pro/gov/tenders/ua-2025-01-27-013389-a/lot-24b32a68a0114d39b27e6c59ff10b19f</t>
  </si>
  <si>
    <t>https://zakupivli.pro/gov/tenders/ua-2025-01-27-013156-a/lot-334269c96a704ae083d20b7c3fb063e2</t>
  </si>
  <si>
    <t>Нове будівництво КЛ-10кВ від ПС 150кВ "Кіровоградська" до ТП-342 Ф-82К, Ф-59К в м. Кропивницький Кіровоградської області (Кропивницькі міські ЕМ) (пункт 1.1.3.1.1 Інвестиційної Програми 2025):Нове будівництво КЛ-10кВ від ПС 150кВ "Кіровоградська" до ТП-342 Ф-82К, Ф-59К в м. Кропивницький Кіровоградської області (Кропивницькі міські ЕМ) (пункт 1.1.3.1.1 Інвестиційної Програми 2025)</t>
  </si>
  <si>
    <t>Реконструкція ПЛ-0,4кВ від ЗТП-1174 в м. Олександрія Кіровоградської області (Олександрійські ЕМ) (пункт 1.2.4.1.4 Інвестиційної Програми 2025):Реконструкція ПЛ-0,4кВ від ЗТП-1174 в м. Олександрія Кіровоградської області (Олександрійські ЕМ) (пункт 1.2.4.1.4 Інвестиційної Програми 2025)</t>
  </si>
  <si>
    <t>https://zakupivli.pro/gov/tenders/ua-2025-01-27-013503-a/lot-56b5f04516aa48b491fc70654eaac6ab</t>
  </si>
  <si>
    <t>https://zakupivli.pro/gov/tenders/ua-2025-01-27-013497-a/lot-fba86f69435b4c718ce82c25cdf706d3</t>
  </si>
  <si>
    <t>Реконструкція ПЛ-0,4кВ від ЗТП-1219 в м. Олександрія Кіровоградської області (Олександрійські ЕМ) (пункт 1.2.4.1.5 Інвестиційної Програми 2025):Реконструкція ПЛ-0,4кВ від ЗТП-1219 в м. Олександрія Кіровоградської області (Олександрійські ЕМ) (пункт 1.2.4.1.5 Інвестиційної Програми 2025)</t>
  </si>
  <si>
    <t>https://zakupivli.pro/gov/tenders/ua-2025-01-27-014006-a/lot-c9f5e8c54e174ee9b5281df26e296368</t>
  </si>
  <si>
    <t>https://zakupivli.pro/gov/tenders/ua-2025-01-27-013929-a/lot-c3e5392d9cc84705805a425ed3abf81e</t>
  </si>
  <si>
    <t>Нове будівництво КЛ-10кВ від ТП-342 до ТП-402 в м. Кропивницький Кіровоградської області (Кропивницькі міські ЕМ) (пункт 1.1.3.1.2 Інвестиційної Програми 2025).:Нове будівництво КЛ-10кВ від ТП-342 до ТП-402 в м. Кропивницький Кіровоградської області (Кропивницькі міські ЕМ) (пункт 1.1.3.1.2 Інвестиційної Програми 2025).</t>
  </si>
  <si>
    <t>https://zakupivli.pro/gov/tenders/ua-2025-01-27-014685-a/lot-7ebf7d015b0e43e2ad5e33a049576feb</t>
  </si>
  <si>
    <t>https://zakupivli.pro/gov/tenders/ua-2025-01-27-014227-a/lot-301fda2687614776ba6eb6a72abd4da7</t>
  </si>
  <si>
    <t>1525,731,12</t>
  </si>
  <si>
    <t>Будівництво ЩТП-384 в с. Новопетрівка Кропивницьких ЕМ для зовнішнього електропостачання будівлі з будівельним майданчиком гр.Резніченко К.М.</t>
  </si>
  <si>
    <t>Реконструкція ПС-35кВ "Хмельове" в частині заміни масляних вимикачів 35кВ в комплекті з пристроями РЗА в с. Хмельове, Новоукраїнського району, Кіровоградської області (пункт 1.4.2.2. Інвестиційної Програми 2025):Реконструкція ПС-35кВ "Хмельове" в частині заміни масляних вимикачів 35кВ в комплекті з пристроями РЗА в с. Хмельове, Новоукраїнського району, Кіровоградської області (пункт 1.4.2.2. Інвестиційної Програми 2025)</t>
  </si>
  <si>
    <t>https://zakupivli.pro/gov/tenders/ua-2025-01-27-015305-a</t>
  </si>
  <si>
    <t>https://zakupivli.pro/gov/tenders/ua-2025-01-27-014719-a/lot-29e910c05cde4e8dba4c630368dc8cc7</t>
  </si>
  <si>
    <t>Реконструкція ЗТП-342 з переулаштуванням його в ЦРП в м. Кропивницький Кіровоградської області (Кропивницькі міські ЕМ) (пункт 1.4.3.2.1 Інвестиційної Програми 2025):Реконструкція ЗТП-342 з переулаштуванням його в ЦРП в м. Кропивницький Кіровоградської області (Кропивницькі міські ЕМ) (пункт 1.4.3.2.1 Інвестиційної Програми 2025)</t>
  </si>
  <si>
    <t>Нове будівництво КЛ-10кВ від ТП-342 до ТП-317 в м. Кропивницький Кіровоградської області (Кропивницькі міські ЕМ) (пункт 1.1.3.1.3 Інвестиційної Програми 2025).:Нове будівництво КЛ-10кВ від ТП-342 до ТП-317 в м. Кропивницький Кіровоградської області (Кропивницькі міські ЕМ) (пункт 1.1.3.1.3 Інвестиційної Програми 2025).</t>
  </si>
  <si>
    <t>https://zakupivli.pro/gov/tenders/ua-2025-01-27-015612-a/lot-1aa4d4a700c34f02a01be277e1f3b26f</t>
  </si>
  <si>
    <t>https://zakupivli.pro/gov/tenders/ua-2025-01-27-015561-a/lot-d44bee8237774ce1bacbb4fbf3bb18e8</t>
  </si>
  <si>
    <t>Реконструкція ЦРП-1 в м. Кропивницький Кіровоградської області (Коригування) (Кропивницькі міські ЕМ) (пункт 1.4.3.2.2 Інвестиційної Програми 2025):Реконструкція ЦРП-1 в м. Кропивницький Кіровоградської області (Коригування) (Кропивницькі міські ЕМ) (пункт 1.4.3.2.2 Інвестиційної Програми 2025)</t>
  </si>
  <si>
    <t>https://zakupivli.pro/gov/tenders/ua-2025-01-27-016031-a/lot-2a84a17627bb4b1a8f5e179c494cf6b2</t>
  </si>
  <si>
    <t>https://zakupivli.pro/gov/tenders/ua-2025-01-27-016004-a/lot-d5b65214dd394aafade3265be9b80114</t>
  </si>
  <si>
    <t>Реконструкція ЗТП-402 в м. Кропивницький Кіровоградської області (Кропивницькі міські ЕМ) (п.1.4.3.1.2 Інвестиційної програми 2025 року):Реконструкція ЗТП-402 в м. Кропивницький Кіровоградської області (Кропивницькі міські ЕМ) (п.1.4.3.1.2 Інвестиційної програми 2025 року)</t>
  </si>
  <si>
    <t>Реконструкція ЗТП-317 в м. Кропивницький Кіровоградської області (Кропивницькі міські ЕМ) (пункт 1.4.3.1.1 Інвестиційної Програми 2025):Реконструкція ЗТП-317 в м. Кропивницький Кіровоградської області (Кропивницькі міські ЕМ) (пункт 1.4.3.1.1 Інвестиційної Програми 2025)</t>
  </si>
  <si>
    <t>https://zakupivli.pro/gov/tenders/ua-2025-01-27-016823-a/lot-fb9afbcaff604148b3fa33c37f2fbf5c</t>
  </si>
  <si>
    <t>https://zakupivli.pro/gov/tenders/ua-2025-01-27-016390-a/lot-bce7f642a8d543b19c64fef566732ced</t>
  </si>
  <si>
    <t>44810000-1 Фарби</t>
  </si>
  <si>
    <t>https://zakupivli.pro/gov/tenders/ua-2025-01-28-015503-a/lot-a9addf6190e145e7a7985e06b6788d73</t>
  </si>
  <si>
    <t>https://zakupivli.pro/gov/tenders/ua-2025-01-28-014015-a/lot-34f91b92437e4b4b9a396b2900749ffd</t>
  </si>
  <si>
    <t>https://zakupivli.pro/gov/tenders/ua-2025-01-28-011482-a</t>
  </si>
  <si>
    <t>закупівля не відбулась</t>
  </si>
  <si>
    <t>https://zakupivli.pro/gov/tenders/ua-2025-01-29-003903-a/lot-35a62486fc704813b60b1b05ff9ab601</t>
  </si>
  <si>
    <t>https://zakupivli.pro/gov/tenders/ua-2025-01-29-003903-a/lot-ca859737ced54c19a4e1385ab7f4fa20</t>
  </si>
  <si>
    <t>https://zakupivli.pro/gov/tenders/ua-2025-01-30-008146-a/lot-4e7bb5152a3340e2823a16de636f491d</t>
  </si>
  <si>
    <t>https://zakupivli.pro/gov/tenders/ua-2025-01-30-008146-a/lot-5ffaee847c684cb6ad73096f99ffe10e</t>
  </si>
  <si>
    <t>https://zakupivli.pro/gov/tenders/ua-2025-01-30-008146-a/lot-619468b0d6ca413494bc08d5599e3b3c</t>
  </si>
  <si>
    <t>https://zakupivli.pro/gov/tenders/ua-2025-01-30-008146-a/lot-1950539852ab49e2a5f68117c24da0f7</t>
  </si>
  <si>
    <t>Роботи по капітальному ремонту на ПС 150/35/6кВ Сільмаш-1 в частині заміни моторного приводу РПН силового трансформатора 2Т типу ТДТН-25000/150</t>
  </si>
  <si>
    <t>Роботи по капітальному ремонту на ПС 150/35/10кВ Новоукраїнська в частині заміни моторного приводу РПН силового трансформатора 2Т типу ТДТН-25000/150</t>
  </si>
  <si>
    <t>Вироби з дроту (або еквівалент) (основна діяльність):ЛОТ 2</t>
  </si>
  <si>
    <t>44310000-6 Вироби з дроту</t>
  </si>
  <si>
    <t>https://zakupivli.pro/gov/tenders/ua-2025-01-31-008018-a</t>
  </si>
  <si>
    <t>https://zakupivli.pro/gov/tenders/ua-2025-01-31-007250-a</t>
  </si>
  <si>
    <t>https://zakupivli.pro/gov/tenders/ua-2025-01-31-003646-a</t>
  </si>
  <si>
    <t>https://zakupivli.pro/gov/tenders/ua-2025-01-31-003489-a</t>
  </si>
  <si>
    <t>https://zakupivli.pro/gov/tenders/ua-2025-01-31-001734-a/lot-67ece4c36e0f4d39863dee79a9354364</t>
  </si>
  <si>
    <t>https://zakupivli.pro/gov/tenders/ua-2025-01-31-000377-a/lot-3f4121e2ea834d82a18b9dc6570e8d81</t>
  </si>
  <si>
    <t>https://zakupivli.pro/gov/tenders/ua-2025-01-31-000377-a/lot-634ee94893dc45c28c4e9ce2ec0e4acb</t>
  </si>
  <si>
    <t>Ремонтно-відновлювальні роботи енергооб’єктів 6-10 кВ в аварійних ситуаціях</t>
  </si>
  <si>
    <t>Ремонтно-відновлювальні роботи енергооб’єктів 0,4 кВ в аварійних ситуаціях</t>
  </si>
  <si>
    <t>https://zakupivli.pro/gov/tenders/ua-2025-02-03-010811-a</t>
  </si>
  <si>
    <t>https://zakupivli.pro/gov/tenders/ua-2025-02-03-010425-a</t>
  </si>
  <si>
    <t>https://zakupivli.pro/gov/tenders/ua-2025-02-03-009439-a</t>
  </si>
  <si>
    <t>https://zakupivli.pro/gov/tenders/ua-2025-02-03-009297-a</t>
  </si>
  <si>
    <t>https://zakupivli.pro/gov/tenders/ua-2025-02-03-000583-a</t>
  </si>
  <si>
    <t>https://zakupivli.pro/gov/tenders/ua-2025-02-03-000158-a</t>
  </si>
  <si>
    <t>Послуги з ремонту і технічного обслуговування мототранспортних засобів і супутнього обладнання:Послуги з ремонту і технічного обслуговування мототранспортних засобів і супутнього обладнання</t>
  </si>
  <si>
    <t>https://zakupivli.pro/gov/tenders/ua-2025-02-04-013387-a/lot-1a391c9ea1fe4992ac4f126a3fe3a103</t>
  </si>
  <si>
    <t>Будівництво КЛ-10 кВ ТП-811-ТП-841  для зовнішнього електропостачання споруди виробничого призначення з будівельним майданчиком ФОП Савенко А.В. по вул. Перша Виставкова, буд.37 в м. Кропивницький</t>
  </si>
  <si>
    <t>Будівництво КЛ-10 кВ ТП-721-ТП-841  для зовнішнього електропостачання споруди виробничого призначення з будівельним майданчиком ФОП Савенко А.В. по вул. Перша Виставкова, буд.37 в м. Кропивницький</t>
  </si>
  <si>
    <t>Будівництво КТП-841 для зовнішнього електропостачання споруди виробничого призначення з будівельним майданчиком ФОП Савенко А.В. по вул. Перша Виставкова, буд.37 в м. Кропивницький</t>
  </si>
  <si>
    <t>Частини до світильників та освітлювального обладнання (основна діяльність):Частини до світильників та освітлювального обладнання (основна діяльність)</t>
  </si>
  <si>
    <t>Клеї (або еквівалент) (основна діяльність):Клеї (або еквівалент) (основна діяльність)</t>
  </si>
  <si>
    <t>https://zakupivli.pro/gov/tenders/ua-2025-02-05-014871-a</t>
  </si>
  <si>
    <t>https://zakupivli.pro/gov/tenders/ua-2025-02-05-010881-a</t>
  </si>
  <si>
    <t>https://zakupivli.pro/gov/tenders/ua-2025-02-05-009779-a</t>
  </si>
  <si>
    <t>https://zakupivli.pro/gov/tenders/ua-2025-02-05-009432-a</t>
  </si>
  <si>
    <t>https://zakupivli.pro/gov/tenders/ua-2025-02-05-008804-a/lot-f4b5d89e64d34844ae27bc85a1c79acf</t>
  </si>
  <si>
    <t>https://zakupivli.pro/gov/tenders/ua-2025-02-05-008594-a/lot-afe1992d07f94057be69f5765f50b620</t>
  </si>
  <si>
    <t>https://zakupivli.pro/gov/tenders/ua-2025-02-05-002451-a/lot-cdef295c5eb14b61baed22f44fad4796</t>
  </si>
  <si>
    <t>Телефонне обладнання (основна діяльність):Телефонне обладнання (основна діяльність)</t>
  </si>
  <si>
    <t>https://zakupivli.pro/gov/tenders/ua-2025-02-06-004155-a/lot-24c427644b5b49478be73c703893dc0d</t>
  </si>
  <si>
    <t>https://zakupivli.pro/gov/tenders/ua-2025-02-07-010817-a/lot-a67752bd5f084d6fa7839c33b4ee117f</t>
  </si>
  <si>
    <t>https://zakupivli.pro/gov/tenders/ua-2025-02-07-007901-a</t>
  </si>
  <si>
    <t>https://zakupivli.pro/gov/tenders/ua-2025-02-07-001208-a</t>
  </si>
  <si>
    <t>Ремонт пункту керування диспетчерського центрального ПКДЦ</t>
  </si>
  <si>
    <t>https://zakupivli.pro/gov/tenders/ua-2025-02-10-005542-a</t>
  </si>
  <si>
    <t>Опори СК-105-12 (або еквівалент), Стійки СК-120-15 (або еквівалент) (основна діяльність):Опори СК-105-12 (або еквівалент), Стійки СК-120-15 (або еквівалент) (основна діяльність)</t>
  </si>
  <si>
    <t>Електрична апаратура для комутування та захисту електричних кіл (основна діяльність):ЛОТ2</t>
  </si>
  <si>
    <t>Електрична апаратура для комутування та захисту електричних кіл (основна діяльність):ЛОТ3</t>
  </si>
  <si>
    <t>Панель ЩО-05-1420 (зовнішне електропостачання нежитлового приміщення гр. Лихопой Н.В. в м. Олександрія)</t>
  </si>
  <si>
    <t>https://zakupivli.pro/gov/tenders/ua-2025-02-11-014813-a/lot-1bd3ad2cd8504b62ac0f25b1d3d65110</t>
  </si>
  <si>
    <t>https://zakupivli.pro/gov/tenders/ua-2025-02-11-014703-a/lot-74f1ea1d960c4f238096402c86a9ef27</t>
  </si>
  <si>
    <t>https://zakupivli.pro/gov/tenders/ua-2025-02-11-014703-a/lot-3b27ac22678548a3bedeaf13ff8039f4</t>
  </si>
  <si>
    <t>https://zakupivli.pro/gov/tenders/ua-2025-02-11-014703-a/lot-2b425a3538b34f61abf9d66504fadba9</t>
  </si>
  <si>
    <t>https://zakupivli.pro/gov/tenders/ua-2025-02-11-014703-a/lot-ba32cb5fde3b4a99a211f91c31c3949e</t>
  </si>
  <si>
    <t>https://zakupivli.pro/gov/tenders/ua-2025-02-11-012151-a/lot-1f4d63afd42e4d30a8010bebe549fcab</t>
  </si>
  <si>
    <t>https://zakupivli.pro/gov/tenders/ua-2025-02-12-008425-a</t>
  </si>
  <si>
    <t>Замок навісний бочонок</t>
  </si>
  <si>
    <t>Реконструкція ПЛ-0,4 кВ Л-3 від КТП-74 в с.Тарасівка Бобринецьких ЕМ для зовнішнього електропостачання житлового будинку Романюк Н.В.</t>
  </si>
  <si>
    <t>44830000-7 Мастики, шпаклівки, замазки та розчинники</t>
  </si>
  <si>
    <t>https://zakupivli.pro/gov/tenders/ua-2025-02-13-010243-a</t>
  </si>
  <si>
    <t>https://zakupivli.pro/gov/tenders/ua-2025-02-13-009809-a/lot-563a933143104f4a8f4a9e74b9e920e9</t>
  </si>
  <si>
    <t>https://zakupivli.pro/gov/tenders/ua-2025-02-13-009405-a/lot-33c26c030db143278a55cb7505b56ce9</t>
  </si>
  <si>
    <t>https://zakupivli.pro/gov/tenders/ua-2025-02-13-008334-a</t>
  </si>
  <si>
    <t>https://zakupivli.pro/gov/tenders/ua-2025-02-13-007747-a</t>
  </si>
  <si>
    <t>https://zakupivli.pro/gov/tenders/ua-2025-02-13-004874-a</t>
  </si>
  <si>
    <t>https://zakupivli.pro/gov/tenders/ua-2025-02-13-013204-a</t>
  </si>
  <si>
    <t>Інші завершальні будівельні роботи</t>
  </si>
  <si>
    <t xml:space="preserve">Каболка </t>
  </si>
  <si>
    <t>Індикатор пошкодження LineTroll 111 K</t>
  </si>
  <si>
    <t>https://zakupivli.pro/gov/tenders/ua-2025-02-14-010906-a/lot-93e17c31d80c4bed8bbf8cdcf89249b6</t>
  </si>
  <si>
    <t>https://zakupivli.pro/gov/tenders/ua-2025-02-14-009461-a</t>
  </si>
  <si>
    <t>https://zakupivli.pro/gov/tenders/ua-2025-02-14-008779-a</t>
  </si>
  <si>
    <t>https://zakupivli.pro/gov/tenders/ua-2025-02-14-008026-a</t>
  </si>
  <si>
    <t>https://zakupivli.pro/gov/tenders/ua-2025-02-14-007675-a</t>
  </si>
  <si>
    <t>https://zakupivli.pro/gov/tenders/ua-2025-02-14-007472-a/lot-c8d5d5cc5f4645c4a95504f29a895189</t>
  </si>
  <si>
    <t>https://zakupivli.pro/gov/tenders/ua-2025-02-14-004784-a</t>
  </si>
  <si>
    <t>Будівництво ПЛ,ПЛІ-0,4 кВ Л-3,Л-5 оп.1-24 КТП-1062 в м.Олександрія для зовнішнього електропостачання ОК "Жовтень"</t>
  </si>
  <si>
    <t>Реконструкція ПЛІ-0,4 кВ від КТП-306 для гр. Король І.Ф., по вул. Кременчузька, 34 в смт. Власівка Олександрійського району</t>
  </si>
  <si>
    <t>https://zakupivli.pro/gov/tenders/ua-2025-02-18-000134-a</t>
  </si>
  <si>
    <t>https://zakupivli.pro/gov/tenders/ua-2025-02-18-000121-a</t>
  </si>
  <si>
    <t>закупівлю скасовано</t>
  </si>
  <si>
    <t>Трансформатори струму (пункти 2.1.4. Інвестиційної програми 2025р.):Трансформатори струму (пункти 2.1.4. Інвестиційної програми 2025р.)</t>
  </si>
  <si>
    <t>Термореле цифрове РТ4010.-40...150.ТСМ 50М кріплення рамки 1М</t>
  </si>
  <si>
    <t>Лічильники (інвестиційна програма п.2.1.1, п.2.1.2, п.2.1.3, п.2.2., п.2.1.5):ЛОТ 1 (інвестиційна програма п.2.1.1, п.2.1.2, п.2.1.3, п.2.1.5)</t>
  </si>
  <si>
    <t>Лічильники (інвестиційна програма п.2.1.1, п.2.1.2, п.2.1.3, п.2.2., п.2.1.5):ЛОТ 2 (інвестиційна програма п.2.2.)</t>
  </si>
  <si>
    <t>32350000-1 Частини до аудіо- та відеообладнання</t>
  </si>
  <si>
    <t>https://zakupivli.pro/gov/tenders/ua-2025-02-20-010663-a</t>
  </si>
  <si>
    <t>https://zakupivli.pro/gov/tenders/ua-2025-02-20-008191-a/lot-b4beb872b6e6474d88283380ce450f29</t>
  </si>
  <si>
    <t>https://zakupivli.pro/gov/tenders/ua-2025-02-20-007017-a</t>
  </si>
  <si>
    <t>https://zakupivli.pro/gov/tenders/ua-2025-02-20-002410-a/lot-4d8c32db68af45aa9cf9e1561776df37</t>
  </si>
  <si>
    <t>https://zakupivli.pro/gov/tenders/ua-2025-02-20-002410-a/lot-30d758f496b443a298ed49fde3b279b3</t>
  </si>
  <si>
    <t>https://zakupivli.pro/gov/tenders/ua-2025-02-20-001195-a/lot-0d3368cde5af4256b3fb8ca0e6a2fd32</t>
  </si>
  <si>
    <t>Капітальний ремонт і реставрація</t>
  </si>
  <si>
    <t>Автомобільні акумуляторні батареї (основна діяльність):Автомобільні акумуляторні батареї (основна діяльність)</t>
  </si>
  <si>
    <t>Болт, гайка, шайба</t>
  </si>
  <si>
    <t>https://zakupivli.pro/gov/tenders/ua-2025-02-21-009763-a</t>
  </si>
  <si>
    <t>https://zakupivli.pro/gov/tenders/ua-2025-02-21-008660-a/lot-7d142c426f864b2b8364f606082d47f1</t>
  </si>
  <si>
    <t>https://zakupivli.pro/gov/tenders/ua-2025-02-21-001879-a</t>
  </si>
  <si>
    <t>https://zakupivli.pro/gov/tenders/ua-2025-02-21-001736-a</t>
  </si>
  <si>
    <t>Двигуни та їх частини</t>
  </si>
  <si>
    <t>https://zakupivli.pro/gov/tenders/ua-2025-02-25-013333-a</t>
  </si>
  <si>
    <t>https://zakupivli.pro/gov/tenders/ua-2025-02-25-008377-a</t>
  </si>
  <si>
    <t>https://zakupivli.pro/gov/tenders/ua-2025-02-26-012076-a</t>
  </si>
  <si>
    <t>https://zakupivli.pro/gov/tenders/ua-2025-02-26-011456-a</t>
  </si>
  <si>
    <t>https://zakupivli.pro/gov/tenders/ua-2025-02-26-010814-a</t>
  </si>
  <si>
    <t>https://zakupivli.pro/gov/tenders/ua-2025-02-26-009008-a</t>
  </si>
  <si>
    <t>https://zakupivli.pro/gov/tenders/ua-2025-02-26-008765-a</t>
  </si>
  <si>
    <t>https://zakupivli.pro/gov/tenders/ua-2025-02-26-006375-a</t>
  </si>
  <si>
    <t>Нове будівництво АСДУ Світловодського РЕМ (11 ПС-35кВ, 3 ПС-150кВ, 6 ЦРП) (пункт 3.1 Інвестиційної Програми 2025):Нове будівництво АСДУ Світловодського РЕМ (11 ПС-35кВ, 3 ПС-150кВ, 6 ЦРП) (пункт 3.1 Інвестиційної Програми 2025)</t>
  </si>
  <si>
    <t>Нове будівництво АСДУ ПС 150/35/10кВ (8 ПС-150кВ) (пункт 3.2 Інвестиційної Програми 2025):Нове будівництво АСДУ ПС 150/35/10кВ (8 ПС-150кВ) (пункт 3.2 Інвестиційної Програми 2025)</t>
  </si>
  <si>
    <t>https://zakupivli.pro/gov/tenders/ua-2025-02-27-009761-a/lot-bc2012377fee4754b5af103061ab9e97</t>
  </si>
  <si>
    <t>https://zakupivli.pro/gov/tenders/ua-2025-02-27-000432-a/lot-0d928d09299541788533a61ff4394140</t>
  </si>
  <si>
    <t>https://zakupivli.pro/gov/tenders/ua-2025-03-03-010821-a</t>
  </si>
  <si>
    <t>https://zakupivli.pro/gov/tenders/ua-2025-03-03-010382-a</t>
  </si>
  <si>
    <t>https://zakupivli.pro/gov/tenders/ua-2025-03-04-011644-a</t>
  </si>
  <si>
    <t>Кріпильні деталі (або еквівалент) (основна діяльність):Кріпильні деталі (або еквівалент) (основна діяльність)</t>
  </si>
  <si>
    <t>https://zakupivli.pro/gov/tenders/ua-2025-03-05-003221-a/lot-7ac74d20a64546aa9c2f00b03b7918b9</t>
  </si>
  <si>
    <t>https://zakupivli.pro/gov/tenders/ua-2025-03-05-002451-a</t>
  </si>
  <si>
    <t>35110000-8 Протипожежне, рятувальне та захисне обладнання</t>
  </si>
  <si>
    <t>35120000-1 Системи та пристрої нагляду та охорони</t>
  </si>
  <si>
    <t>https://zakupivli.pro/gov/tenders/ua-2025-03-06-012902-a/lot-c427a5dfa4714ff5bf8f32c912ab5d8b</t>
  </si>
  <si>
    <t>https://zakupivli.pro/gov/tenders/ua-2025-03-06-010281-a</t>
  </si>
  <si>
    <t>Реконструкція ПЛ-0,4кВ Л-1 КТП-51 для зовнішнього електропостачання житлового будинку гр. Березолова І.М. в с. Аджамка, вул. Овражна, 23 Кропивницького району Кіровоградської області</t>
  </si>
  <si>
    <t>https://zakupivli.pro/gov/tenders/ua-2025-03-10-004948-a</t>
  </si>
  <si>
    <t>Продукція, пов'язана з конструкційними матеріалами (основна діяльність):Продукція, пов'язана з конструкційними матеріалами (основна діяльність)</t>
  </si>
  <si>
    <t>Будівництво ПЛІ-0,4 кВ Л-2 від ЩТП-469 для зовнішнього електропостачання житлового будинку з будівельним майданчиком гр. Татаров О. І. по вул. Львівська (кад.№3522587201:51:030:0075), буд.37 в с. Соколівське Кропивницького району</t>
  </si>
  <si>
    <t>https://zakupivli.pro/gov/tenders/ua-2025-03-13-009703-a</t>
  </si>
  <si>
    <t>https://zakupivli.pro/gov/tenders/ua-2025-03-13-007768-a/lot-718bb28a98ec44afa8afcda3a1ae6132</t>
  </si>
  <si>
    <t>https://zakupivli.pro/gov/tenders/ua-2025-03-13-002322-a</t>
  </si>
  <si>
    <t>https://zakupivli.pro/gov/tenders/ua-2025-03-13-002113-a</t>
  </si>
  <si>
    <t>https://zakupivli.pro/gov/tenders/ua-2025-03-13-000096-a</t>
  </si>
  <si>
    <t>Пароніт</t>
  </si>
  <si>
    <t>Послуги з повірки законодавчо регульованих засобів вимірювальної техніки (ЗВТ), калібрування, визначення метрологічних характеристик ЗВТ, та/або випробувального обладнання (ВО)</t>
  </si>
  <si>
    <t>https://zakupivli.pro/gov/tenders/ua-2025-03-14-009710-a/lot-be2b52f381b143eea4f55f685adc6a57</t>
  </si>
  <si>
    <t>https://zakupivli.pro/gov/tenders/ua-2025-03-14-003738-a</t>
  </si>
  <si>
    <t>https://zakupivli.pro/gov/tenders/ua-2025-03-14-000631-a</t>
  </si>
  <si>
    <t>Будівництво ПЛІ-0,4 кВ Л-3 оп.9/1 КТП-154 в с.Хмельове Маловисківських ЕМ для зовнішнього електропостачання абонентської станції мобільного зв'язку ПрАТ "Київстар"</t>
  </si>
  <si>
    <t>Будівництво ПЛ,ПЛІ-0,4 кВ Л-1,Л-3 КТП-234 в с.Підгайці Кропивницьких ЕМ для зовнішнього електропостачання житлового будинку гр. Манюти Н.В. по вул. Тарана, 8</t>
  </si>
  <si>
    <t>https://zakupivli.pro/gov/tenders/ua-2025-03-19-012837-a</t>
  </si>
  <si>
    <t>https://zakupivli.pro/gov/tenders/ua-2025-03-19-012800-a</t>
  </si>
  <si>
    <t>https://zakupivli.pro/gov/tenders/ua-2025-03-19-007714-a/lot-8c517341ff314607bccbe31b72bfd47b</t>
  </si>
  <si>
    <t>Будівництво ПЛ-10 кВ Л-186 на тер.Помічнянської міської ради для зовнішнього електропостачання сонячної електростанції "ГРІН ЕНЕРДЖІ САН 2" ТОВ"ГРІН ЕНЕРДЖІ САН" Кад.№3524084800:02:001:0244 (будівництво)</t>
  </si>
  <si>
    <t>https://zakupivli.pro/gov/tenders/ua-2025-03-20-002481-a</t>
  </si>
  <si>
    <t>54,,71789</t>
  </si>
  <si>
    <t>https://zakupivli.pro/gov/tenders/ua-2025-03-21-011182-a</t>
  </si>
  <si>
    <t>Гравій, пісок, щебінь і наповнювачі (основна діяльність)</t>
  </si>
  <si>
    <t>Будівництво ПЛ-10,ПЛ-0,4 кВ Л-184 КТП-55 в с.Помічна Новоукраїнських ЕМ для зовнішнього електропостачання житлового будинку гр. Зайченко М.О. по вул. Зелена, 14 Новоукраїнського району</t>
  </si>
  <si>
    <t>https://zakupivli.pro/gov/tenders/ua-2025-03-24-001110-a</t>
  </si>
  <si>
    <t>тонни</t>
  </si>
  <si>
    <t>https://zakupivli.pro/gov/tenders/ua-2025-03-24-001051-a</t>
  </si>
  <si>
    <t>https://zakupivli.pro/gov/tenders/ua-2025-03-24-000961-a</t>
  </si>
  <si>
    <t>https://zakupivli.pro/gov/tenders/ua-2025-03-24-000505-a</t>
  </si>
  <si>
    <t>21.03ю2025</t>
  </si>
  <si>
    <t>Прилади для вимірювання величин (основна діяльність)</t>
  </si>
  <si>
    <t>https://zakupivli.pro/gov/tenders/ua-2025-03-24-012151-a/lot-e410f9495fd94b3aa9151c5090bdfd0c</t>
  </si>
  <si>
    <t>UA-2025-03-24-012151-a</t>
  </si>
  <si>
    <t>Технічне переоснащення  ПЛ-10кВ Л-125 ПС "Хмельове"-35/10 кВ ком. № 10 - оп.41 для зовнішнього електропостачання нового будівництва сонячної електричної станції "СЕС Хмельове" ТОВ"ГРІН ЕНЕРДЖІ САН" на території Смолінської селищної ради Новоукраїнського району Кіровоградської області</t>
  </si>
  <si>
    <t>Вентиляційне обладнання (основна діяльність):Вентиляційне обладнання (основна діяльність)</t>
  </si>
  <si>
    <t>Будівництво ПЛІ-0,4 кВ Л-7 КТП-754  в с. Липове Кропивницьких ЕМ для зовнішнього електропостачання житлового будинку гр. Єсько В.В. по вул. Липова, 4</t>
  </si>
  <si>
    <t>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 (пункт 1.2.3.1.2 Інвестиційної Програми 2025):Реконструкція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 (пункт 1.2.3.1.2 Інвестиційної Програми 2025)</t>
  </si>
  <si>
    <t>https://zakupivli.pro/gov/tenders/ua-2025-03-31-003187-a</t>
  </si>
  <si>
    <t>https://zakupivli.pro/gov/tenders/ua-2025-03-28-000686-a</t>
  </si>
  <si>
    <t>https://zakupivli.pro/gov/tenders/ua-2025-03-27-007442-a/lot-cf460c0176b34ffb81814b741250f1bb</t>
  </si>
  <si>
    <t>https://zakupivli.pro/gov/tenders/ua-2025-03-27-003821-a</t>
  </si>
  <si>
    <t>https://zakupivli.pro/gov/tenders/ua-2025-03-25-007819-a/lot-d029fc1166bb43dfbce5b3417de00213</t>
  </si>
  <si>
    <t>https://zakupivli.pro/gov/tenders/ua-2025-03-25-003266-a/lot-90fd47f16ff343cb81f9b845d1569a1c</t>
  </si>
  <si>
    <t>https://zakupivli.pro/gov/tenders/ua-2025-03-25-002632-a/lot-080978ce6735455d94f514629190d47c</t>
  </si>
  <si>
    <t xml:space="preserve">Капітальний  ремонт адміністративної  база  ЕМ  по  вул. Заводська,  2а, м. Олександрія, Олександрійських ЕМ (заміна дверей, водовідведення) </t>
  </si>
  <si>
    <t>Капітальний ремонт будівлі котельні (кімната для відряджених) по вул. Заводська, 2а, м. Олександрія, Олександрійських ЕМ (заміна дверей)</t>
  </si>
  <si>
    <t>Технічне переоснащення лінійної комірки КРН-ІІІ-10 (№14) на 2С-10 кВ ВРП-10 кВ ПС "Новопавлівка"-35/10 кВ для зовнішнього електропостачання  сонячної електростанції "ГРІН ЕНЕРДЖІ САН 1" ТОВ"ГРІН ЕНЕРДЖІ САН" на території Помічнянської  міської ради Кад. №3524084800:02:001:0243</t>
  </si>
  <si>
    <t>Будівництво ПЛ-10 кВ Л-186 на території Помічнянської міської ради для зовнішнього електропостачання сонячної електростанції "ГРІН ЕНЕРДЖІ САН 2" ТОВ "ГРІН ЕНЕРДЖІ САН" Кад.№3524084800:02:001:0244 (повна заміна) (із використанням матеріалів підрядника) (приєднання):Будівництво ПЛ-10 кВ Л-186 на території Помічнянської міської ради для зовнішнього електропостачання сонячної електростанції "ГРІН ЕНЕРДЖІ САН 2" ТОВ "ГРІН ЕНЕРДЖІ САН" Кад.№3524084800:02:001:0244 (повна заміна) (із використанням матеріалів підрядника) (приєднання)</t>
  </si>
  <si>
    <t>https://zakupivli.pro/gov/tenders/ua-2025-04-03-005470-a</t>
  </si>
  <si>
    <t>https://zakupivli.pro/gov/tenders/ua-2025-04-03-005195-a</t>
  </si>
  <si>
    <t>https://zakupivli.pro/gov/tenders/ua-2025-04-03-000378-a</t>
  </si>
  <si>
    <t>https://zakupivli.pro/gov/tenders/ua-2025-04-01-011215-a/lot-0f088b511d4145e886ac9bbccd57dd61</t>
  </si>
  <si>
    <t xml:space="preserve"> 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2025):Реконструкція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</t>
  </si>
  <si>
    <t>Реконструкція ПЛ-0,4 кВ Л-1 від КТП-183 до оп.41 в с.Ізмайлівка Олександрійських ЕМ для зовнішнього електропостачання житлового будинку гр.Баранова Ю.М.</t>
  </si>
  <si>
    <t>Реконструкція ЗТП-П-12 в селищі Смоліне для зовнішнього електропостачання продовольчого магазину ТОВ "Вересень плюс"  по вул. Казакова (Маловисківських ЕМ)</t>
  </si>
  <si>
    <t>Технічне переоснащення КЛ-10кВ Л-126 до оп.1 від ком.9 ПС «Добровеличківка» для зовнішнього електропостачання сонячної електростанції "ГРІНН ЕНЕРДЖІ" ТОВ "ГРІНН ЕНЕРДЖІ" на території Добровеличківської селищної ради  кад. №3521755100:02:000:8583 Новоукраїнського району</t>
  </si>
  <si>
    <t>Технічне переоснащення ПС «Добровеличківська»-35/10кВ для зовнішнього електропостачання сонячної електростанції "ГРІНН ЕНЕРДЖІ" ТОВ "ГРІНН ЕНЕРДЖІ" на території Добровеличківської селищної ради  кад. №3521755100:02:000:8583 Новоукраїнського району</t>
  </si>
  <si>
    <t>Будівництво ПЛІ-0,4 кВ Л-3 від КТП-100/У в сел.Устинівка Долинських ЕМ для зовнішнього електропостачання нежитлового приміщення ТОВ «Агробізнес 2025»</t>
  </si>
  <si>
    <t>Технічне переоснащення лінійної ком.№10 Л-125 ПС ″Хмельове″-35/10 кВ для зовнішнього електропостачання сонячної електричної станції "Сонячний хміль" ТОВ "ГРІН ЕНЕРДЖІ САН" на території Смолінської селищної ради кад.№3523186800:02:000:0182 Новоукраїнського району Кіровоградської області</t>
  </si>
  <si>
    <t>https://zakupivli.pro/gov/tenders/ua-2025-04-07-011371-a</t>
  </si>
  <si>
    <t>https://zakupivli.pro/gov/tenders/ua-2025-04-07-011210-a</t>
  </si>
  <si>
    <t>https://zakupivli.pro/gov/tenders/ua-2025-04-07-011056-a</t>
  </si>
  <si>
    <t>https://zakupivli.pro/gov/tenders/ua-2025-04-07-010912-a</t>
  </si>
  <si>
    <t>https://zakupivli.pro/gov/tenders/ua-2025-04-07-006839-a</t>
  </si>
  <si>
    <t>https://zakupivli.pro/gov/tenders/ua-2025-04-07-006636-a</t>
  </si>
  <si>
    <t>https://zakupivli.pro/gov/tenders/ua-2025-04-07-000293-a</t>
  </si>
  <si>
    <t xml:space="preserve"> 45231000-5 Будівництво трубопроводів, ліній зв’язку та електропередач</t>
  </si>
  <si>
    <t xml:space="preserve"> 42520000-7 Вентиляційне обладнання</t>
  </si>
  <si>
    <t xml:space="preserve"> 45310000-3 Електромонтажні роботи</t>
  </si>
  <si>
    <t xml:space="preserve">Будівництво ПЛ,ПЛІ-0,4 кВ А-2,А-3 оп.37-74 КТП-535 в с.Захарівка Світловодських ЕМ для зовнішнього електропостачання домоволодіння Бузейніков М.Г. </t>
  </si>
  <si>
    <t xml:space="preserve">38340000-0 Прилади для вимірювання величин </t>
  </si>
  <si>
    <t xml:space="preserve"> Будівництво ПЛ-10 кВ Л-184 в с.Помічна Новоукраїнських ЕМ для зовнішнього електропостачання житлового будинку гр. Зайченко М.О. по вул. Зелена, 14 Новоукраїнського району</t>
  </si>
  <si>
    <t xml:space="preserve"> Будівництво  ЩТП-66 в с.Помічна Новоукраїнських ЕМ для зовнішнього електропостачання житлового будинку гр. Зайченко М.О. по вул. Зелена, 14 Новоукраїнського району</t>
  </si>
  <si>
    <t xml:space="preserve">45231000-5 Будівництво трубопроводів, ліній зв’язку та електропередач </t>
  </si>
  <si>
    <t xml:space="preserve">14210000-6 Гравій, пісок, щебінь і наповнювачі </t>
  </si>
  <si>
    <t xml:space="preserve"> Ремонт елегазового вимикача  LTB-170 "категорії Б" ПС 150/35/10 кВ ПТО</t>
  </si>
  <si>
    <t xml:space="preserve"> Штанга оперативна ізольована, захисний апарат ПЛЗ (основна діяльність):Штанга оперативна ізольована, захисний апарат ПЛЗ (основна діяльність)</t>
  </si>
  <si>
    <t xml:space="preserve">71630000-3 Послуги з технічного огляду та випробовувань </t>
  </si>
  <si>
    <t xml:space="preserve">19710000-6 Синтетичний каучук </t>
  </si>
  <si>
    <t xml:space="preserve"> Елементи електричних схем (основна діяльність)
:Елементи електричних схем (основна діяльність)</t>
  </si>
  <si>
    <t xml:space="preserve"> Капітальний ремонт будівлі складу Новоархангельських ЕМ по вул. Котляревського, 67 в смт Новоархангельськ, Кіровоградської обл. (Улаштування покрівлі з металопрофілю)</t>
  </si>
  <si>
    <t xml:space="preserve"> Капітальний ремонт будівлі контори смт Новоархангельськ, вул. Котляревського, 67, Новоархангельські ЕМ (заміна дверей, вікон)</t>
  </si>
  <si>
    <t xml:space="preserve">44140000-3 Продукція, пов’язана з конструкційними матеріалами </t>
  </si>
  <si>
    <t xml:space="preserve">31680000-6 Електричне приладдя та супутні товари до електричного обладнання </t>
  </si>
  <si>
    <t xml:space="preserve">31320000-5 Електророзподільні кабелі </t>
  </si>
  <si>
    <t xml:space="preserve"> Будівництво ПЛЗ-10 кВ Л-154 ПС «Митрофанівка»-35/10 кВ в с.Вершино-Кам'янка Новгородківських ЕМ для зовнішнього електропостачання житлового будинку гр. Процюк О. А. по вул. Центральна, 79</t>
  </si>
  <si>
    <t xml:space="preserve"> Електрична апаратура для комутування та захисту електричних кіл (або еквівалент) (основна діяльність):Електрична апаратура для комутування та захисту електричних кіл (або еквівалент) (основна діяльність)</t>
  </si>
  <si>
    <t xml:space="preserve"> Будівництво ПЛ-10 кВ Л-154 ПС «Митрофанівка»-35/10 кВ в с.Вершино-Кам'янка Новгородківських ЕМ для зовнішнього електропостачання житлового будинку гр. Процюк О. А. по вул. Центральна, 79</t>
  </si>
  <si>
    <t xml:space="preserve"> Будівництво ЩТП-425 в с.Вершино-Кам'янка Новгородківських ЕМ для зовнішнього електропостачання житлового будинку гр. Процюк О. А. по вул. Центральна, 79</t>
  </si>
  <si>
    <t xml:space="preserve">31210000-1 Електрична апаратура для комутування та захисту електричних кіл </t>
  </si>
  <si>
    <t xml:space="preserve">45310000-3 Електромонтажні роботи </t>
  </si>
  <si>
    <t xml:space="preserve"> Гравій, пісок, щебінь і наповнювачі (основна діяльність):Гравій, пісок, щебінь і наповнювачі (основна діяльність)</t>
  </si>
  <si>
    <t xml:space="preserve"> Будівництво ПЛІ-0,4 кВ Л-4 оп.№1 - оп.№4  КТП-420 ПНВМП фірма "ІНКОПМАРК" по вул. Велика Перспективна (між будинками №17 та №19) в  м. Кропивницький</t>
  </si>
  <si>
    <t xml:space="preserve">31720000-9 Електромеханічне обладнання </t>
  </si>
  <si>
    <t>Електронне обладнання</t>
  </si>
  <si>
    <t>https://zakupivli.pro/gov/tenders/ua-2025-04-08-003191-a</t>
  </si>
  <si>
    <t>Будівництво ЩТП-38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</si>
  <si>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Будівництво 2ПЛІ-0,4 кВ КТП-450, ЩТП-38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</si>
  <si>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Технічне переоснащення КТП-450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</si>
  <si>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Технічне переоснащення ПЛІ-0,4 кВ від КТП-450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</si>
  <si>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https://zakupivli.pro/gov/tenders/ua-2025-04-09-008129-a</t>
  </si>
  <si>
    <t>https://zakupivli.pro/gov/tenders/ua-2025-04-09-007809-a</t>
  </si>
  <si>
    <t>https://zakupivli.pro/gov/tenders/ua-2025-04-09-007528-a</t>
  </si>
  <si>
    <t>https://zakupivli.pro/gov/tenders/ua-2025-04-09-005554-a</t>
  </si>
  <si>
    <t>Прилади для вимірювання величин (основна діяльність):Прилади для вимірювання величин (основна діяльність)</t>
  </si>
  <si>
    <t>https://zakupivli.pro/gov/tenders/ua-2025-04-10-002695-a/lot-b3f191b3dc114ff1aa834120dc268e21</t>
  </si>
  <si>
    <t xml:space="preserve"> Телекомунікаційні кабелі та обладнання</t>
  </si>
  <si>
    <t xml:space="preserve"> Комутатор мережевий</t>
  </si>
  <si>
    <t xml:space="preserve"> Протипожежне, рятувальне та захисне обладнання (основна діяльність):Протипожежне, рятувальне та захисне обладнання (основна діяльність)</t>
  </si>
  <si>
    <t xml:space="preserve"> Будівництво ПЛІ-0,4 кВ Л-2 оп.4-4/4 від КТП-39 для зовнішнього електропостачання житлового будинку гр. Павленко Н. О. по вул. Мира, 59-А в с. Покровське Кропивницького району</t>
  </si>
  <si>
    <t xml:space="preserve">44530000-4 Кріпильні деталі </t>
  </si>
  <si>
    <t xml:space="preserve"> Капітальний ремонт і реставрація</t>
  </si>
  <si>
    <t xml:space="preserve"> Будівництво ПЛІ-0,4кВ від ТП-431  в с. Високі Байраки для зовнішнього електропостачання абонентської станції мобільного зв'язку ПрАТ  "ВФ Україна" (Кропивницькі ЕМ)</t>
  </si>
  <si>
    <t xml:space="preserve"> Інші завершальні будівельні роботи</t>
  </si>
  <si>
    <t xml:space="preserve">34310000-3 Двигуни та їх частини </t>
  </si>
  <si>
    <t xml:space="preserve"> Впровадження програмного комплексу "АСТОР 8" (пункт 4.3 проекту Інвестиційної Програми 2025)</t>
  </si>
  <si>
    <t xml:space="preserve"> Відновлення асфальтобетонного покриття після ремонту КЛ 0,4-10 кВ</t>
  </si>
  <si>
    <t xml:space="preserve">31440000-2 Акумуляторні батареї </t>
  </si>
  <si>
    <t xml:space="preserve"> Частини до аудіо-та відеообладнання (основна діяльність):Частини до аудіо-та відеообладнання (основна діяльність)</t>
  </si>
  <si>
    <t xml:space="preserve">38550000-5 Лічильники </t>
  </si>
  <si>
    <t xml:space="preserve">31220000-4 Елементи електричних схем </t>
  </si>
  <si>
    <t xml:space="preserve">31170000-8 Трансформатори </t>
  </si>
  <si>
    <t xml:space="preserve"> Ремонт приладів захисту від ОЗЗ на землю "АЛЬТРА" ПС 150/35/10 кВ "Південно-Східна"</t>
  </si>
  <si>
    <t>Двері металопластикові, двері металеві, вікна металопластикові (Ремонтна програма)</t>
  </si>
  <si>
    <t>https://zakupivli.pro/gov/tenders/ua-2025-04-14-002092-a</t>
  </si>
  <si>
    <t>Автоматичні вимикачі (приєднання, ремонтна програма):Автоматичні вимикачі (приєднання, ремонтна програма)</t>
  </si>
  <si>
    <t xml:space="preserve">Реконструкція АСДУ Кіровоградського міського РЕМ (6 ПС-35кВ, 5 ПС-150кВ, 14 ЦРП) (перехідний захід 2025-2026) (пункт 3.3 Інвестиційної Програми 2025)
:Реконструкція АСДУ Кіровоградського міського РЕМ (6 ПС-35кВ, 5 ПС-150кВ, 14 ЦРП) (перехідний захід 2025-2026) (пункт 3.3 Інвестиційної Програми 2025)
</t>
  </si>
  <si>
    <t>Ремонтна програма, заходи з приєднання</t>
  </si>
  <si>
    <t>https://zakupivli.pro/gov/tenders/ua-2025-04-15-012874-a/lot-037bfe7693d2404097b959e850de27f4</t>
  </si>
  <si>
    <t>https://zakupivli.pro/gov/tenders/ua-2025-04-15-012229-a/lot-6b3747526fcb4336a7a087d1d3302ae7</t>
  </si>
  <si>
    <t>https://zakupivli.pro/gov/tenders/ua-2025-04-15-002650-a</t>
  </si>
  <si>
    <t>Будівництво 2КТПММ-840 в м. Кропивницький для зовнішнього електропостачання багатоквартирного житлового будинку ТОВ "СУЗІР'Я СКАЙ" вул. Степана Чобану, 2-А (із використанням матеріалів підрядника) (приєднання):Будівництво 2КТПММ-840 в м. Кропивницький для зовнішнього електропостачання багатоквартирного житлового будинку ТОВ "СУЗІР'Я СКАЙ" вул. Степана Чобану, 2-А (із використанням матеріалів підрядника) (приєднання)</t>
  </si>
  <si>
    <t>https://zakupivli.pro/gov/tenders/ua-2025-04-17-000408-a/lot-19cd55c591204a4d97054bc0f733b073</t>
  </si>
  <si>
    <t>Технічне переоснащення ЗТП-29 в м. Кропивницький для зовнішнього електропостачання нежитлового приміщення  ТОВ "СОКОЛІВСЬКИЙ М'ЯСОКОМБІНАТ" по вул. Шульгіних 39/4</t>
  </si>
  <si>
    <t>https://zakupivli.pro/gov/tenders/ua-2025-04-17-010179-a</t>
  </si>
  <si>
    <t>https://zakupivli.pro/gov/tenders/ua-2025-04-18-008450-a/lot-e218fb7fa3bb4b34b9c47b7be8f9531c</t>
  </si>
  <si>
    <t>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2025):Реконструкція кабельної вставки ПЛ-10кВ Л-120 від ПС-1503510кВ “Новоукраїнська” між оп. №351 - №361 (кабельна вставка під залізницею) в м. Новоукраїнка (Новоукраїнські ЕМ) (пункт 1.2.3.1.3 Інвестиційної Програми 2025)</t>
  </si>
  <si>
    <t>https://zakupivli.pro/gov/tenders/ua-2025-04-18-008599-a/lot-d1930e606bf14e32bb19439d60d5eb4c</t>
  </si>
  <si>
    <t>https://zakupivli.pro/gov/tenders/ua-2025-04-23-000184-a</t>
  </si>
  <si>
    <t>Капітальний ремонт будівлі РВБ та гаражу на 8 боксів (приміщення ГРЕ) Добровеличківського ЕМ по вул. Європейська, 2а, смт Добровеличківка, Кіровоградської обл. (ремонтна програма)</t>
  </si>
  <si>
    <t xml:space="preserve"> Апаратура для запису та відтворення аудіо- та відеоматеріалу (основна діяльність):Апаратура для запису та відтворення аудіо- та відеоматеріалу (основна діяльність)</t>
  </si>
  <si>
    <t xml:space="preserve">39540000-9 Вироби різні з канату, мотузки, шпагату та сітки </t>
  </si>
  <si>
    <t xml:space="preserve"> Будівництво ПЛІ-0,4 кВ від ЩТП-50/В в сел. Вільшанка Голованівського району Кіровоградської області</t>
  </si>
  <si>
    <t>Будівництво ПЛІ-0,4 кВ Л-20 ТП-756 оп.№18-33 в м. Кропивницький для зовнішнього електропостачання житлового будинку гр. Животова С.М. по вул. Степова, буд. 16 в с-ще Нове</t>
  </si>
  <si>
    <t>Будівництво ПЛІ-0,4 кВ від КТП-78 в сел.Петрове для електропостачання ж/б з будівельним майданчиком гр.Солодовнікова Г.О.</t>
  </si>
  <si>
    <t>https://zakupivli.pro/gov/tenders/ua-2025-04-30-002643-a</t>
  </si>
  <si>
    <t>https://zakupivli.pro/gov/tenders/ua-2025-04-30-002296-a</t>
  </si>
  <si>
    <t>Телекомунікаційні кабелі та обладнання</t>
  </si>
  <si>
    <t>https://zakupivli.pro/gov/tenders/ua-2025-05-01-001961-a</t>
  </si>
  <si>
    <t>Будівництво ПЛ-6 кВ від оп.№9 ПЛ-6 кВ Ф-605 для зовнішнього електропостачання будівлі профілакторію №2 ФОП Рудич Л.М., вул. Городоцька, буд. 77, м. Світловодськ</t>
  </si>
  <si>
    <t>https://zakupivli.pro/gov/tenders/ua-2025-05-02-003008-a</t>
  </si>
  <si>
    <t xml:space="preserve">45450000-6 Інші завершальні будівельні роботи </t>
  </si>
  <si>
    <t xml:space="preserve"> Вироби різні з канату, мотузки, шпагату та сітки (основна діяльність):Вироби різні з канату, мотузки, шпагату та сітки (основна діяльність)</t>
  </si>
  <si>
    <t xml:space="preserve"> Капітальний ремонт реєстраторів аварійних подій "РЕКОН-07БС"</t>
  </si>
  <si>
    <t xml:space="preserve"> Будівництво ЩТП-74 в с.Тарасівка Бобринецьких ЕМ для зовнішнього електропостачання житлового будинку Романюк Н.В.</t>
  </si>
  <si>
    <t xml:space="preserve"> Будівництво ПЛЗ-10 кВ Л-89 до ЩТП-384 в с. Новопетрівка Кропивницьких ЕМ для зовнішнього електропостачання нежитлової будівлі з будівельним майданчиком гр. Смоляр А. М.</t>
  </si>
  <si>
    <t xml:space="preserve"> Світильники та освітлювальна арматура (основна діяльність):Світильники та освітлювальна арматура (основна діяльність)</t>
  </si>
  <si>
    <t xml:space="preserve"> Мастики, шпаклівки, замазки та розчинники (або еквівалент) (основна діяльність):Мастики, шпаклівки, замазки та розчинники (або еквівалент) (основна діяльність)</t>
  </si>
  <si>
    <t xml:space="preserve">44520000-1 Замки, ключі та петлі </t>
  </si>
  <si>
    <t xml:space="preserve"> Телекомунікаційні кабелі та обладнання (основна діяльність):Телекомунікаційні кабелі та обладнання (основна діяльність)</t>
  </si>
  <si>
    <t xml:space="preserve"> Електрична апаратура для комутування та захисту електричних кіл (основна діяльність):ЛОТ4</t>
  </si>
  <si>
    <t xml:space="preserve"> Електрична апаратура для комутування та захисту електричних кіл (основна діяльність):ЛОТ1</t>
  </si>
  <si>
    <t xml:space="preserve">44210000-5 Конструкції та їх частини </t>
  </si>
  <si>
    <t xml:space="preserve">45453000-7 Капітальний ремонт і реставрація </t>
  </si>
  <si>
    <t xml:space="preserve"> Капітальний ремонт адміністративної будівлі м. Мала Виска по Новомиргородському шосе, 3, Маловисковські ЕМ  (роздягальня)</t>
  </si>
  <si>
    <t xml:space="preserve"> Технічне переоснащення лінійних комірки №18 1СШ-6кВ ЦРП-7 та комірки №14 2СШ-6кВ ЦРП-7 в м.Кропивницький для зовнішнього електропостачання багатоквартирного житлового будинку ТОВ"СУЗІР'Я СКАЙ"  вул. Степана Чобану, 2-А</t>
  </si>
  <si>
    <t xml:space="preserve"> Відеокамери та відеореєстратори (основна діяльність).:Відеокамери та відеореєстратори (основна діяльність).</t>
  </si>
  <si>
    <t xml:space="preserve">32550000-3 Телефонне обладнання </t>
  </si>
  <si>
    <t xml:space="preserve">24910000-6 Клеї </t>
  </si>
  <si>
    <t xml:space="preserve"> Шини для транспортних засобів (Основна діяльність)
:Шини для транспортних засобів (Основна діяльність)</t>
  </si>
  <si>
    <t>Капітальний ремонт будівлі сервісного центру ( ремонт системи пожежогасіння В2, паркінг ) по вул. Велика Перспективна, 78 м. Кропивницький.</t>
  </si>
  <si>
    <t>Капітальний ремонт будівлі сервісного центру ( ремонт системи подачі води В1, встановлення додаткових засувок ) по вул. Велика Перспективна, 78 м. Кропивницький</t>
  </si>
  <si>
    <t>Капітальний ремонт будівлі ЗТП-1221 по вул.Свердлова, смт. Пантаївка, Олександрійського р-ну,  Кіровоградської обл.  (Улаштування покрівлі з металопрофілю, вимощення)</t>
  </si>
  <si>
    <t>Капітальний  ремонт будівлі ЗТП-1116 по вул. Нагорна, м. Олександрія, Кіровоградської обл. (Улаштування покрівлі з металопрофілю, вимощення). Ремонтні роботи</t>
  </si>
  <si>
    <t>Капітальний ремонт будівлі ЗТП-1222 по вул. Шкільна, смт Пантаївка, Олександрійського р-ну,  Кіровоградської обл. (Улаштування покрівлі з металопрофілю, вимощення) Ремонтні роботи</t>
  </si>
  <si>
    <t>Капітальний  ремонт будівлі ЗТП-1117 по вул. 8-го Березня, м. Олександрія, Кіровоградської обл. (Улаштування покрівлі з металопрофілю, вимощення). Ремонтні роботи.</t>
  </si>
  <si>
    <t>Капітальний  ремонт будівлі ЗТП-1122 по вул. Говорова, м. Олександрія, Кіровоградської обл. (Улаштування покрівлі з металопрофілю, вимощення). Ремонтні роботи.</t>
  </si>
  <si>
    <t>Технічне переоснащення ПЛ-0,4 кВ від КТП-78 в с. Обознівка Кропивницьких ЕМ для зовнішнього електропостачання житлового будинку гр. Довгокер І.М. по вул. Світанкова, буд. 35</t>
  </si>
  <si>
    <t>Будівництво ПЛ, ПЛІ-0,4 кВ Л-1, Л-4 від КТП-78 в с. Обознівка Кропивницьких ЕМ для зовнішнього електропостачання житлового будинку гр. Довгокер І.М. по вул. Світанкова, буд. 35</t>
  </si>
  <si>
    <t>https://zakupivli.pro/gov/tenders/ua-2025-05-06-012412-a</t>
  </si>
  <si>
    <t>https://zakupivli.pro/gov/tenders/ua-2025-05-06-012147-a</t>
  </si>
  <si>
    <t>https://zakupivli.pro/gov/tenders/ua-2025-05-06-011060-a</t>
  </si>
  <si>
    <t>https://zakupivli.pro/gov/tenders/ua-2025-05-06-010641-a</t>
  </si>
  <si>
    <t>https://zakupivli.pro/gov/tenders/ua-2025-05-06-010317-a</t>
  </si>
  <si>
    <t>https://zakupivli.pro/gov/tenders/ua-2025-05-06-009792-a</t>
  </si>
  <si>
    <t>https://zakupivli.pro/gov/tenders/ua-2025-05-06-009789-a</t>
  </si>
  <si>
    <t>https://zakupivli.pro/gov/tenders/ua-2025-05-06-008012-a</t>
  </si>
  <si>
    <t>https://zakupivli.pro/gov/tenders/ua-2025-05-06-007587-a</t>
  </si>
  <si>
    <t>Капітальний ремонт лінійного посту, контори Петрівськіх ЕМ за адресою с.Петрове, вул.Святкова, 57 (аварійне підсилення несучих конструкцій)</t>
  </si>
  <si>
    <t>https://zakupivli.pro/gov/tenders/ua-2025-05-07-007781-a</t>
  </si>
  <si>
    <t>Будівництво ЩТП-144 в с.Новий Стародуб для зовнішнього електропостачання ж/б Ціціми О.М(приєднання)</t>
  </si>
  <si>
    <t>Реконструкція ПЛ-0,4 кВ Л-3 КТП-147 в с.Новий Стародуб для зовнішнього електропостачання ж/б Ціціми О.М.</t>
  </si>
  <si>
    <t>Будівництво ПЛ-10 кВ Л-132 в с.Новий Стародуб для зовнішнього електропостачання ж/б Ціціми О.М.</t>
  </si>
  <si>
    <t>Реконструкція ПЛ-0,4кВ від КТП-438 в м. Кропивницький для зовнішнього електропостачання житлового будинку гр. Мартишевської П.О. по вул. Лицарів зимового походу, 12</t>
  </si>
  <si>
    <t>https://zakupivli.pro/gov/tenders/ua-2025-05-08-001478-a</t>
  </si>
  <si>
    <t>https://zakupivli.pro/gov/tenders/ua-2025-05-08-001289-a</t>
  </si>
  <si>
    <t>https://zakupivli.pro/gov/tenders/ua-2025-05-08-001179-a</t>
  </si>
  <si>
    <t>https://zakupivli.pro/gov/tenders/ua-2025-05-08-001145-a</t>
  </si>
  <si>
    <t xml:space="preserve">31530000-0 Частини до світильників та освітлювального обладнання </t>
  </si>
  <si>
    <t xml:space="preserve">50110000-9 Послуги з ремонту і технічного обслуговування мототранспортних засобів і супутнього обладнання </t>
  </si>
  <si>
    <t xml:space="preserve"> Будівництво ПЛІ-0,4кВ Л-4 від оп.№1 КТП-1308 на території Звенигородської с/р Олександрійських ЕМ для зовнішнього електропостачання комплексу будівель з будівельним майданчиком Бірюкової К.А.</t>
  </si>
  <si>
    <t xml:space="preserve"> Будівництво ПЛ, ПЛІ-0,4кВ Л-1,Л-4 від КТП-1308 на території Звенигородської с/р Олександрійських ЕМ для зовнішнього електропостачання комплексу будівель з будівельним майданчиком Бірюкової К.А.</t>
  </si>
  <si>
    <t>Капітальний ремонт: Розчистка трас охоронної зони на ділянках повітряної лінії 10 кВ Л-153 Олександрійський район Кіровоградська область</t>
  </si>
  <si>
    <t>https://zakupivli.pro/gov/tenders/ua-2025-05-09-011607-a</t>
  </si>
  <si>
    <t>Будівництво ПЛІ-0,4кВ Л-1 від ЩТП-14 в с. Аджамка для зовнішнього електропостачання житлового будинку гр. Маленко О.О. по вул. Шевченка, 24 Кропивницького району(Приєднання)</t>
  </si>
  <si>
    <t>Будівництво ЩТП-14 в с. Аджамка для зовнішнього електропостачання житлового будинку гр. Маленко О.О. по вул. Шевченка, 24 Кропивницького району</t>
  </si>
  <si>
    <t>Будівництво ПЛІ-0,4 кВ ТП-209 Л-19 оп.№1-14/1  для зовнішнього електропостачання житлового будинку гр. Жиминюк Л.О. по вул. Юрія Краснокутського, буд. 1-И в м. Кропивницький</t>
  </si>
  <si>
    <t>https://zakupivli.pro/gov/tenders/ua-2025-05-12-011976-a</t>
  </si>
  <si>
    <t>https://zakupivli.pro/gov/tenders/ua-2025-05-12-011885-a</t>
  </si>
  <si>
    <t>https://zakupivli.pro/gov/tenders/ua-2025-05-12-008899-a</t>
  </si>
  <si>
    <t>Замки, ключі та петлі (основна діяльність):ЛОТ 1</t>
  </si>
  <si>
    <t>Замки, ключі та петлі (основна діяльність):ЛОТ 2</t>
  </si>
  <si>
    <t>https://zakupivli.pro/gov/tenders/ua-2025-05-13-002429-a/lot-0a149ea944924aba91b2f8156e2dd006</t>
  </si>
  <si>
    <t>https://zakupivli.pro/gov/tenders/ua-2025-05-13-002429-a/lot-58b8102ff3034429b3bc418a46aaca85</t>
  </si>
  <si>
    <t xml:space="preserve">Будівництво ПЛІ-0,4кВ Л-9 оп.2-14 ТП-542 в м. Кропивницький для зовнішнього електропостачання комплексу будівель ТОВ "Магазин №117 Лелеківський" по вул. Холодноярська, буд. 198 (приєднання) </t>
  </si>
  <si>
    <t>Будівництво KJI-0,4 кB Л-8 TП-532 для зовнішнього електропостачання мийки самообслуговування ТОВ "АВТОМИЙСАМЦЕНТР" по просп. Інженерів, 21 в м. Кропивницький</t>
  </si>
  <si>
    <t>Реконструкція ЗТП-532 для зовнішнього електропостачання мийки самообслуговування ТОВ "АВТОМИЙСАМЦЕНТР" по просп. Інженерів, 21 в м. Кропивницький</t>
  </si>
  <si>
    <t>https://zakupivli.pro/gov/tenders/ua-2025-05-16-000275-a</t>
  </si>
  <si>
    <t>https://zakupivli.pro/gov/tenders/ua-2025-05-16-000256-a</t>
  </si>
  <si>
    <t>https://zakupivli.pro/gov/tenders/ua-2025-05-16-000205-a</t>
  </si>
  <si>
    <t>Капітальний ремонт будівлі адміністративної (заміна віконних склопакетів диспетчерського пункту ОДС, каб.213) за адресою вул. Андріївська, 84, м. Кропивницький (Ремонтна програма)</t>
  </si>
  <si>
    <t>https://zakupivli.pro/gov/tenders/ua-2025-05-19-012608-a</t>
  </si>
  <si>
    <t>Блок стабілізатора АВР СТ (ремонтна програма):Блок стабілізатора АВР СТ (ремонтна програма)</t>
  </si>
  <si>
    <t>Будівництво ПЛЗ-10 кВ Л-89 до ЩТП-380 для зовнішнього електропостачання житлового будинку гр. Осадча Н.Г. по вул. Кавказька, буд. 14 в с. Черняхівка Кропивницького району</t>
  </si>
  <si>
    <t>Будівництво ЩТП-380 для зовнішнього електропостачання житлового будинку гр. Осадча Н.Г. по вул. Кавказька, буд. 14 в с. Черняхівка Кропивницького району( приєднання)</t>
  </si>
  <si>
    <t>https://zakupivli.pro/gov/tenders/ua-2025-05-20-009372-a/lot-a2407ef306b440eb8a6028369464803b</t>
  </si>
  <si>
    <t>https://zakupivli.pro/gov/tenders/ua-2025-05-20-001567-a</t>
  </si>
  <si>
    <t>https://zakupivli.pro/gov/tenders/ua-2025-05-20-001540-a</t>
  </si>
  <si>
    <t>Мережеве обладнання (основна діяльність):Мережеве обладнання (основна діяльність)</t>
  </si>
  <si>
    <t>https://zakupivli.pro/gov/tenders/ua-2025-05-21-010260-a/lot-f9a5b4b4f14c40dca57b09386b3c8ffe</t>
  </si>
  <si>
    <t>Будівництво ПЛЗ-10кВ Л-1 оп.113, 113/1-113/4  в с. Соколівське для зовнішнього електропостачання нежитлового приміщення гр. Кириченка П.О. кад.№3522587200:02:000:5142 (приєднання)</t>
  </si>
  <si>
    <t>https://zakupivli.pro/gov/tenders/ua-2025-05-22-003797-a</t>
  </si>
  <si>
    <t>Будівництво ПЛІ-0,4 кВ від КТП-423 в м.Новоукраїнка для зовнішнього електропостачання абонентської станції мобільного зв’язку ПрАТ «Київстар» по вул.Зразкова (Комарова),1а</t>
  </si>
  <si>
    <t>https://zakupivli.pro/gov/tenders/ua-2025-05-23-009263-a</t>
  </si>
  <si>
    <t>Ремонт КПП трактора Т-150 (ремонтна програма)</t>
  </si>
  <si>
    <t>https://zakupivli.pro/gov/tenders/ua-2025-05-26-004827-a</t>
  </si>
  <si>
    <t xml:space="preserve">Технічне переоснащення комірки №13 ПС «Капустино ХПП»-35/10 кВ для зовнішнього електропостачання СЕС "ФЕНІКС 1" ТОВ "ФЕНІКС СОЛАР" кад.№3523181600:02:001:0895 в с. Злинка Новоукраїнського району (Маловисківські ЕМ) (приєднання) </t>
  </si>
  <si>
    <t>Технічне переоснащення комірки №2 ПС «Капустино ХПП»-35/10 кВ для зовнішнього електропостачання СЕС "ФЕНІКС 1" ТОВ "ФЕНІКС СОЛАР" кад.№3523181600:02:001:0895 в с. Злинка Новоукраїнського району (Маловисківські ЕМ) (приєднання)</t>
  </si>
  <si>
    <t>https://zakupivli.pro/gov/tenders/ua-2025-05-27-003751-a</t>
  </si>
  <si>
    <t>https://zakupivli.pro/gov/tenders/ua-2025-05-27-001919-a</t>
  </si>
  <si>
    <t>Аварійний ремонт пошкодженої ділянки кабельного виходу 35 кВ Л-720 на ПС 35/10 кВ "Краснохутірська ГЕС" в с. Синюха, Голованівського району Кіровоградської області (ремонтна програма)</t>
  </si>
  <si>
    <t>https://zakupivli.pro/gov/tenders/ua-2025-05-27-012930-a</t>
  </si>
  <si>
    <t xml:space="preserve"> Ремонтно-відновлювальні роботи енергооб’єктів 0,4 кВ в аварійних ситуаціях</t>
  </si>
  <si>
    <t xml:space="preserve"> Ремонтно-відновлювальні роботи енергооб’єктів 6-10 кВ в аварійних ситуаціях</t>
  </si>
  <si>
    <t xml:space="preserve">44310000-6 Вироби з дроту </t>
  </si>
  <si>
    <t xml:space="preserve"> Вироби з дроту (або еквівалент) (основна діяльність):ЛОТ 1</t>
  </si>
  <si>
    <t xml:space="preserve"> Роботи по капітальному ремонту на ПС 150/35/6кВ Сільмаш-1 в частині заміни моторного приводу РПН силового трансформатора 1Т типу ТДТН-25000/150</t>
  </si>
  <si>
    <t xml:space="preserve"> Реконструкція РУ-0,4 кВ КТП-820 для  зовнішнього електропостачання житлового будинку з об’єктами торгово-розважальної та ринкової інфраструктури в м. Кропивницький вул. Андріївська, 2а</t>
  </si>
  <si>
    <t xml:space="preserve"> Трансформатори (або еквівалент) (основна діяльність):ЛОТ 1</t>
  </si>
  <si>
    <t xml:space="preserve">31430000-9 Електричні акумулятори </t>
  </si>
  <si>
    <t xml:space="preserve"> Системи керування та контролю, друкарське і графічне обладнання та обладнання для автоматизації офісу й обробки інформації (основна діяльність):Системи керування та контролю, друкарське і графічне обладнання та обладнання для автоматизації офісу й обробки інформації (основна діяльність)</t>
  </si>
  <si>
    <t xml:space="preserve"> Фарби (основна діяльність):Фарби (основна діяльність)</t>
  </si>
  <si>
    <t xml:space="preserve"> Реконструкція трьох КЛ-6кВ Ф-2Т - ТП-305, Ф-9Т - ЦРП-6, Ф-13Т - ЦРП-6 в м. Кропивницький Кропивницького району Кіровоградської області (Кіровоградський МРЕМ) (пункт 1.2.3.1.1 Інвестиційної Програми 2025).:Реконструкція трьох КЛ-6кВ Ф-2Т - ТП-305, Ф-9Т - ЦРП-6, Ф-13Т - ЦРП-6 в м. Кропивницький Кропивницького району Кіровоградської області (Кіровоградський МРЕМ) (пункт 1.2.3.1.1 Інвестиційної Програми 2025).</t>
  </si>
  <si>
    <t xml:space="preserve"> Реконструкція ПЛ-0,4кВ від КТП-1417 в м. Олександрія Кіровоградської області (Олександрійські ЕМ) (пункт 1.2.4.1.6 Інвестиційної Програми 2025):Реконструкція ПЛ-0,4кВ від КТП-1417 в м. Олександрія Кіровоградської області (Олександрійські ЕМ) (пункт 1.2.4.1.6 Інвестиційної Програми 2025)</t>
  </si>
  <si>
    <t xml:space="preserve"> Реконструкція ПС-35кВ "Велика Виска" в частині заміни масляних вимикачів 35кВ в комплекті з пристроями РЗА в с. Велика Виска, Новоукраїнського району, Кіровоградської області (пункт 1.4.2.1. Інвестиційної Програми 2025):Реконструкція ПС-35кВ "Велика Виска" в частині заміни масляних вимикачів 35кВ в комплекті з пристроями РЗА в с. Велика Виска, Новоукраїнського району, Кіровоградської області (пункт 1.4.2.1. Інвестиційної Програми 2025)</t>
  </si>
  <si>
    <t xml:space="preserve"> Реконструкція ПЛ-0,4кВ від ЗТП-1084 в м. Олександрія Кіровоградської області (Олександрійські ЕМ) (пункт 1.2.4.1.3 Інвестиційної Програми 2025):Реконструкція ПЛ-0,4кВ від ЗТП-1084 в м. Олександрія Кіровоградської області (Олександрійські ЕМ) (пункт 1.2.4.1.3 Інвестиційної Програми 2025)</t>
  </si>
  <si>
    <t xml:space="preserve"> Баласти для розрядних ламп чи трубок</t>
  </si>
  <si>
    <t xml:space="preserve"> Абразивні вироби (основна діяльність):Абразивні вироби (основна діяльність)</t>
  </si>
  <si>
    <t xml:space="preserve"> Технічне переоснащення МТП-724 для зовнішнього електропостачання житлового будинку гр. Горбатовська І. Л. по пров. Курінний, буд. 11 в м. Кропивницький</t>
  </si>
  <si>
    <t xml:space="preserve"> Елементи електричних схем ЛОТ №1,2 (основна діяльність):ЛОТ2</t>
  </si>
  <si>
    <t xml:space="preserve"> Елементи електричних схем ЛОТ №1,2 (основна діяльність):ЛОТ1</t>
  </si>
  <si>
    <t xml:space="preserve"> Послуги з післягарантійного або негарантійного ремонту приладів обліку електричної енергії</t>
  </si>
  <si>
    <t xml:space="preserve"> Електричне приладдя та супутні товари до електричного обладнання (приєднання):Електричне приладдя та супутні товари до електричного обладнання (приєднання)</t>
  </si>
  <si>
    <t xml:space="preserve"> Основні неорганічні хімічні речовини (основна діяльність):Основні неорганічні хімічні речовини (основна діяльність)</t>
  </si>
  <si>
    <t xml:space="preserve">50410000-2 Послуги з ремонту і технічного обслуговування вимірювальних, випробувальних і контрольних приладів </t>
  </si>
  <si>
    <t xml:space="preserve">09210000-4 Мастильні засоби </t>
  </si>
  <si>
    <t xml:space="preserve"> Шафа КТПС 160 кВА (зовнішне електропостачання житлового будинку, гр. Руденко С.В. в с. Липовеньке, Голованівського р-ну)</t>
  </si>
  <si>
    <t xml:space="preserve">42960000-3 Системи керування та контролю, друкарське і графічне обладнання та обладнання для автоматизації офісу й обробки інформації </t>
  </si>
  <si>
    <t xml:space="preserve">44110000-4 Конструкційні матеріали </t>
  </si>
  <si>
    <t xml:space="preserve"> Конструкційні матеріали (або еквівалент) (основна діяльність):ЛОТ 1</t>
  </si>
  <si>
    <t xml:space="preserve">19510000-4 Гумові вироби </t>
  </si>
  <si>
    <t xml:space="preserve"> Шафа КТП-400/10/0,4 У1 (або еквівалент) (приєднання):Шафа КТП-400/10/0,4 У1 (або еквівалент) (приєднання)</t>
  </si>
  <si>
    <t xml:space="preserve">31710000-6 Електронне обладнання </t>
  </si>
  <si>
    <t xml:space="preserve"> Електронне обладнання (або еквівалент) (основна діяльність):ЛОТ 1</t>
  </si>
  <si>
    <t xml:space="preserve"> Лічильники (основна діяльність):Лічильники (основна діяльність)</t>
  </si>
  <si>
    <t xml:space="preserve"> Технічне переоснащення ПЛ-0,4 кВ оп.10-22 до 26/1 Л-1 від КТП-381 для зовнішнього електропостачання житлового будинку гр. Шатайло М. В. по вул. Лугова, буд. 1в в с. Соколівське Кропивницького району</t>
  </si>
  <si>
    <t xml:space="preserve"> Будівництво КЛ-0,4 А-21 ЗТП-299 в м. Кропивницький для зовнішнього електропостачання житлового будинку гр. Гордієнко В.В. по вул. Михайлівська, буд. 30/37</t>
  </si>
  <si>
    <t xml:space="preserve"> Будівництво ПЛІ-0,4 кВ Л-9 оп.№9 ТП-12  для зовнішнього електропостачання абонентської станції мобільного зв’язку ПрАТ «Київстар» по вул. Соборна, буд.4 в м. Кропивницький</t>
  </si>
  <si>
    <t xml:space="preserve"> Телеметричне та термінальне обладнання (основна діяльність):Телеметричне та термінальне обладнання (основна діяльність)</t>
  </si>
  <si>
    <t xml:space="preserve"> Спеціалізована хімічна продукція (основна діяльність):Спеціалізована хімічна продукція (основна діяльність)</t>
  </si>
  <si>
    <t xml:space="preserve"> Будівництво  КЛ-10кВ Ф13БЛ-ТП 836 в м. Кропивницький для зовнішнього електропостачання комплексу будівель гр. Бєліченко О.О. по вул. Промислова, 10/8</t>
  </si>
  <si>
    <t xml:space="preserve"> Елементи електричних схем ЛОТ №1-2 (основна діяльність):ЛОТ2</t>
  </si>
  <si>
    <t>Ремонт привода елегазового вимикача С-1 типу LTB-170 на ПС 150/35/10 кВ "Бобринець"</t>
  </si>
  <si>
    <t>Будівництво КЛ-10 кВ ком.№13 – оп.№1 (Л-165) ПС «Капустино ХПП»-35/10 кВ для зовнішнього електропостачання СЕС "ФЕНІКС 2" ТОВ "ФЕНІКС СОЛАР" кад.№3523181600:02:001:0896 в с. Злинка Новоукраїнського району (Маловисківські ЕМ) (приєднання)</t>
  </si>
  <si>
    <t xml:space="preserve">Будівництво КЛ-10 кВ ком.№2 – оп.№1 (Л-161) ПС «Капустино ХПП»-35/10 кВ для зовнішнього електропостачання СЕС "ФЕНІКС 2" ТОВ "ФЕНІКС СОЛАР" кад.№3523181600:02:001:0896 в с. Злинка Новоукраїнського району (Маловисківські ЕМ)(приєднання) </t>
  </si>
  <si>
    <t>Будівництво ПЛ-10 кВ оп.№58/7 Л-165 ПС «Капустино ХПП»-35/10 кВ для зовнішнього електропостачання СЕС "ФЕНІКС 2" ТОВ "ФЕНІКС СОЛАР" кад.№3523181600:02:001:0896 в с. Злинка Новоукраїнського району (Маловисківські ЕМ) (приєднання)</t>
  </si>
  <si>
    <t>https://zakupivli.pro/gov/tenders/ua-2025-05-30-006154-a</t>
  </si>
  <si>
    <t>https://zakupivli.pro/gov/tenders/ua-2025-05-30-000908-a</t>
  </si>
  <si>
    <t>https://zakupivli.pro/gov/tenders/ua-2025-05-30-000828-a</t>
  </si>
  <si>
    <t>https://zakupivli.pro/gov/tenders/ua-2025-05-30-000803-a</t>
  </si>
  <si>
    <t>Капітальний  ремонт будівлі ЗТП-1420 по пр. Будівельників, м.Олександрія, Кіровоградської обл.(Улаштування покрівлі з металопрофілю). Ремонтна програма.</t>
  </si>
  <si>
    <t>Капітальний  ремонт будівлі ЗТП-1208 по вул. Трудових резервів, смт. Димитрово, Олександрійського р-ну, Кіровоградської обл.(Улаштування покрівлі з металопрофілю, вимощення, мет. ворота). Ремонтні роботи.</t>
  </si>
  <si>
    <t>https://zakupivli.pro/gov/tenders/ua-2025-06-03-009863-a</t>
  </si>
  <si>
    <t>https://zakupivli.pro/gov/tenders/ua-2025-06-03-009568-a</t>
  </si>
  <si>
    <t>Муфти кабельні (приєднання)</t>
  </si>
  <si>
    <t>https://zakupivli.pro/gov/tenders/ua-2025-06-04-003192-a</t>
  </si>
  <si>
    <t>Капітальний ремонт будівлі ЗТП-220 по вул.Районний Бульвар 65-п, м.Кропивницький (Улаштування покрівлі з металопрофілю, мет.двері, вимощення) (ремонтна програма)</t>
  </si>
  <si>
    <t>https://zakupivli.pro/gov/tenders/ua-2025-06-04-001086-a</t>
  </si>
  <si>
    <t>Реконструкція ЗТП - 345  для зовнішнього електропостачання відділу комп’ютерної томографії КНП "Центральна міська лікарня" Міської ради міста Кропивницький", УКБ Кропивницької міської ради по вул. Салганні піски, буд.14 в м. Кропивницький (приєднання)</t>
  </si>
  <si>
    <t xml:space="preserve">Будівництво ПЛ,ПЛІ-0,4 кВ Л-4 КТП-114 в с.Грушка Благовіщенських ЕМ для зовнішнього електропостачання житлового будинку гр. Лебедин В.В. по вул. Центральна, 156 (приєднання) </t>
  </si>
  <si>
    <t>Будівництво ПЛ,ПЛІ-10-0,4 кВ Л-123 Л-1,2 КТП-426 в с.Великі Трояни Благовіщенських ЕМ для зовнішнього електропостачання 23/100 частини складу гр. Бирлівської Г.С. по пров. Степовий, 5-а Благовіщенські ЕМ (приєднання)</t>
  </si>
  <si>
    <t>Реконструкція ПЛ-0,4кВ Л-1 КТП-448 для зовнішнього електропостачання житлового будинку гр. Проданчук Т.В.  в с. Вільхове, вул. Сонячна, 65 Благовіщенські ЕМ (приєднання)</t>
  </si>
  <si>
    <t>https://zakupivli.pro/gov/tenders/ua-2025-06-05-004619-a</t>
  </si>
  <si>
    <t>https://zakupivli.pro/gov/tenders/ua-2025-06-05-002438-a</t>
  </si>
  <si>
    <t>https://zakupivli.pro/gov/tenders/ua-2025-06-05-002216-a</t>
  </si>
  <si>
    <t>https://zakupivli.pro/gov/tenders/ua-2025-06-05-002120-a</t>
  </si>
  <si>
    <t>Будівництво ПЛ,ПЛІ-10-0,4 кВ Л-104, Л-2 КТП-472 в м. Благовіщенське для зовнішнього електропостачання житлового будинку гр. Чорного К.В. по вул. Райдужна, 51 Благовіщенські ЕМ (приєднання)</t>
  </si>
  <si>
    <t>Будівництво ЩТП-428 в м. Благовіщенське для зовнішнього електропостачання житлового будинку гр. Чорного К.В. по вул. Райдужна, 51 Благовіщенські ЕМ (приєднання)</t>
  </si>
  <si>
    <t>https://zakupivli.pro/gov/tenders/ua-2025-06-06-006809-a</t>
  </si>
  <si>
    <t>https://zakupivli.pro/gov/tenders/ua-2025-06-06-006663-a</t>
  </si>
  <si>
    <t xml:space="preserve">Будівництво КЛ-6 кВ оп. №157-№157/1 Ф-18П ПС «Підгайці»  для зовнішнього електропостачання житлового будинку з будівельним майданчиком гр. Побережець А.А. по пров. Виноградний (3510100000:06:047:0089), буд. 17а в м. Кропивницький (приєднання) </t>
  </si>
  <si>
    <t>Будівництво ПЛ-6 кВ оп. №157/1 до ЩТП-843 Ф-18П для зовнішнього електропостачання житлового будинку з будівельним майданчиком гр. Побережець А.А. по пров. Виноградний (3510100000:06:047:0089), буд. 17а в м. Кропивницький (приєднання)</t>
  </si>
  <si>
    <t>Будівництво ЩТП - 843  для зовнішнього електропостачання житлового будинку з будівельним майданчиком гр. Побережець А.А. по пров. Виноградний (3510100000:06:047:0089), буд. 17а в м. Кропивницький (приєднання)</t>
  </si>
  <si>
    <t>Капітальний ремонт будівлі ЗТП-5 по вул.Шевченка 36-п, м.Кропивницький (вимощення, фарбування, металеві двері) (ремонтна програма)</t>
  </si>
  <si>
    <t>Капітальний ремонт будівлі ЗТП-5А по вул.Шевченка 36-п, м.Кропивницький (фасад, металеві двері) (ремонтна програма)</t>
  </si>
  <si>
    <t>Будівництво двох КЛ-10кВ Л-109, Л-104 від ПС 150/35/10кВ "Магнітна" для приєднання електроустановки зберігання енергії ТОВ "ЗНАМЕНСЬКА БЕСС", що знаходиться за адресою, м. Знам'янка, вул. Соборна, Кад.№3510600000:50:231:0010 (приєднання)</t>
  </si>
  <si>
    <t>Технічне переоснащення ПС "ПТО" 150/35/10кВ для приєднання електроустановки зберігання енергії ТОВ "ОЛЕКСАНДРІЙСЬКА БЕСС", що знаходиться за адресою: Кіровоградська область, Олександрійський район, м. Олександрія, шосе Дніпровське, кад.№3510300000:07:230:0003. (із використанням матеріалів підрядника) (приєднання)</t>
  </si>
  <si>
    <t>Технічне переоснащення ПС 150/35/10кВ "Магнітна" для приєднання електроустановки зберігання енергії ТОВ "ЗНАМЕНСЬКА БЕСС", що знаходиться за адресою, м. Знам'янка, вул. Соборна, Кад.№3510600000:50:231:0010. (із використанням матеріалів підрядника) (приєднання)</t>
  </si>
  <si>
    <t>Будівництво двох КЛ-10кВ Л-316, Л-434 від ПС "ПТО" 150/35/10кВ для приєднання електроустановки зберігання енергії ТОВ "ОЛЕКСАНДРІЙСЬКА БЕСС", що знаходиться за адресою, Кіровоградська область, Олександрійський район,  м. Олександрія, шосе Дніпровське, кад. №3510300000:07:230:0003 (приєднання)</t>
  </si>
  <si>
    <t>Технічне переоснащення ПС 150/110/35/10кВ "Новомиргородська" для приєднання електроустановки зберігання енергії ТОВ "НОВОМИРГОРОДСЬКА БЕСС", що знаходиться за адресою, м. Новомиргород (за межами населеного пункту) Кад.номер:3523810100:03:000:0017 (приєднання)</t>
  </si>
  <si>
    <t>Будівництво двох КЛ-10кВ Ф-33Г, Ф47Г від ПС 150/10кВ "Гідросила" для приєднання електроустановки зберігання енергії ТОВ "СМОЛІНСЬКА БЕСС", що знаходиться за адресою: Соколівська сільська рада кад. №3522587200:02:000:0470 (приєднання)</t>
  </si>
  <si>
    <t>Технічне переоснащення ПС 150/10кВ "Гідросила" для приєднання електроустановки зберігання енергії ТОВ "СМОЛІНСЬКА БЕСС", що знаходиться за адресою: Соколівська сільська рада кад. №3522587200:02:000:0470 (із використанням матеріалів підрядника) (приєднання)</t>
  </si>
  <si>
    <t>Нове будівництво двох КЛ-10кВ Л-137, Л-157 видачі потужності електроустановки зберігання енергії ТОВ "НОВОМИРГОРОДСЬКА БЕСС", що знаходиться за адресою Новоукраїнський район, м. Новомиргород (за межами населеного пункту) (із матеріалів та обладнання підрядника) (приєднання)</t>
  </si>
  <si>
    <t>https://zakupivli.pro/gov/tenders/ua-2025-06-12-012234-a/lot-0a0fc49b923f404c943dc4e8936e94dc</t>
  </si>
  <si>
    <t>https://zakupivli.pro/gov/tenders/ua-2025-06-12-011681-a/lot-4f34003fa74d4c5fa982e862baf8a11f</t>
  </si>
  <si>
    <t>https://zakupivli.pro/gov/tenders/ua-2025-06-12-011075-a/lot-977eae71a9824ae8b72230ce316343fa</t>
  </si>
  <si>
    <t>https://zakupivli.pro/gov/tenders/ua-2025-06-12-010920-a/lot-744cd84cdf2d435aafecd57807db16ba</t>
  </si>
  <si>
    <t>https://zakupivli.pro/gov/tenders/ua-2025-06-12-008984-a</t>
  </si>
  <si>
    <t>https://zakupivli.pro/gov/tenders/ua-2025-06-12-008628-a</t>
  </si>
  <si>
    <t>https://zakupivli.pro/gov/tenders/ua-2025-06-12-008425-a</t>
  </si>
  <si>
    <t>https://zakupivli.pro/gov/tenders/ua-2025-06-12-001850-a</t>
  </si>
  <si>
    <t>https://zakupivli.pro/gov/tenders/ua-2025-06-12-001669-a</t>
  </si>
  <si>
    <t>https://zakupivli.pro/gov/tenders/ua-2025-06-12-000344-a/lot-6678744630fd4adaa7ca7fd43269f9a9</t>
  </si>
  <si>
    <t>https://zakupivli.pro/gov/tenders/ua-2025-06-12-000284-a/lot-1e0182cc577d49c9af4f2131102c902f</t>
  </si>
  <si>
    <t>https://zakupivli.pro/gov/tenders/ua-2025-06-12-000279-a/lot-f26ee65b706c4d75a5ba58abf9a1b833</t>
  </si>
  <si>
    <t>https://zakupivli.pro/gov/tenders/ua-2025-06-12-000131-a/lot-0554f39f1e12484bb119715e1c27b2dc</t>
  </si>
  <si>
    <t>Будівництво ПЛІ-0,4 кВ Л-1 оп.1-3-33, оп.64-66 ЩТП-267 в с.Іванівка Новомиргородських ЕМ для зовнішнього електропостачання об'єкту електронних комунікацій ТОВ "ЮНС" кад. №3523886500:53:000:0040 в с. Іванівка Новоукраїнського району (приєднання)</t>
  </si>
  <si>
    <t xml:space="preserve">Будівництво ЩТП-267 в с.Іванівка Новомиргородських ЕМ для зовнішнього електропостачання об'єкту електронних комунікацій ТОВ "ЮНС" кад. №3523886500:53:000:0040 в с. Іванівка Новоукраїнського району (приєднання) </t>
  </si>
  <si>
    <t>Будівництво ПЛ-10 кВ Л-134 оп.248-700-712 в с.Іванівка Новомиргородських ЕМ для зовнішнього електропостачання об'єкту електронних комунікацій ТОВ "ЮНС" кад. №3523886500:53:000:0040 в с. Іванівка Новоукраїнського району (приєднання)</t>
  </si>
  <si>
    <t>Будівництво ПЛ,ПЛІ-0,4 кВ Л-1,Л-3 КТП-606 в с.Калинівка Кропивницьких ЕМ для зовнішнього електропостачання житлового будинку Переверзєва А.В. по вул. Інгульська, 86 (приєднання)</t>
  </si>
  <si>
    <t>https://zakupivli.pro/gov/tenders/ua-2025-06-18-011358-a</t>
  </si>
  <si>
    <t>https://zakupivli.pro/gov/tenders/ua-2025-06-18-011141-a</t>
  </si>
  <si>
    <t>https://zakupivli.pro/gov/tenders/ua-2025-06-18-010961-a</t>
  </si>
  <si>
    <t>https://zakupivli.pro/gov/tenders/ua-2025-06-18-000255-a</t>
  </si>
  <si>
    <t>Реконструкція ЗТП-69А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</si>
  <si>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>Будівництво 2КЛ-0,4 кВ ЗТП-69А Л-8 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</si>
  <si>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>Будівництво 2КЛ-0,4 кВ ЗТП-69 Л-8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</si>
  <si>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 xml:space="preserve">Будівництво КЛ-0,4 кВ ТП-478 А-15 ком.4 для зовнішнього електропостачання стаціонарного відділення зі сховищем КНП "Кіровоградський обласний фтизіопульмонологічний медичний центр Кіровоградської обласної ради" по вул. Любомира Гузара, 1 в м. Кропивницький (приєднання) </t>
  </si>
  <si>
    <t>Реконструкція ЗТП-69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</si>
  <si>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 xml:space="preserve">Реконструкція ЗТП-478 для зовнішнього електропостачання стаціонарного відділення зі сховищем КНП "Кіровоградський обласний фтизіопульмонологічний медичний центр Кіровоградської обласної ради" по вул. Любомира Гузара, 1 в м. Кропивницький (приєднання) </t>
  </si>
  <si>
    <t xml:space="preserve">Будівництво КЛ-0,4 кВ ТП-478 А-14 ком.2 для зовнішнього електропостачання стаціонарного відділення зі сховищем КНП "Кіровоградський обласний фтизіопульмонологічний медичний центр Кіровоградської обласної ради" по вул. Любомира Гузара, 1 в м. Кропивницький (приєднання) </t>
  </si>
  <si>
    <t>https://zakupivli.pro/gov/tenders/ua-2025-06-19-007510-a</t>
  </si>
  <si>
    <t>https://zakupivli.pro/gov/tenders/ua-2025-06-19-007258-a</t>
  </si>
  <si>
    <t>https://zakupivli.pro/gov/tenders/ua-2025-06-19-007122-a</t>
  </si>
  <si>
    <t>https://zakupivli.pro/gov/tenders/ua-2025-06-19-007061-a</t>
  </si>
  <si>
    <t>https://zakupivli.pro/gov/tenders/ua-2025-06-19-007019-a</t>
  </si>
  <si>
    <t>https://zakupivli.pro/gov/tenders/ua-2025-06-19-006954-a</t>
  </si>
  <si>
    <t>https://zakupivli.pro/gov/tenders/ua-2025-06-19-006872-a</t>
  </si>
  <si>
    <t>Капітальний  ремонт будівлі ЗТП-1393 по вул. Самофалова, м. Олександрія, Кіровоградської обл.(Улаштування покрівлі з металопрофілю). Ремонтна програма.</t>
  </si>
  <si>
    <t>Капітальний  ремонт будівлі ЗТП-1040 по пр. Соборному, м. Олександрія, Кіровоградської обл.(Улаштування покрівлі з металопрофілю, вимощення). Ремонтна програма.</t>
  </si>
  <si>
    <t>Будівництво КТП-246 в с-щі Кам'янець Кропивницького району для зовнішнього електропостачання нежитлового приміщення ТОВ "Вересень плюс" по вул. Центральна, буд.4-А (приєднання)</t>
  </si>
  <si>
    <t>Капітальний  ремонт будівлі ЗТП-1181 по пр. Соборний, м. Олександрія, Кіровоградської обл.(Улаштування покрівлі з металопрофілю). Ремонтна програма</t>
  </si>
  <si>
    <t>Капітальний  ремонт будівлі ЗТП-1176 по вул. Семашко, м. Олександрія, Кіровоградської обл.(Улаштування покрівлі з металопрофілю, вимощення). Ремонтна програма</t>
  </si>
  <si>
    <t>https://zakupivli.pro/gov/tenders/ua-2025-06-20-003030-a</t>
  </si>
  <si>
    <t>https://zakupivli.pro/gov/tenders/ua-2025-06-20-002917-a</t>
  </si>
  <si>
    <t>https://zakupivli.pro/gov/tenders/ua-2025-06-20-002761-a</t>
  </si>
  <si>
    <t>https://zakupivli.pro/gov/tenders/ua-2025-06-20-002703-a</t>
  </si>
  <si>
    <t>https://zakupivli.pro/gov/tenders/ua-2025-06-20-002566-a</t>
  </si>
  <si>
    <t>Ремонт РВТ, гідроциліндрів (ремонтна програма)</t>
  </si>
  <si>
    <t xml:space="preserve">Будівництво ПЛ-10 кВ Л-126 оп.214-214/1 в с.Клинці Кропивницьких ЕМ для зовнішнього електропостачання комплексу будівель ТОВ"АГРО-СТАЙЛ"  по вул. Перемоги, 42 (приєднання) </t>
  </si>
  <si>
    <t xml:space="preserve">Будівництво ПЛ,ПЛІ-10-0,4 кВ Л-123, Л-1 від КТП-117 в с.Грушка Благовіщенських ЕМ для зовнішнього електропостачання житлового будинку гр. Величко Г.П. по пров.Садовий, 7(приєднання) </t>
  </si>
  <si>
    <t>https://zakupivli.pro/gov/tenders/ua-2025-06-23-004108-a</t>
  </si>
  <si>
    <t>https://zakupivli.pro/gov/tenders/ua-2025-06-23-001718-a</t>
  </si>
  <si>
    <t>https://zakupivli.pro/gov/tenders/ua-2025-06-23-000983-a</t>
  </si>
  <si>
    <t>Будівництво ЩТП-115 в сел. Нова Прага Олександрійських ЕМ для зовнішнього електропостачання ж/б Шкіренко О.С. (приєднання)</t>
  </si>
  <si>
    <t>Будівництво ПЛ,ПЛІ-0,4 кВ Л-7, Л-4 КТП-407 в м.Благовіщенське  для зовнішнього електропостачання житлового будинку гр. Шевченко Н.П.  по вул. Райдужна, 15 (приєднання)</t>
  </si>
  <si>
    <t>Реконструкція ПЛ-0,4 кВ від КТП-44 в сел. Нова Прага Олександрійських ЕМ для зовнішнього електропостачання ж/б Шкіренко О.С. (приєднання)</t>
  </si>
  <si>
    <t>Будівництво ПЛІ-0,4 кВ Л-1 ЩТП-311 в с. Дівоче Поле Олександрійських ЕМ для зовнішнього електропостачання нежитлового приміщення ТОВ "ПРИВАТНЕ ВІДКОРМІВЕЛЬНО-ТОРГОВЕ ПІДПРИЄМСТВО" "ІМПУЛЬС-ПЛЮС" (із використанням матеріалів підрядника) (приєднання)</t>
  </si>
  <si>
    <t>Будівництво ЩТП-311 в с. Дівоче Поле Олександрійських ЕМ для зовнішнього електропостачання нежитлового приміщення ТОВ "ПРИВАТНЕ ВІДКОРМІВЕЛЬНО-ТОРГОВЕ ПІДПРИЄМСТВО" "ІМПУЛЬС-ПЛЮС" (із використанням матеріалів підрядника) (приєднання)</t>
  </si>
  <si>
    <t>https://zakupivli.pro/gov/tenders/ua-2025-06-24-000612-a</t>
  </si>
  <si>
    <t>https://zakupivli.pro/gov/tenders/ua-2025-06-24-000503-a</t>
  </si>
  <si>
    <t>https://zakupivli.pro/gov/tenders/ua-2025-06-24-000275-a</t>
  </si>
  <si>
    <t>https://zakupivli.pro/gov/tenders/ua-2025-06-24-000229-a</t>
  </si>
  <si>
    <t>https://zakupivli.pro/gov/tenders/ua-2025-06-24-000119-a</t>
  </si>
  <si>
    <t xml:space="preserve">Будівництво ПЛ-10 кВ Л-210 в м.Новоукраїнка для зовнішнього електропостачання ж/б Яндульського О.І.(приєднання) </t>
  </si>
  <si>
    <t>Будівництво ЩТП-85 в м.Новоукраїнка для зовнішнього електропостачання ж/б Яндульського О.І. (приєднання)</t>
  </si>
  <si>
    <t>Реконструкція ПЛ-0,4 кВ від КТП-14 в м.Новоукраїнка для зовнішнього електропостачання ж/б Яндульського О.І. (приєднання)</t>
  </si>
  <si>
    <t>https://zakupivli.pro/gov/tenders/ua-2025-06-25-008168-a</t>
  </si>
  <si>
    <t>https://zakupivli.pro/gov/tenders/ua-2025-06-25-007605-a</t>
  </si>
  <si>
    <t>https://zakupivli.pro/gov/tenders/ua-2025-06-25-007384-a</t>
  </si>
  <si>
    <t>https://zakupivli.pro/gov/tenders/ua-2025-07-01-003172-a</t>
  </si>
  <si>
    <t>Реконструкція ПЛ-0,4кВ Л-3 КТП-314 для зовнішнього електропостачання громадського будинку з господарськими будівлями та спорудами (будівля амбулаторії) Соколівська сільська рада по вул. Центральна,  буд.1-а в с. Карлівка Кропивницького району (приєднання)</t>
  </si>
  <si>
    <t>Придбання ліцензій на програмні продукти Eset (антивірусний захист) (пункт 4.2 Інвестиційної Програми 2025)</t>
  </si>
  <si>
    <t>https://zakupivli.pro/gov/tenders/ua-2025-07-03-006327-a/lot-6c2378808bf342aea0c81b65223f722e</t>
  </si>
  <si>
    <t>Будівництво КЛ-0,4 кВ Л-8 від ЗТП-1163 в м. Олександрія для зовнішнього електропостачання 1-під`їздного будинку ТОВ "Стандарт" (приєднання)</t>
  </si>
  <si>
    <t>Будівництво ЩТП-268  в м. Світловодську для зовнішнього електропостачання комплексу будівель ТОВ "НІКА КВІТОЙЛ" по вул. Джерельна, 110-Г (приєднання)</t>
  </si>
  <si>
    <t>Реконструкція ПЛ-0,4кВ Л-1 КТП-20  в с. Зелений Гай для зовнішнього електропостачання житлового будинку гр. Гринюкової Л.М. по вул.Цибулівська, 1 (Кропивницькі ЕМ) (приєднання)</t>
  </si>
  <si>
    <t>Будівництво ПЛ,ПЛІ-0,4 кВ Л-1,Л-3 оп.27 КТП-8 в смт. Нова Прага Олександрійських ЕМ для зовнішнього електропостачання житлового будинку ФОП Обушко А.М. (приєднання)</t>
  </si>
  <si>
    <t>https://zakupivli.pro/gov/tenders/ua-2025-07-04-006460-a</t>
  </si>
  <si>
    <t>https://zakupivli.pro/gov/tenders/ua-2025-07-04-006294-a</t>
  </si>
  <si>
    <t>https://zakupivli.pro/gov/tenders/ua-2025-07-04-006242-a</t>
  </si>
  <si>
    <t>https://zakupivli.pro/gov/tenders/ua-2025-07-04-006125-a</t>
  </si>
  <si>
    <t>Будівництво КЛ-10 кВ ТП-481 1СШ-ТП-828 для зовнішнього електропостачання ТОВ «АГ» по вул. Яновського, 65/52 в м. Кропивницький (приєднання)</t>
  </si>
  <si>
    <t>Реконструкція ЗТП-481 для зовнішнього електропостачання ТОВ «АГ» по вул. Яновського, 65/52 в м. Кропивницький (приєднання)</t>
  </si>
  <si>
    <t xml:space="preserve">Будівництво КЛ-10 кВ ТП-481 2СШ-ТП-828 для зовнішнього електропостачання ТОВ «АГ» по вул. Яновського, 65/52 в м. Кропивницький  (приєднання) </t>
  </si>
  <si>
    <t>https://zakupivli.pro/gov/tenders/ua-2025-07-04-008474-a</t>
  </si>
  <si>
    <t>https://zakupivli.pro/gov/tenders/ua-2025-07-04-008295-a</t>
  </si>
  <si>
    <t>https://zakupivli.pro/gov/tenders/ua-2025-07-04-008271-a</t>
  </si>
  <si>
    <t>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</t>
  </si>
  <si>
    <t>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 (пункт 1.2.3.1.2 Інвестиційної Програми 2025)</t>
  </si>
  <si>
    <t>https://zakupivli.pro/gov/tenders/ua-2025-07-09-000191-a/lot-51b0a06de7194763a783cd2b89d2328b</t>
  </si>
  <si>
    <t>https://zakupivli.pro/gov/tenders/ua-2025-07-09-000174-a/lot-449d5256fc8f43a6a12357b015f502c2</t>
  </si>
  <si>
    <t>Будівництво ПЛ, 2ПЛІ-0,4кВ Л-1, Л-4, Л-6 від КТП-168 в с.Підгайці для зовнішнього електропостачання житлового будинку гр. Казарян Г.Д.  по вул.Литвинова (кад.№3522581200:57:000:0776), 4-а Кропивницького району (приєднання)</t>
  </si>
  <si>
    <t xml:space="preserve">Будівництво КЛ-0,4 кВ Л-1 ЗТП-1226 оп.23/1-23/2 в с.Пантаївка Олександрійських ЕМ для зовнішнього електропостачання абонентської станції мобільного звя'зку ПрАТ "Київстар" по вул. Привокзальна  (приєднання) </t>
  </si>
  <si>
    <t>Будівництво ПЛІ-0,4 кВ Л-1 оп.23 ЗТП-1226 в с.Пантаївка Олександрійських ЕМ для зовнішнього електропостачання абонентської станції мобільного звя'зку ПрАТ "Київстар" по вул. Привокзальна (приєднання)</t>
  </si>
  <si>
    <t>https://zakupivli.pro/gov/tenders/ua-2025-07-09-006761-a</t>
  </si>
  <si>
    <t>https://zakupivli.pro/gov/tenders/ua-2025-07-09-006707-a</t>
  </si>
  <si>
    <t>https://zakupivli.pro/gov/tenders/ua-2025-07-09-006700-a</t>
  </si>
  <si>
    <t xml:space="preserve">Ремонт кермового управління, ходової частини (ремонтна програма) </t>
  </si>
  <si>
    <t>https://zakupivli.pro/gov/tenders/ua-2025-07-10-005768-a</t>
  </si>
  <si>
    <t>5 480,71253</t>
  </si>
  <si>
    <t>10 651,5086</t>
  </si>
  <si>
    <t>6 526,65576</t>
  </si>
  <si>
    <t>4 451,68018</t>
  </si>
  <si>
    <t>3 014,3434</t>
  </si>
  <si>
    <t>2 436,96884</t>
  </si>
  <si>
    <t>14 600,33166</t>
  </si>
  <si>
    <t xml:space="preserve">Будівництво ПЛІ-0,4 кВ від ЩТП-425 для зовнішнього електропостачання житлового будинку Процюк О.І. в с.Вершино-Кам’янка по вул.Центральна, 75-Б Кам’янецьких ЕМ" (приєднання) </t>
  </si>
  <si>
    <t>https://zakupivli.pro/gov/tenders/ua-2025-07-17-006467-a</t>
  </si>
  <si>
    <t>Розробка проектно-кошторисної документації  Реконструкція ПС 35/10 кВ «Сухий Ташлик» в частині встановлення вимикачів, заміна ТВП, заміна ТС та РЗА у зв’язку із приєднанням сонячної електростанції ТОВ «СОНЯЧНА-4» в с.Сухий Ташлик Голованівського району Кіровоградської області (згідно КНУ Настанова з визначення вартості проектних, науково-проектних, вишукувальних робіт та експертизи проектної документації на будівництво – проектні роботи)</t>
  </si>
  <si>
    <t>https://zakupivli.pro/gov/tenders/ua-2025-07-17-010273-a</t>
  </si>
  <si>
    <t>Реконструкція ПЛ-0,4КВ КТП 184 для зовнішнього електропостачання житлового будинку  гр. Грозан В.М. по вул. Садова, буд. 64 в с. Клинці Кропивницького району (приєднання)</t>
  </si>
  <si>
    <t>Будівництво ЩТП-571 для зовнішнього електропостачання житлового будинку  гр. Грозан В.М. по вул. Садова, буд. 64 в с. Клинці Кропивницького району (приєднання)</t>
  </si>
  <si>
    <t>Будівництво ПЛ-10 кВ Л-126 до ЩТП-571  для зовнішнього електропостачання житлового будинку  гр. Грозан В.М. по вул. Садова, буд. 64 в с. Клинці Кропивницького району (приєднання)</t>
  </si>
  <si>
    <t>https://zakupivli.pro/gov/tenders/ua-2025-07-22-007428-a</t>
  </si>
  <si>
    <t>https://zakupivli.pro/gov/tenders/ua-2025-07-22-007419-a</t>
  </si>
  <si>
    <t>https://zakupivli.pro/gov/tenders/ua-2025-07-22-007339-a</t>
  </si>
  <si>
    <t>Будівництво ПЛІ-0,4 кВ Л-1 ЩТП-694 для зовнішнього електропостачання житлового  будинку гр. Ярошенко О.М. по вул. Златопольська, буд. 188 в с. Соколівське Кропивницького району (приєднання)</t>
  </si>
  <si>
    <t xml:space="preserve">Будівництво ЩТП-694  для зовнішнього електропостачання житлового  будинку гр. Ярошенко О.М. по вул. Златопольська, буд. 188 в с. Соколівське Кропивницького району (приєднання) </t>
  </si>
  <si>
    <t xml:space="preserve">Будівництво ПЛЗ-10 кВ оп.132 Л-112 ПС 35/10 кВ "Гайворонська ГЕС" в м. Гайворон для зовнішнього електропостачання олійного заводу ПП "ГАЙВОРОНСЬКИЙ ОЛІЙНИЙ ЗАВОД" по вул. В.Стуса, буд. 3Т (приєднання) </t>
  </si>
  <si>
    <t xml:space="preserve">Будівництво КТП-75 в м. Гайворон для зовнішнього електропостачання олійного заводу ПП "ГАЙВОРОНСЬКИЙ ОЛІЙНИЙ ЗАВОД" по вул. В.Стуса, буд. 3Т (приєднання) </t>
  </si>
  <si>
    <t>Капітальний ремонт адмінбудівлі бази  ЕМ по вул. Діброви, 1, м. Олександрія, Олександрійського ЕМ  (водовідведення, вимощення). Ремонтна програма</t>
  </si>
  <si>
    <t>https://zakupivli.pro/gov/tenders/ua-2025-07-24-006216-a</t>
  </si>
  <si>
    <t>https://zakupivli.pro/gov/tenders/ua-2025-07-24-006045-a</t>
  </si>
  <si>
    <t>https://zakupivli.pro/gov/tenders/ua-2025-07-24-005950-a</t>
  </si>
  <si>
    <t>https://zakupivli.pro/gov/tenders/ua-2025-07-24-005897-a</t>
  </si>
  <si>
    <t>https://zakupivli.pro/gov/tenders/ua-2025-07-24-000121-a</t>
  </si>
  <si>
    <t xml:space="preserve">Будівництво ПЛІ-0,4 кВ від ЩТП-844 в м.Кропивницький для зовнішнього електропостачання садового будинку Мітєва О.М. (Садове товариство «Тюльпан») (приєднання) </t>
  </si>
  <si>
    <t xml:space="preserve">Будівництво ПЛЗ-6 кВ від ПС «Підгайці»-35/6 кВ оп.23 в м.Кропивницький для зовнішнього електропостачання садового будинку Мітєва О.М. (Садове товариство «Тюльпан») (приєднання) </t>
  </si>
  <si>
    <t xml:space="preserve">Будівництво ЩТП-844  в м.Кропивницький для зовнішнього електропостачання садового будинку Мітєва О.М. (Садове товариство «Тюльпан») (приєднання) </t>
  </si>
  <si>
    <t>https://zakupivli.pro/gov/tenders/ua-2025-07-28-009575-a</t>
  </si>
  <si>
    <t>https://zakupivli.pro/gov/tenders/ua-2025-07-28-009442-a</t>
  </si>
  <si>
    <t>https://zakupivli.pro/gov/tenders/ua-2025-07-28-009339-a</t>
  </si>
  <si>
    <t>Будівництво ЩТП-846 в м. Кропивницький для зовнішнього електропостачання ж/б з будівельним майданчиком гр. Беспалий І. Л. по проїзду Підлісний (кад.№3510100000:04:046:0431) (приєднання)</t>
  </si>
  <si>
    <t xml:space="preserve">Реконструкція ПЛ-0,4 кВ Л-1 КТП-476 в с.Гаївка Добровеличківських ЕМ для зовнішнього електропостачання ж/б Неофіти І.Б. (приєднання) </t>
  </si>
  <si>
    <t xml:space="preserve">Будівництво ЩТП-80 в м.Гайворон для зовнішнього електропостачання магазину гр. Олійник С.О.  по вул. Центральна, 158 (приєднання) </t>
  </si>
  <si>
    <t>Будівництво 2ПЛІ-0,4кВ Л-1, Л-4 КТП-184  в с. Клинці для зовнішнього електропостачання житлового будинку гр. Гупало В.М.  по вул. Садова, 104а (Кропивницькі ЕМ) (приєднання)</t>
  </si>
  <si>
    <t>https://zakupivli.pro/gov/tenders/ua-2025-07-29-008026-a</t>
  </si>
  <si>
    <t>https://zakupivli.pro/gov/tenders/ua-2025-07-29-003807-a</t>
  </si>
  <si>
    <t>https://zakupivli.pro/gov/tenders/ua-2025-07-29-002744-a</t>
  </si>
  <si>
    <t>https://zakupivli.pro/gov/tenders/ua-2025-07-29-001884-a</t>
  </si>
  <si>
    <t xml:space="preserve">Будівництво ПЛІ-0,4кВ  КТП-813 Л-10 оп.4-4/5 в м. Кропивницький для зовнішнього електропостачання житлового будинку гр. Стельмухової Л.Д.  по вул. Десятинна Кад.№3510100000:06:047:0121, 15 (приєднання) </t>
  </si>
  <si>
    <t>Реконструкція ПЛ-0,4кВ Л-2 КТП-561 в с. Велика Северинка для зовнішнього електропостачання житлового будинку гр. Сало О.М. по вул. Перемоги, 33 (Кропивницькі ЕМ) (приєднання)</t>
  </si>
  <si>
    <t xml:space="preserve">Ящик управління освітленням ЯУО-2 без автомата (приєднання) </t>
  </si>
  <si>
    <t>https://zakupivli.pro/gov/tenders/ua-2025-07-30-009282-a</t>
  </si>
  <si>
    <t>https://zakupivli.pro/gov/tenders/ua-2025-07-30-009195-a</t>
  </si>
  <si>
    <t>https://zakupivli.pro/gov/tenders/ua-2025-07-30-003593-a</t>
  </si>
  <si>
    <t>Капітальний ремонт будівлі ЗТП-5  по вул. Геологів, смт. Смоліно Кіровоградської обл. (Улаштування покрівлі з металопрофілю, вимощення)  Ремонтна програма</t>
  </si>
  <si>
    <t>https://zakupivli.pro/gov/tenders/ua-2025-07-31-000211-a</t>
  </si>
  <si>
    <t>Будівництво КТП-138 в с.Польове Кропивницького району (Олександрівських ЕМ) для зовнішнього електропостачання комплексу ТОВ "2-ге ім. Петровського" по вул. Центральна, 2а (приєднання)</t>
  </si>
  <si>
    <t>Будівництво ЩТП-289 в с.Мар'ївка Добровеличківських ЕМ для зовнішнього електропостачання ж/б Куліш О.П. (приєднання)</t>
  </si>
  <si>
    <t>https://zakupivli.pro/gov/tenders/ua-2025-08-01-006413-a</t>
  </si>
  <si>
    <t>https://zakupivli.pro/gov/tenders/ua-2025-08-01-005922-a</t>
  </si>
  <si>
    <t>Реконструкція ПЛ-0,4 кВ Л-2 КТП-47 оп.19-39 в сел.Добровеличківка для зовнішнього електропостачання ж/б Невельського І.С. (приєднання)</t>
  </si>
  <si>
    <t>https://zakupivli.pro/gov/tenders/ua-2025-08-04-007795-a</t>
  </si>
  <si>
    <t>Будівництво ЩТП-432 в с.Йосипівка Благовіщенських ЕМ для зовнішнього електропостачання житлового будинку Бурлаки Я.Ю. (приєднання)</t>
  </si>
  <si>
    <t xml:space="preserve">Будівництво ПЛІ-0,4 кВ Л-1 ЩТП-432 в с.Йосипівка Благовіщенських ЕМ для зовнішнього електропостачання житлового будинку Бурлаки Я.Ю. (приєднання) </t>
  </si>
  <si>
    <t xml:space="preserve">Будівництво ПЛ,ПЛІ-0,4 кВ Л-2 оп.74 КТП-315 в с.Олександро-Завадське Добровеличківських ЕМ для зовнішнього електропостачання ж/б Силенко Л.В.  (приєднання) </t>
  </si>
  <si>
    <t>https://zakupivli.pro/gov/tenders/ua-2025-08-06-006869-a</t>
  </si>
  <si>
    <t>https://zakupivli.pro/gov/tenders/ua-2025-08-06-006805-a</t>
  </si>
  <si>
    <t>https://zakupivli.pro/gov/tenders/ua-2025-08-06-002944-a</t>
  </si>
  <si>
    <t>Будівництво КЛ-0,4 кВ Л-16 ЗТП-1199 в м. Олександрія для зовнішнього електропостачання салону магазину з будівельним майданчиком по вул. Гетьмана Мазепи,15-а (приєднання)</t>
  </si>
  <si>
    <t>Реконструкція ПЛ-0,4 кВ Л-2 КТП-42 оп.16-36  в сел. Нова Прага Олександрійських ЕМ для зовнішнього електропостачання житлового будинку з надвірними будівлями Гавінської Н.В. (приєднання)</t>
  </si>
  <si>
    <t xml:space="preserve">Будівництво ПЛІ-0,4 кВ Л-1 ЩТП-174 в с.Бережинка Кропивницьких ЕМ для зовнішнього електропостачання абонентської станції мобільного зв'язку ПрАТ "Київстар" (приєднання) </t>
  </si>
  <si>
    <t>Будівництво  КЛ-10 кВ Ф-46Г оп. №8/1 для зовнішнього електропостачання складського приміщення з будівельним майданчиком гр. Андрієць О.Г. біля вул. Перша Виставкова, кад. №3522581900:02:000:9108 в Кропивницькому районі (приєднання)</t>
  </si>
  <si>
    <t>Реконструкція ПЛ-10 кВ Ф-46Г ПС «Гідросила» - 150/10кВ  для зовнішнього електропостачання складського приміщення з будівельним майданчиком гр. Андрієць О.Г. біля вул. Перша Виставкова, кад. №3522581900:02:000:9108 в Кропивницькому районі (приєднання)</t>
  </si>
  <si>
    <t>https://zakupivli.pro/gov/tenders/ua-2025-08-07-007040-a</t>
  </si>
  <si>
    <t>https://zakupivli.pro/gov/tenders/ua-2025-08-07-006917-a</t>
  </si>
  <si>
    <t>https://zakupivli.pro/gov/tenders/ua-2025-08-07-006729-a</t>
  </si>
  <si>
    <t>https://zakupivli.pro/gov/tenders/ua-2025-08-07-000717-a</t>
  </si>
  <si>
    <t>https://zakupivli.pro/gov/tenders/ua-2025-08-07-000635-a</t>
  </si>
  <si>
    <t>Реконструкція ПЛ-0,4 кВ Л-2 КТП-116 оп.7-24  в с.Грушка Благовіщенських ЕМ для зовнішнього електропостачання ж/б Губерніцького В.В. (приєднання)</t>
  </si>
  <si>
    <t>https://zakupivli.pro/gov/tenders/ua-2025-08-12-000427-a</t>
  </si>
  <si>
    <t>Капітальний ремонт будівлі РВБ , відновлення вимощення виробничо - службового корпусу (літ. Е) та вертикальної ізоляції стін підвалу (літ. Е1) по просп. Соколівський, 23, с. Соколівське, Кропивницького району, Кіровоградської області</t>
  </si>
  <si>
    <t>Будівництво КЛ-0,4 А-15 ЗТП-393 в м. Кропивницький для зовнішнього електропостачання електропостачання комплексу гр. Коваль О.Ю. по вул. Леоніда Каденюка (Пацаєва), буд. 23 (приєднання)</t>
  </si>
  <si>
    <t xml:space="preserve">Реконструкція ЗТП-393 в м. Кропивницький для зовнішнього електропостачання електропостачання комплексу гр. Коваль О.Ю. по вул. Леоніда Каденюка (Пацаєва), буд. 23  (приєднання) </t>
  </si>
  <si>
    <t>https://zakupivli.pro/gov/tenders/ua-2025-08-13-008530-a</t>
  </si>
  <si>
    <t>https://zakupivli.pro/gov/tenders/ua-2025-08-13-007291-a</t>
  </si>
  <si>
    <t>https://zakupivli.pro/gov/tenders/ua-2025-08-13-007263-a</t>
  </si>
  <si>
    <t>Капітальний ремонт адмінбудівлі з прибудованими гаражами Р/С 6-0,4кВ по вул. Парковій, 4, м. Світловодськ Світловодські ЕМ (облицювання фундаменту, вимощення, водовідведення). Ремонтна програма.</t>
  </si>
  <si>
    <t>Реконструкція ПЛ-0,4 кВ Л-3 від КТП-258 в с.Созонівка для зовнішнього електропостачання житлового будинку Бєлінського І.Д. (приєднання)</t>
  </si>
  <si>
    <t>https://zakupivli.pro/gov/tenders/ua-2025-08-14-009960-a</t>
  </si>
  <si>
    <t>https://zakupivli.pro/gov/tenders/ua-2025-08-14-002001-a</t>
  </si>
  <si>
    <t>Реконструкція КЛ-0,4 кВ Л-11 ЗТП-469  для зовнішнього електропостачання будівлі (35.1кв.м) по вул. Яновського, 60 в м. Кропивницький, Управління освіти Кропивницької міської ради (Приєднання)</t>
  </si>
  <si>
    <t>Будівництво ЩТП-520 в м.Новоукраїнка для зовнішнього електропостачання ж/б Стратонова Ю.А., Код згідно ДК 021:2015 – 45231000-5 "Будівництво трубопроводів, ліній зв’язку та електропередач" (приєднання)</t>
  </si>
  <si>
    <t>Капітальний ремонт будівлі ЗТП-528 по вул. Миру, 27а, смт. Побузьке, Голованівського р-ну, Кіровоградської обл. (Улаштування покрівлі з металопрофілю). Ремонтна програма</t>
  </si>
  <si>
    <t>Капітальний ремонт будівлі ЗТП-495 по вул. Попова, 6а, с. Липовеньке, Голованівського р-ну, Кіровоградської обл. (Улаштування покрівлі з металопрофілю). Ремонтна програма</t>
  </si>
  <si>
    <t>Капітальний ремонт будівлі ЗТП-205 по вул. А. Корольова, 19-п, м. Кропивницький (заміна дверного блоку на металевий, ремонт фасаду, вимощення). Ремонтна програма.</t>
  </si>
  <si>
    <t>ремонтна програма</t>
  </si>
  <si>
    <t>https://zakupivli.pro/gov/tenders/ua-2025-08-18-006435-a</t>
  </si>
  <si>
    <t>https://zakupivli.pro/gov/tenders/ua-2025-08-18-005825-a</t>
  </si>
  <si>
    <t>https://zakupivli.pro/gov/tenders/ua-2025-08-18-004442-a</t>
  </si>
  <si>
    <t>https://zakupivli.pro/gov/tenders/ua-2025-08-22-009012-a</t>
  </si>
  <si>
    <t>https://zakupivli.pro/gov/tenders/ua-2025-08-22-008690-a</t>
  </si>
  <si>
    <t xml:space="preserve">Будівництво ПЛІ-0,4 кВ Л-1 оп.9, 9/1-9/2 від ЩТП-174 в с. Бережинка Кропивницьких ЕМ для зовнішнього електропостачання комплексу будівель пл. 346,6 кв.м. гр. Кроть Л. В. по вул. Бережинське шосе, буд. 4-ж (приєднання) </t>
  </si>
  <si>
    <t>Роботи з капітального ремонту реклоузерів на ПЛ-10 кВ Л-142 Новоукраїнських ЕМ в частині встановлення обладнання телемеханізації реклоузерів (Ремонтна програма)</t>
  </si>
  <si>
    <t>https://zakupivli.pro/gov/tenders/ua-2025-08-26-008283-a</t>
  </si>
  <si>
    <t>https://zakupivli.pro/gov/tenders/ua-2025-08-28-000093-a</t>
  </si>
  <si>
    <t>Ящик управління освітленням ЯУО-2 без автомата (приєднання)</t>
  </si>
  <si>
    <t>https://zakupivli.pro/gov/tenders/ua-2025-09-01-001565-a</t>
  </si>
  <si>
    <t>Будівництво ПЛІ-0,4 кВ Л-1 оп.2 КТП-292 в с.Войнівка Олександрійських ЕМ для зовнішнього електропостачання абонентської станції мобільного зв’язку ТОВ «ЮНС» (приєднання)</t>
  </si>
  <si>
    <t>«Реконструкція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ЕМ)» пункт 1.2.3.1.2 Інвестиційної Програми 2025</t>
  </si>
  <si>
    <t>Реконструкція ПЛ,ПЛІ-0,4 кВ Л-1,Л-3 КТП-99 для зовнішнього електропостачання житлового будинку гр. Верко М.М. по вул. Молодіжна, буд. 14 в с. Овсяниківка Кропивницького району (приєднання)</t>
  </si>
  <si>
    <t xml:space="preserve">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ЕМ)» пункт 1.2.3.1.3 Інвестиційної Програми 2025 </t>
  </si>
  <si>
    <t>https://zakupivli.pro/gov/tenders/ua-2025-09-03-007395-a</t>
  </si>
  <si>
    <t>https://zakupivli.pro/gov/tenders/ua-2025-09-03-000974-a</t>
  </si>
  <si>
    <t>https://zakupivli.pro/gov/tenders/ua-2025-09-03-000549-a</t>
  </si>
  <si>
    <t>https://zakupivli.pro/gov/tenders/ua-2025-09-03-000098-a</t>
  </si>
  <si>
    <t>https://zakupivli.pro/gov/tenders/ua-2025-09-04-004543-a</t>
  </si>
  <si>
    <t>Будівництво ПЛ-6 кВ Л-174 оп.4 ПС "БСІ" в сел.Смоліне Маловисківських ЕМ для зовнішнього електропостачання базової станції мобільного зв'язку ПрАТ "Київстар" (приєднання)</t>
  </si>
  <si>
    <t xml:space="preserve">Будівництво КЛ-0,4кВ ТП-449 Л-22 оп.№1 в м. Кропивницький для зовнішнього електропостачання гаража  гр. Маличенко О.І.  по вул. Юрія Коваленка (приєднання) </t>
  </si>
  <si>
    <t>Будівництво ПЛІ-0,4кВ ТП-449 Л-22 оп.№1-№4 в м. Кропивницький для зовнішнього електропостачання гаража  гр. Маличенко О.І.  по вул. Юрія Коваленка (приєднання)</t>
  </si>
  <si>
    <t>https://zakupivli.pro/gov/tenders/ua-2025-09-08-001258-a</t>
  </si>
  <si>
    <t>https://zakupivli.pro/gov/tenders/ua-2025-09-08-000644-a</t>
  </si>
  <si>
    <t xml:space="preserve">Будівництво ЩТП-121 в с. Олексіївка Кропивницьких ЕМ для зовнішнього електропостачання житлового будинку гр. Денисенко М.М. по вул. Горького, буд.81а (приєднання) </t>
  </si>
  <si>
    <t>Реконструкція ПЛ-0,4 кВ Л-1 від КТП-117 с. Олексіївка Кропивницьких ЕМ для зовнішнього електропостачання житлового будинку гр. Денисенко М.М. по вул. Горького, буд.81а (приєднання)</t>
  </si>
  <si>
    <t>https://zakupivli.pro/gov/tenders/ua-2025-09-09-009870-a</t>
  </si>
  <si>
    <t>https://zakupivli.pro/gov/tenders/ua-2025-09-09-009803-a</t>
  </si>
  <si>
    <t xml:space="preserve">Капітальний ремонт будівлі адмінкорпусу по б-ру Студентському, 15 м. Кропивницький (фасад, водовідведення). Ремонтна програма.  </t>
  </si>
  <si>
    <t>Капітальний ремонт гаражу СМІТ (укріплення стін  боксів №3,4) по вул. Енергетиків,20Е, м. Кропивницький, Кіровоградської обл. Ремонтна програма.</t>
  </si>
  <si>
    <t>https://zakupivli.pro/gov/tenders/ua-2025-09-10-003722-a</t>
  </si>
  <si>
    <t>https://zakupivli.pro/gov/tenders/ua-2025-09-10-003620-a</t>
  </si>
  <si>
    <t>Капітальний ремонт будівлі ЦРП-20 по вул. Андріївська, м. Кропивницький (відновлення покрівлі з металопрофілю, фасад) (ремонтна програма)</t>
  </si>
  <si>
    <t>https://zakupivli.pro/gov/tenders/ua-2025-09-12-003243-a</t>
  </si>
  <si>
    <t>https://zakupivli.pro/gov/tenders/ua-2025-09-12-011145-a</t>
  </si>
  <si>
    <t>Будівництво КТП-114 в с.Дмитрівка Знам'янських ЕМ для зовнішнього електропостачання комплексу ТДВ "КОЛОС"  по вул.Кавказька, 11 (приєднання)</t>
  </si>
  <si>
    <t>https://zakupivli.pro/gov/tenders/ua-2025-09-16-013900-a</t>
  </si>
  <si>
    <t>https://zakupivli.pro/gov/tenders/ua-2025-09-16-013874-a</t>
  </si>
  <si>
    <t>https://zakupivli.pro/gov/tenders/ua-2025-09-16-004591-a</t>
  </si>
  <si>
    <t>Будівництво  2ПЛІ-0,4 кВ ТП-525 Л-40, Л-11 оп. 1-5 для зовнішнього електропостачання нежитлової будівлі ПНВМП фірма "ІНКОПМАРК" по вул. Гоголя, буд.24 в м. Кропивницький (приєднання)</t>
  </si>
  <si>
    <t xml:space="preserve">Будівництво ПЛ,ПЛІ-0,4 кВ Л-1,Л-3 КТП-99 для зовнішнього електропостачання житлового будинку гр. Верко М.М. по вул. Молодіжна, буд. 14 в с. Овсяниківка Кропивницького району " (приєднання) </t>
  </si>
  <si>
    <t>Основа для кріплення кабеля BIC 30-50K (приєднання)</t>
  </si>
  <si>
    <t xml:space="preserve">Будівництво 2ПЛІ-0,4 кВ ТП-525 Л-40, Л-11 оп.1-5 в м. Кропивницький для зовнішнього електропостачання житлового будинку гр. Бондаренко С.І. по пров. Водостічному, буд. 20  (приєднання) </t>
  </si>
  <si>
    <t>Будівництво  КЛ-10 кВ Ф-46Г оп. №8/1 для зовнішнього електропостачання  базової станції мобільного зв'язку ТОВ "лайфселл" на перехресті вул. Першої Виставкової та траси Е584 об'їздна дорога навпроти готелю "Ліана", Соколівська сільська територіальна громада (Кропивницькі міські ЕМ) (приєднання)</t>
  </si>
  <si>
    <t xml:space="preserve">Будівництво ПЛІ-0,4 кВ ТП-525 Л-11 оп.5-14 в м. Кропивницький для зовнішнього електропостачання житлового будинку гр. Бондаренко С.І. по пров. Водостічному, буд. 20 (приєднання) </t>
  </si>
  <si>
    <t>Будівництво ПЛ-10 кВ Л-1 оп.147, 147/1-147/5 в с. Новопетрівка Кропивницьких ЕМ для зовнішнього електропостачання абонентської станції мобільного зв'язку ПрАТ "Київстар" (приєднання)</t>
  </si>
  <si>
    <t>https://zakupivli.pro/gov/tenders/ua-2025-09-17-012496-a</t>
  </si>
  <si>
    <t>https://zakupivli.pro/gov/tenders/ua-2025-09-17-012478-a</t>
  </si>
  <si>
    <t>https://zakupivli.pro/gov/tenders/ua-2025-09-17-012374-a</t>
  </si>
  <si>
    <t>https://zakupivli.pro/gov/tenders/ua-2025-09-17-012368-a</t>
  </si>
  <si>
    <t>Будівництво КЛ-0,4 кВ Л-19 ТП-433 в м.Кропивницький для зовнішнього електропостачання комплексу будівель ФОП Теплюк С.О. по вул. Героїв Рятувальників, 7 (приєднання)</t>
  </si>
  <si>
    <t xml:space="preserve">Реконструкція ЗТП-515 в м. Кропивницький для зовнішнього електропостачання частини нежитлової будівлі ТОВ "Вересень плюс" по вул. Полтавська, 28а (приєднання) </t>
  </si>
  <si>
    <t>Роботи з капітального ремонту автоматизованої системи диспетчерського управління (АСДУ) Кропивницьких ЕМ (ремонтна програма)</t>
  </si>
  <si>
    <t>Роботи з капітального ремонту автоматизованої системи диспетчерського управління (АСДУ) Новоархангельських ЕМ (ремотна програма)</t>
  </si>
  <si>
    <t>https://zakupivli.pro/gov/tenders/ua-2025-09-23-014253-a</t>
  </si>
  <si>
    <t>https://zakupivli.pro/gov/tenders/ua-2025-09-23-013853-a</t>
  </si>
  <si>
    <t>https://zakupivli.pro/gov/tenders/ua-2025-09-23-009253-a</t>
  </si>
  <si>
    <t>https://zakupivli.pro/gov/tenders/ua-2025-09-23-009236-a</t>
  </si>
  <si>
    <t xml:space="preserve">Будівництво КЛ-0,4 кВ Л-6, Л-25 ТП-498 оп.№1 (дві кабельні лінії) в м. Кропивницький для зовнішнього електропостачання блочно-модульної котельні "Джерельна" КП "Теплоенергетик" КМР" по вул. Джерельна" (приєднання) </t>
  </si>
  <si>
    <t>Будівництво 2ПЛІ-0,4 кВ ТП-498 Л-6, Л-25 оп.№1-11 в м. Кропивницький для зовнішнього електропостачання блочно-модульної котельні "Джерельна" КП "Теплоенергетик" КМР" по вул. Джерельна (приєднання)</t>
  </si>
  <si>
    <t>Реконструкція ЗТП - 345  для зовнішнього електропостачання харчоблоку КНП "Центральна міська лікарня" Міської ради міста Кропивницький", УКБ Кропивницької міської ради по вул. Салганні піски, буд.14 в м. Кропивницький (приєднання)</t>
  </si>
  <si>
    <t>https://zakupivli.pro/gov/tenders/ua-2025-09-25-013964-a</t>
  </si>
  <si>
    <t>https://zakupivli.pro/gov/tenders/ua-2025-09-25-013959-a</t>
  </si>
  <si>
    <t>https://zakupivli.pro/gov/tenders/ua-2025-09-25-007455-a</t>
  </si>
  <si>
    <t>Реконструкція ПЛ-0,4кВ Л-2 від КТП-487 в м. Благовіщенське для зовнішнього електропостачання житлового будинку гр. Моросліп О.В. по  вул. Західна, 130 (приєднання)</t>
  </si>
  <si>
    <t>Капітальний ремонт зовнішньої каналізаційної системи від будівлі РВБ по просп. Соколівський, 23, с. Соколівське, Кропивницького району, Кіровоградської області. Ремонтна програма</t>
  </si>
  <si>
    <t>https://zakupivli.pro/gov/tenders/ua-2025-09-26-008089-a</t>
  </si>
  <si>
    <t>https://zakupivli.pro/gov/tenders/ua-2025-09-26-008009-a</t>
  </si>
  <si>
    <t>Будівництво ПЛІ-0,4 кВ ТП-756 Л-20 оп.№18-40 в м. Кропивницький для зовнішнього електропостачання житлового будинку з будівельним майданчиком гр. Кривошея К. В. по вул. Пісочна кад.№3510166900:09:060:0125, буд. 25 в с-щі Нове (приєднання)</t>
  </si>
  <si>
    <t xml:space="preserve">Будівництво ПЛІ-0,4 кВ Л-4 ЩТП-186 для зовнішнього електропостачання житлового будинку з будівельним  майданчиком гр. Музиченко І.О. по вул. Будівельна, буд. 34 в с. Бережинка Кропивницького району (приєднання) </t>
  </si>
  <si>
    <t>Будівництво ЩТП-521 для зовнішнього електропостачання житлового будинку гр. Бойченко В. В. по вул. Шпаченка, буд. 49 в с. Федорівка Кропивницького району (приєднання)</t>
  </si>
  <si>
    <t>https://zakupivli.pro/gov/tenders/ua-2025-09-29-011586-a</t>
  </si>
  <si>
    <t>https://zakupivli.pro/gov/tenders/ua-2025-09-29-010879-a</t>
  </si>
  <si>
    <t>https://zakupivli.pro/gov/tenders/ua-2025-09-29-006196-a</t>
  </si>
  <si>
    <t>https://zakupivli.pro/gov/tenders/ua-2025-10-01-000433-a</t>
  </si>
  <si>
    <t>Будівництво ПЛІ-0,4кВ Л-3 оп.№44/5 КТП_1149  в с. Войнівка для зовнішнього електропостачання столярного цеху гр.Прохватило О.В. по вул. Центральна, 1-а (приєднання)</t>
  </si>
  <si>
    <t>Будівництво ЩТП-599 в с. Оситняжка Кропивницьких ЕМ для зовнішнього електропостачання комплексу, Селянське (Фермерське) Господарство Мельниченка Василя Олексійовича по вул. Черемушки, 33а (приєднання)</t>
  </si>
  <si>
    <t>Будівництво ПЛ-10 кВ Л-232 до ЩТП-599 в с. Оситняжка Кропивницьких ЕМ для зовнішнього електропостачання комплексу, Селянське (Фермерське) Господарство Мельниченка Василя Олексійовича по вул. Черемушки, 33а (приєднання)</t>
  </si>
  <si>
    <t>Будівництво ЩТП-590  для зовнішнього електропостачання житлового будинку з будівельним майданчиком гр. Цатурян О.Н. кад. №3522587200:51:000:1291 в с. Соколівське Кропивницького району (приєднання)</t>
  </si>
  <si>
    <t>Будівництво ПЛІ-0,4 кВ Л-1 ЩТП-590 для зовнішнього електропостачання житлового будинку з будівельним майданчиком гр. Цатурян О.Н. кад. №3522587200:51:000:1291 в с. Соколівське Кропивницького району (приєднання)</t>
  </si>
  <si>
    <t>Будівництво ПЛІ-0,4 кВ Л-3 ЩТП-756 для зовнішнього електропостачання житлового будинку гр. Цатурян В.Ш. по просп. Соколівський, буд. 48 в с. Соколівське Кропивницького району (приєднання)</t>
  </si>
  <si>
    <t>https://zakupivli.pro/gov/tenders/ua-2025-10-02-012266-a</t>
  </si>
  <si>
    <t>https://zakupivli.pro/gov/tenders/ua-2025-10-02-012092-a</t>
  </si>
  <si>
    <t>https://zakupivli.pro/gov/tenders/ua-2025-10-02-011920-a</t>
  </si>
  <si>
    <t>https://zakupivli.pro/gov/tenders/ua-2025-10-02-011794-a</t>
  </si>
  <si>
    <t>https://zakupivli.pro/gov/tenders/ua-2025-10-02-011693-a</t>
  </si>
  <si>
    <t>Будівництво ЩТП-594 в с.Соколівське для зовнішнього електропостачання комплексу будівель гр. Петринко А.В. по пров. Гаражний, 2-б Кропивницькі ЕМ</t>
  </si>
  <si>
    <t>Реконструкція ПЛІ-0,4кВ від ЗТП-326 в м. Кропивницький для зовнішнього електропостачання нежитлового  приміщення  гр. Чалого В.М. по вул. Героїв-земляків, 1-А (приєднання)</t>
  </si>
  <si>
    <t>Реконструкція КЛ-0,4кВ від ЗТП-326 в м. Кропивницький для зовнішнього електропостачання нежитлового  приміщення  гр. Чалого В.М. по вул. Героїв-земляків, 1-А (приєднання)</t>
  </si>
  <si>
    <t>https://zakupivli.pro/gov/tenders/ua-2025-10-03-007273-a</t>
  </si>
  <si>
    <t>https://zakupivli.pro/gov/tenders/ua-2025-10-03-006798-a</t>
  </si>
  <si>
    <t>https://zakupivli.pro/gov/tenders/ua-2025-10-03-006676-a</t>
  </si>
  <si>
    <t>Будівництво ПЛІ-0,4кВ Л-4 оп.1, 22-25 від КТП-655 в с. Соколівське для зовнішнього електропостачання житлового будинку гр. Крижановського О.Е. (приєднання)</t>
  </si>
  <si>
    <t>https://zakupivli.pro/gov/tenders/ua-2025-10-07-000600-a</t>
  </si>
  <si>
    <t>Будівництво  КЛ-10 кВ ЦРП-20 (ком.11) – ТП-848 в м. Кропивницький для зовнішнього електропостачання автомийки та електрозарядної станції автомобілів ПП «МОДІКОН»  по вул. Габдрахманова, буд. 33/6 (приєднання)</t>
  </si>
  <si>
    <t>https://zakupivli.pro/gov/tenders/ua-2025-10-09-013818-a</t>
  </si>
  <si>
    <t>https://zakupivli.pro/gov/tenders/ua-2025-10-14-003114-a</t>
  </si>
  <si>
    <t>https://zakupivli.pro/gov/tenders/ua-2025-10-17-012814-a</t>
  </si>
  <si>
    <t>https://zakupivli.pro/gov/tenders/ua-2025-10-17-012120-a</t>
  </si>
  <si>
    <t>https://zakupivli.pro/gov/tenders/ua-2025-10-17-010591-a/lot-7cad97ab85ea4df3a4cce546b4de91cc</t>
  </si>
  <si>
    <t>Будівництво КЛ-10 кВ Л-116 оп.№126 в с-щі Онуфріївка для зовнішнього електропостачання майстерні ТОВ «ВП «УКРБУДДЕТАЛЬ» по вул. Магістральна, 1к (приєднання)</t>
  </si>
  <si>
    <t>Будівництво  ЩТП-849 для зовнішнього електропостачання житлового будинку гр. Проводян Н. Л. по вул. Криничувата, буд. 41/31 в м. Кропивницький (приєднання)</t>
  </si>
  <si>
    <t>Будівництво КТП-1403 в м.Олександрія для зовнішнього електропостачання торгівельного центру з будівельним майданчиком ТОВ «ЕСКАД» по просп. Соборний, 128. згідно з розробленою ПД із матеріалів та обладнання підрядника (приєднання)</t>
  </si>
  <si>
    <t>Реконструкція ПЛ-0,4кВ Л-3 КТП-110 в с.Розношенське Благовіщенських ЕМ для зовнішнього електропостачання житлового будинку гр. Швець Д.С. по вул.Крамаренка Миколи, 6 (приєднання)</t>
  </si>
  <si>
    <t>Будівництво ПЛ,ПЛІ-0,4 кВ Л-1,Л-3 КТП-112 в с.Новоселиця Благовіщенських ЕМ для зовнішнього електропостачання житлового будинку гр. Гаврилюк О.В. по вул.Максима Ясінського, 68 (приєднання)</t>
  </si>
  <si>
    <t>Будівництво ПЛ,ПЛІ-0,4 кВ Л-2,Л-4 КТП-448 в с.Вільхове Благовіщенських ЕМ для зовнішнього електропостачання житлового будинку гр. Сандул М.А. по вул.Сонячна, 35 (приєднання)</t>
  </si>
  <si>
    <t>https://zakupivli.pro/gov/tenders/ua-2025-10-21-010143-a</t>
  </si>
  <si>
    <t>https://zakupivli.pro/gov/tenders/ua-2025-10-21-009498-a</t>
  </si>
  <si>
    <t>https://zakupivli.pro/gov/tenders/ua-2025-10-21-008894-a</t>
  </si>
  <si>
    <t>Реконструкція ПЛ-0,4 кВ від КТП-14 в сел.Петрове для зовнішнього електропостачання житлового будинку Левчук А.В. по вул.Липова кад. №3524955100:50:072:0052 (приєднання)</t>
  </si>
  <si>
    <t>Будівництво ЩТП-46 в сел.Петрове для зовнішнього електропостачання житлового будинку Левчук А.В. по вул.Липова кад. №3524955100:50:072:0052 (приєднання)</t>
  </si>
  <si>
    <t>Реконструкція ПС «БСІ»-35/6кВ для зовнішнього електропостачання сонячної фотоелектричної станції  "СОНЯЧНА-2" з установкою зберігання енергії (УЗЕ) ТОВ "СОНЯЧНА-2", за адресою: с-ще Смоліне (кад.№3523155700:50:000:0487),  Новоукраїнського району, Кіровоградської області (приєднання)</t>
  </si>
  <si>
    <t>Будівництво ПЛІ-0,4 кВ Л-1 оп.11,21-29 КТП-5 Аджамська с/р Кропивницьких ЕМ для зовнішнього електропостачання господарського двору з будівельним майданчиком гр. Куропятник О.С. (приєднання)</t>
  </si>
  <si>
    <t>Будівництво КТП-552 для зовнішнього електропостачання комплексу СФГ "КОНДОР" по вул. Декабристів, буд. 75 в с. Шамраєве Голованівського району (приєднання)</t>
  </si>
  <si>
    <t>Будівництво КТП-617 для зовнішнього електропостачання житлового будинку садибного типу гр. Лапко О. М. по вул. Східна, буд.23 в с. Підгайці Кропивницького району (приєднання)</t>
  </si>
  <si>
    <t>Будівництво КЛ-10 кВ Л-717 РП-7 - КТП-1403 в м.Олександрія для зовнішнього електропостачання торгівельного центру з будівельним майданчиком ТОВ «ЕСКАД» по просп. Соборний, 128 (приєднання)</t>
  </si>
  <si>
    <t>Будівництво КЛ-10 кВ Л-722 РП-7 - КТП-1403 в м.Олександрія для зовнішнього електропостачання торгівельного центру з будівельним майданчиком ТОВ «ЕСКАД» по просп. Соборний, 128 (приєднання)</t>
  </si>
  <si>
    <t>Реконструкція РП-7 в м.Олександрія для зовнішнього електропостачання торгівельного центру з будівельним майданчиком ТОВ «ЕСКАД» по просп. Соборний, 128 (приєднання)</t>
  </si>
  <si>
    <t>https://zakupivli.pro/gov/tenders/ua-2025-10-22-005511-a</t>
  </si>
  <si>
    <t>https://zakupivli.pro/gov/tenders/ua-2025-10-22-005340-a</t>
  </si>
  <si>
    <t>https://zakupivli.pro/gov/tenders/ua-2025-10-22-005105-a</t>
  </si>
  <si>
    <t>https://zakupivli.pro/gov/tenders/ua-2025-10-22-004902-a</t>
  </si>
  <si>
    <t>https://zakupivli.pro/gov/tenders/ua-2025-10-22-001821-a</t>
  </si>
  <si>
    <t>https://zakupivli.pro/gov/tenders/ua-2025-10-22-001628-a</t>
  </si>
  <si>
    <t>https://zakupivli.pro/gov/tenders/ua-2025-10-22-000889-a</t>
  </si>
  <si>
    <t>https://zakupivli.pro/gov/tenders/ua-2025-10-22-000692-a</t>
  </si>
  <si>
    <t>https://zakupivli.pro/gov/tenders/ua-2025-10-22-000442-a</t>
  </si>
  <si>
    <t>Будівництво ПЛ-10 кВ Л-102 оп.254/1-254/3 с. Веселівка Кропивницьких ЕМ для зовнішнього електропостачання житлового будинку гр. Гончаренко Л.В. по вул. Шефська, буд. 28 (приєднання)</t>
  </si>
  <si>
    <t>Будівництво ЩТП-494 в с. Веселівка Кропивницьких ЕМ для зовнішнього електропостачання житлового будинку гр. Гончаренко Л.В. по вул. Шефська, буд. 28 (приєднання)</t>
  </si>
  <si>
    <t>Будівництво ПЛІ-0,4кВ Л-1 КТП-305  в м. Благовіщенське для зовнішнього електропостачання абонентської станції мобільного зв'язку ПрАТ "Київстар" по  вул. П.Сніцара, 17 (приєднання)</t>
  </si>
  <si>
    <t>https://zakupivli.pro/gov/tenders/ua-2025-10-23-009386-a</t>
  </si>
  <si>
    <t>https://zakupivli.pro/gov/tenders/ua-2025-10-23-009263-a</t>
  </si>
  <si>
    <t>https://zakupivli.pro/gov/tenders/ua-2025-10-23-008056-a</t>
  </si>
  <si>
    <t>Будівництво КЛ-10 кВ ТП-480-ТП-847 в м.Кропивницький для зовнішнього електропостачання комплексу будівель у складі: торгово-комерційна-будівля склад 1 склад 2, гр. Гасаненко Д. А. по вул. Героїв рятувальників (кад № 3510100000:41:342:0014) (приєднання)</t>
  </si>
  <si>
    <t>Реконструкція РП-10 кВ ЗТП-480 в м.Кропивницький для зовнішнього електропостачання комплексу будівель у складі: торгово-комерційна-будівля склад 1 склад 2, гр. Гасаненко Д. А. по вул. Героїв рятувальників (кад № 3510100000:41:342:0014) (приєднання)</t>
  </si>
  <si>
    <t>https://zakupivli.pro/gov/tenders/ua-2025-10-24-004314-a</t>
  </si>
  <si>
    <t>https://zakupivli.pro/gov/tenders/ua-2025-10-24-004217-a</t>
  </si>
  <si>
    <t>Електричне приладдя та супутні товари до електричного обладнання (приєднання)</t>
  </si>
  <si>
    <t>https://zakupivli.pro/gov/tenders/ua-2025-10-28-005437-a/lot-4c96191d30034b04874c0cbdbd7bbc01</t>
  </si>
  <si>
    <t>Будівництво  КЛ-10 кВ оп.№352 ПЛ-10 кВ Л-148 ПС «Новомиргородська»-150/35/10 кВ для зовнішнього електропостачання установки зберігання електричної енергії ТОВ «ГОМЕР-ЕЛІОС» в м.Новомиргород Новоукраїнського району (приєднання)</t>
  </si>
  <si>
    <t>Будівництво КЛ-0,4 кВ Л-4 КТП-781 для зовнішнього електропостачання підсобних і допоміжних будівель та споруд з будівельним майданчиком ТОВ "УКРАВІТ САЙЕНС ПАРК" по вул. Виставкова Перша (кад. №3510166900:22:140:0033), буд. 49б в м. Кропивницький (приєднання)</t>
  </si>
  <si>
    <t>Реконструкція КТП-781 для зовнішнього електропостачання підсобних і допоміжних будівель та споруд з будівельним майданчиком ТОВ "УКРАВІТ САЙЕНС ПАРК" по вул. Виставкова Перша (кад. №3510166900:22:140:0033), буд. 49б в м. Кропивницький (приєднання)</t>
  </si>
  <si>
    <t>Будівництво ЩТП-23 в сел.Добровеличківка для зовнішнього електропостачання ж/б Вербенко А.О. (приєднання)</t>
  </si>
  <si>
    <t>Будівництво 3ПЛІ-0,4 кВ Л-17, Л-20, Л-21 ТП-544 оп.1-5 в м.Кропивницький для зовнішнього електропостачання незавершеного будівництва (торговельний комплекс) ТОВ "КОПІЛКА" по вул. Державності, буд. 30 (приєднання)</t>
  </si>
  <si>
    <t>https://zakupivli.pro/gov/tenders/ua-2025-10-30-012032-a</t>
  </si>
  <si>
    <t>https://zakupivli.pro/gov/tenders/ua-2025-10-30-000711-a</t>
  </si>
  <si>
    <t>https://zakupivli.pro/gov/tenders/ua-2025-10-30-000554-a</t>
  </si>
  <si>
    <t>https://zakupivli.pro/gov/tenders/ua-2025-10-30-000525-a</t>
  </si>
  <si>
    <t>https://zakupivli.pro/gov/tenders/ua-2025-10-30-000273-a</t>
  </si>
  <si>
    <t>Капітальний ремонт гаражу лінійного посту п/ст "Вільшанка" по вул. Центральній, 85, с-ще Вільшанка, Голованівського р-ну, Кіровоградської обл. (ремонтна програма)</t>
  </si>
  <si>
    <t>https://zakupivli.pro/gov/tenders/ua-2025-10-31-008798-a</t>
  </si>
  <si>
    <t>Будівництво ПЛІ-0,4кВ Л-1  від ЩТП-1138 в м. Олександрія для зовнішнього  електропостачання абонентської станції мобільного зв`язку ТОВ «ЮНС» по вул. Леоніда Коваленка (приєднання)</t>
  </si>
  <si>
    <t>Будівництво ЩТП-1138 в м. Олександрія для зовнішнього  електропостачання абонентської станції мобільного зв`язку ТОВ «ЮНС» по вул. Леоніда Коваленка (приєднання)</t>
  </si>
  <si>
    <t>https://zakupivli.pro/gov/tenders/ua-2025-11-03-000332-a</t>
  </si>
  <si>
    <t>https://zakupivli.pro/gov/tenders/ua-2025-11-03-000300-a</t>
  </si>
  <si>
    <t>Реконструкція ПЛ-0,4 кВ Л-1 КТП-203 в с. Звенигородка Олександрійських ЕМ для зовнішнього електропостачання житлового будинку                          гр. Шпак Ю.М. по вул. Попова, 34 (приєднання)</t>
  </si>
  <si>
    <t>Реконструкція ПЛ-0,4 кВ Л-2 від КТП-1062 в м. Олександрія для зовнішнього електропостачання житлового будинку з господарськими будівлями Храмченко А.Л. (приєднання)</t>
  </si>
  <si>
    <t>https://zakupivli.pro/gov/tenders/ua-2025-11-05-011912-a</t>
  </si>
  <si>
    <t>https://zakupivli.pro/gov/tenders/ua-2025-11-05-011808-a</t>
  </si>
  <si>
    <t>Капітальний ремонт пункту керування диспетчерського центрального ПКДЦ (ремонтна програма)</t>
  </si>
  <si>
    <t>https://zakupivli.pro/gov/tenders/ua-2025-11-11-001580-a</t>
  </si>
  <si>
    <t>https://zakupivli.pro/gov/tenders/ua-2025-11-12-009402-a</t>
  </si>
  <si>
    <t>https://zakupivli.pro/gov/tenders/ua-2025-11-12-008473-a</t>
  </si>
  <si>
    <t>https://zakupivli.pro/gov/tenders/ua-2025-11-12-008233-a</t>
  </si>
  <si>
    <t>https://zakupivli.pro/gov/tenders/ua-2025-11-12-008120-a</t>
  </si>
  <si>
    <t>https://zakupivli.pro/gov/tenders/ua-2025-11-12-006084-a</t>
  </si>
  <si>
    <t>https://zakupivli.pro/gov/tenders/ua-2025-11-12-002376-a/lot-cf4da700614147aaa2880f51276995e7</t>
  </si>
  <si>
    <t xml:space="preserve">Реконструкція РП-10кВ ЗТП-525  в м. Кропивницький  для  зовнішнього електропостачання адміністративно торгівельної будівлі, ФОП Анісова О.В.  по вул. Нейгауза, 8А,а,а1 (приєднання)  </t>
  </si>
  <si>
    <t xml:space="preserve">Будівництво ЩТП-262 в с. Стара Осота Олександрівських ЕМ для  зовнішнього електропостачання абонентської станції мобільного зв'язку ТОВ "УТ" (приєднання) </t>
  </si>
  <si>
    <t>Будівництво  ПЛІ-0,4кВ Л-1  від ЩТП-262 в с. Стара Осота Олександрівських ЕМ для  зовнішнього електропостачання абонентської станції мобільного зв'язку ТОВ "УТ" (приєднання)</t>
  </si>
  <si>
    <t>Провід ASXsn 2х35, Провід АПВ 1х25 (приєднання)</t>
  </si>
  <si>
    <t>Автоматичний вимикач FMC2/3U 3Р 63А (приєднання)</t>
  </si>
  <si>
    <t>Будівництво КЛ-10 кВ оп.79 Л-133 ПС 35/10 кВ «Ганнівка» в с. Бокове Долинських ЕМ для зовнішнього електропостачання ж/б Голуб Н.М., згідно з розробленою ПД із матеріалів та обладнання підрядника (приєднання)</t>
  </si>
  <si>
    <t>Метри</t>
  </si>
  <si>
    <t>Будівництво КЛ-0,4 кВ Л-6 від КТП-179 до оп.№1 для зовнішнього електропостачання житлового будинку гр. Терзов Д. С. по пров. Водозбірний, буд.34 в м. Кропивницький (Приєднання)</t>
  </si>
  <si>
    <t>Будівництво 2ПЛІ-0,4кВ Л-1,Л-6 від оп.№1 до оп.№15 для зовнішнього електропостачання житлового будинку гр. Терзов Д. С. по пров. Водозбірний, буд.34 в м. Кропивницький (приєднання)</t>
  </si>
  <si>
    <t xml:space="preserve">Будівництво КЛ-6 кВ Л-8 на тер. Катеринівської с/р для зовнішнього електропостачання СЕС "Катеринівська СЕС 1" ТОВ "ГЕЛІО ЕНЕРДЖІ" кад.№3522585800:02:000:5079 на території Катеринівської сільської ради Кропивницького району  (приєднання) </t>
  </si>
  <si>
    <t>Будівництво ПЛІ-0,4кВ Л-6 від оп.№15 до оп.№16/1 для зовнішнього електропостачання житлового будинку гр. Терзов Д. С. по пров. Водозбірний, буд.34 в м. Кропивницький (приєднання)</t>
  </si>
  <si>
    <t>Будівництво ПЛЗ-6 кВ Л-8 на тер. Катеринівської с/р для зовнішнього електропостачання СЕС "Катеринівська СЕС 1" ТОВ "ГЕЛІО ЕНЕРДЖІ" кад.№3522585800:02:000:5079 на території Катеринівської сільської ради Кропивницького району (приєднання)</t>
  </si>
  <si>
    <t xml:space="preserve">Реконструкція комірки №8 в РП-6 кВ ПС «Сільмаш»-150/35/6 кВ для зовнішнього електропостачання СЕС "Катеринівська СЕС 1" ТОВ "ГЕЛІО ЕНЕРДЖІ" кад.№3522585800:02:000:5079 на території Катеринівської сільської ради Кропивницького району (приєднання)  </t>
  </si>
  <si>
    <t>Ремонтно-відновлювальні роботи енергооб’єктів КЛ-6-10 кВ в аварійних ситуаціях</t>
  </si>
  <si>
    <t>Ремонтно-відновлювальні роботи енергооб’єктів КЛ-0,4 кВ в аварійних ситуаціях</t>
  </si>
  <si>
    <t>Ремонтно-відновлювальні роботи енергооб’єктів ПЛ-6-10 кВ в аварійних ситуаціях</t>
  </si>
  <si>
    <t>Ремонтно-відновлювальні роботи енергооб’єктів ПЛ-0,4 кВ в аварійних ситуаціях</t>
  </si>
  <si>
    <t>https://zakupivli.pro/gov/tenders/ua-2025-11-14-013195-a</t>
  </si>
  <si>
    <t>https://zakupivli.pro/gov/tenders/ua-2025-11-14-013137-a</t>
  </si>
  <si>
    <t>https://zakupivli.pro/gov/tenders/ua-2025-11-14-013043-a</t>
  </si>
  <si>
    <t>https://zakupivli.pro/gov/tenders/ua-2025-11-14-013041-a</t>
  </si>
  <si>
    <t>https://zakupivli.pro/gov/tenders/ua-2025-11-14-012934-a</t>
  </si>
  <si>
    <t>https://zakupivli.pro/gov/tenders/ua-2025-11-14-012850-a</t>
  </si>
  <si>
    <t>https://zakupivli.pro/gov/tenders/ua-2025-11-17-012429-a</t>
  </si>
  <si>
    <t>https://zakupivli.pro/gov/tenders/ua-2025-11-17-012096-a</t>
  </si>
  <si>
    <t>https://zakupivli.pro/gov/tenders/ua-2025-11-17-012049-a</t>
  </si>
  <si>
    <t>https://zakupivli.pro/gov/tenders/ua-2025-11-17-011923-a</t>
  </si>
  <si>
    <t>https://zakupivli.pro/gov/tenders/ua-2025-11-17-003430-a</t>
  </si>
  <si>
    <t>Реконструкція ЗТП-20 для зовнішнього електропостачання когенераційної установки ТОВ "СВІТЛОВОДСЬКПОБУТ" по вул. Григорія Сковороди, буд. 2-А в м. Світловодськ Олександрійського району, згідно з розробленою ПД із матеріалів та обладнання підрядника (приєднання)</t>
  </si>
  <si>
    <t>Будівництво ЩТП-563 в с.Вільне Кропивницьких ЕМ для зовнішнього електропостачання житлового будинку гр. Мазуренко В.А. кад.№3522581900:51:000:0165 (приєднання)</t>
  </si>
  <si>
    <t xml:space="preserve">Будівництво ПЛ-10 кВ Л-175 до ЩТП-563 в с.Вільне Кропивницьких ЕМ для зовнішнього електропостачання житлового будинку гр. Мазуренко В.А.  кад.№3522581900:51:000:0165 (приєднання) </t>
  </si>
  <si>
    <t xml:space="preserve">Будівництво ПЛІ-0,4 кВ Л-1 ЩТП-563 в с.Вільне Кропивницьких ЕМ для зовнішнього електропостачання житлового будинку гр. Мазуренко В.А.  кад.№3522581900:51:000:0165 (приєднання) </t>
  </si>
  <si>
    <t>https://zakupivli.pro/gov/tenders/ua-2025-11-19-013423-a/lot-ff30f18ce92a48b58a8bc32e93e78b4d</t>
  </si>
  <si>
    <t>https://zakupivli.pro/gov/tenders/ua-2025-11-19-008852-a</t>
  </si>
  <si>
    <t>https://zakupivli.pro/gov/tenders/ua-2025-11-19-008811-a</t>
  </si>
  <si>
    <t>https://zakupivli.pro/gov/tenders/ua-2025-11-19-008657-a</t>
  </si>
  <si>
    <t xml:space="preserve">Будівництво КТП-126 в с.Дмитрівка Знам`янських ЕМ для зовнішнього електропостачання комплексу (молочно-твариницька ферма) ТДВ "КОЛОС"  по вул. Центральна, 2-В  (приєднання) </t>
  </si>
  <si>
    <t>https://zakupivli.pro/gov/tenders/ua-2025-11-24-017044-a</t>
  </si>
  <si>
    <t>Будівництво КЛ-0,4 кВ Л-3 від КТП-16404 в с. Суботці Знам’янських ЕМ для зовнішнього електропостачання житлового будинку гр. Райкович А. П. по вул. Шевченка, буд. 34Д (приєднання)</t>
  </si>
  <si>
    <t>Будівництво КЛ-0,4 кВ Л-1 від КТП-16404 в с. Суботці Знам’янських ЕМ для зовнішнього електропостачання житлового будинку гр. Райкович А. П. по вул. Шевченка, буд. 34Д (приєднання)</t>
  </si>
  <si>
    <t>Будівництво КЛ-0,4 кВ Л-2 від КТП-16404 в с. Суботці Знам’янських ЕМ для зовнішнього електропостачання житлового будинку гр. Райкович А. П. по вул. Шевченка, буд. 34Д (приєднання)</t>
  </si>
  <si>
    <t xml:space="preserve">Будівництво ПЛЗ-10 кВ Л-164 в с. Суботці Знам’янських ЕМ для зовнішнього електропостачання житлового будинку гр. Райкович А. П. по вул. Шевченка, буд. 34Д (приєднання) </t>
  </si>
  <si>
    <t xml:space="preserve">Будівництво КТП-16404 в с. Суботці Знам’янських ЕМ для зовнішнього електропостачання житлового будинку гр. Райкович А. П. по вул. Шевченка, буд. 34Д (приєднання) </t>
  </si>
  <si>
    <t xml:space="preserve">Будівництво КЛ-10 кВ Л-164 в с. Суботці Знам’янських ЕМ для зовнішнього електропостачання житлового будинку гр. Райкович А. П. по вул. Шевченка, буд. 34Д (приєднання) </t>
  </si>
  <si>
    <t>Будівництво КЛ-0,4 кВ Л-24 ЗТП-294 в м. Кропивницький для зовнішнього електропостачання нежитлового приміщення ТОВ "АІС "БУДКОМ" по вул. Яновського, 151 (приєднання)</t>
  </si>
  <si>
    <t>https://zakupivli.pro/gov/tenders/ua-2025-11-26-004413-a</t>
  </si>
  <si>
    <t>https://zakupivli.pro/gov/tenders/ua-2025-11-26-004231-a</t>
  </si>
  <si>
    <t>https://zakupivli.pro/gov/tenders/ua-2025-11-26-004190-a</t>
  </si>
  <si>
    <t>https://zakupivli.pro/gov/tenders/ua-2025-11-26-004082-a</t>
  </si>
  <si>
    <t>https://zakupivli.pro/gov/tenders/ua-2025-11-26-003960-a</t>
  </si>
  <si>
    <t>https://zakupivli.pro/gov/tenders/ua-2025-11-26-003593-a</t>
  </si>
  <si>
    <t>https://zakupivli.pro/gov/tenders/ua-2025-11-26-000344-a</t>
  </si>
  <si>
    <t>https://zakupivli.pro/gov/tenders/ua-2025-12-01-000468-a</t>
  </si>
  <si>
    <t xml:space="preserve">Реконструкція КЛ-10 кВ Л-135 оп.12-15 в c. Підгайці, вул. Паркова кад. №3522581200:57:000:1059, буд.5 для ТОВ «ЛАНДТЕХ» (приєднання) </t>
  </si>
  <si>
    <t>https://zakupivli.pro/gov/tenders/ua-2025-12-02-000285-a</t>
  </si>
  <si>
    <t>Основа для кріплення кабеля BIC 30-50K, скріпа CF 20 (приєднання)</t>
  </si>
  <si>
    <t xml:space="preserve">Будівництво ЩТП-10201г в с. Петрове Знам'янських ЕМ для зовнішнього електропостачання житлового будинку гр. Геніх І.А. по вул. Миколи Геніха, буд. 101  (приєднання) </t>
  </si>
  <si>
    <t>Будівництво ПЛЗ-10 кВ до ЩТП-618 для зовнішнього електропостачання житлового будинку гр. Гладин О. В. по вул. Зарічна, буд.15 в с. Підгайці Кропивницького району (приєднання)</t>
  </si>
  <si>
    <t xml:space="preserve">Будівництво ПЛІ-0,4кВ Л-1 від ЩТП-10201г  в с. Петрове Знам'янських ЕМ для зовнішнього електропостачання житлового будинку гр. Геніх І.А. по вул. Миколи Геніха, буд. 101" (приєднання) </t>
  </si>
  <si>
    <t>Будівництво ПЛ-10 кВ Л-102 оп.30-30/18 ПС "Магнітна"-150/35/10 кВ в с. Петрове Знам'янських ЕМ для зовнішнього електропостачання житлового будинку гр. Геніх І.А. по вул. Миколи Геніха, буд. 101 (приєднання)</t>
  </si>
  <si>
    <t>Реконструкція ПЛ-0,4 кВ Л-1 КТП-168 для зовнішнього електропостачання житлового будинку гр. Гладин О. В. по вул. Зарічна, буд.15 в с. Підгайці Кропивницького району (приєднання)</t>
  </si>
  <si>
    <t>Будівництво ЩТП-618 для зовнішнього електропостачання житлового будинку гр. Гладин О. В. по вул. Зарічна, буд.15 в с. Підгайці Кропивницького району (приєднання)</t>
  </si>
  <si>
    <t>https://zakupivli.pro/gov/tenders/ua-2025-12-09-001167-a</t>
  </si>
  <si>
    <t>https://zakupivli.pro/gov/tenders/ua-2025-12-09-001093-a</t>
  </si>
  <si>
    <t>https://zakupivli.pro/gov/tenders/ua-2025-12-09-001084-a</t>
  </si>
  <si>
    <t>https://zakupivli.pro/gov/tenders/ua-2025-12-09-000925-a</t>
  </si>
  <si>
    <t>https://zakupivli.pro/gov/tenders/ua-2025-12-09-000913-a</t>
  </si>
  <si>
    <t>https://zakupivli.pro/gov/tenders/ua-2025-12-09-000784-a</t>
  </si>
  <si>
    <t xml:space="preserve">Будівництво ЩТП-304 в с.Новоєгорівка  для  зовнішнього електропостачання зерноскладу з будівельним майданчиком  ФГ "СОНАТА-АГРО" (приєднання) </t>
  </si>
  <si>
    <t xml:space="preserve">Будівництво КЛ-0,4 кВ Л-7 ТП-422 для зовнішнього електропостачання захисної споруди цивільного захисту №40275 УКБ Кропивницької міської ради по вул. Героїв України, буд. 6/13 в м. Кропивницький (приєднання) </t>
  </si>
  <si>
    <t>https://zakupivli.pro/gov/tenders/ua-2025-12-10-018076-a</t>
  </si>
  <si>
    <t>https://zakupivli.pro/gov/tenders/ua-2025-12-10-011360-a</t>
  </si>
  <si>
    <t xml:space="preserve">Будівництво ПЛ-10 кВ Л-4Б оп. №9/1 – оп. №94 для зовнішнього електропостачання будинків промисловості з будівельним майданчиком гр. Андрієць О.В. за адресою: Кіровоградська область, Кропивницький район, Бережинська сільська рада, кад.№3522580900:02:000:3040" (приєднання) </t>
  </si>
  <si>
    <t xml:space="preserve">Будівництво ПЛ-10 кВ Л-4Б оп. №9/1 – оп. №94 для зовнішнього електропостачання будинків промисловості з будівельним майданчиком гр. Андрієць О.Г. за адресою: Кіровоградська область, Кропивницький район, Бережинська сільська рада, кад.№3522580900:02:000:3038" (приєднання) </t>
  </si>
  <si>
    <t>https://zakupivli.pro/gov/tenders/ua-2025-12-11-006316-a</t>
  </si>
  <si>
    <t>https://zakupivli.pro/gov/tenders/ua-2025-12-11-001833-a</t>
  </si>
  <si>
    <t>Будівництво КТП-850  в м. Кропивницький  для  зовнішнього електропостачання нового будівництва магазину продовольчих та непродовольчих товарів ТОВ "РІАЛ ІСТЕЙТ" с-ще Нове, вул. Металургів Кад.№3510166900:09:096:0261 (приєднання)</t>
  </si>
  <si>
    <t>Реконструкція РП-10кВ ЗТП-750  в м. Кропивницький  для  зовнішнього електропостачання нового будівництва магазину продовольчих та непродовольчих товарів ТОВ "РІАЛ ІСТЕЙТ" с-ще Нове, вул. Металургів Кад.№3510166900:09:096:0261 (приєднання)</t>
  </si>
  <si>
    <t>Будівництво ПЛ-10 кВ Л-141 оп.77-77/1 до ЩТП-193 в с.Новофедорівка Петрівських ЕМ для зовнішнього електропостачання будинку садибного типу Домащук В.В. (приєднання)</t>
  </si>
  <si>
    <t xml:space="preserve">Реконструкція ПЛ-0,4 кВ від КТП-208 для зовнішнього електропостачання житлового будинку гр. Кондратенко С. М. по вул. Інгульська, 77 в с. Калинівка Кропивницького району (приєднання) </t>
  </si>
  <si>
    <t>Будівництво ПЛІ-0,4 кВ оп.1-50 ЩТП-193 в с.Новофедорівка Петрівських ЕМ для зовнішнього електропостачання будинку садибного типу Домащук В.В. (приєднання)</t>
  </si>
  <si>
    <t>Будівництво КЛ-6 кВ від ЗТП-750 до КТП-850   в м. Кропивницький  для  зовнішнього електропостачання нового будівництва магазину продовольчих та непродовольчих товарів ТОВ "РІАЛ ІСТЕЙТ" с-ще Нове, вул. Металургів Кад.№3510166900:09:096:0261 (приєднання)</t>
  </si>
  <si>
    <t>Будівництво ЩТП-193 в с.Новофедорівка Петрівських ЕМ для зовнішнього електропостачання будинку садибного типу Домащук В.В.(приєднання)</t>
  </si>
  <si>
    <t>Реконструкція ПЛ-0,4 кВ від ЩТП-194 в с.Новофедорівка Петрівських ЕМ для зовнішнього електропостачання будинку садибного типу Домащук В.В. (приєднання)</t>
  </si>
  <si>
    <t xml:space="preserve">Будівництво ЩТП-559 для зовнішнього електропостачання житлового будинку гр. Кондратенко С. М. по вул. Інгульська, 77 в с. Калинівка Кропивницького району (приєднання) </t>
  </si>
  <si>
    <t>Будівництво ПЛЗ-10 кВ до ЩТП-559 в с.Калинівка для зовнішнього електропостачання житлового будинку гр. Кондратенко С. М. по вул. Інгульська, 77 в с. Калинівка Кропивницького району (приєднання)</t>
  </si>
  <si>
    <t xml:space="preserve">Реконструкція ПЛ-0,4 кВ Л-3  від КТП-262 в с.Бокове Долинських ЕМ для зовнішнього електропостачання ж/б Голуб Н.М. (приєднання) </t>
  </si>
  <si>
    <t xml:space="preserve">Будівництво ЩТП-263 в с.Бокове Долинських ЕМ для зовнішнього електропостачання ж/б Голуб Н.М. (приєднання) </t>
  </si>
  <si>
    <t>https://zakupivli.pro/gov/tenders/ua-2025-12-16-015448-a</t>
  </si>
  <si>
    <t>https://zakupivli.pro/gov/tenders/ua-2025-12-16-014970-a</t>
  </si>
  <si>
    <t>https://zakupivli.pro/gov/tenders/ua-2025-12-16-014725-a</t>
  </si>
  <si>
    <t>https://zakupivli.pro/gov/tenders/ua-2025-12-16-014109-a</t>
  </si>
  <si>
    <t>https://zakupivli.pro/gov/tenders/ua-2025-12-16-013055-a</t>
  </si>
  <si>
    <t>https://zakupivli.pro/gov/tenders/ua-2025-12-16-012591-a</t>
  </si>
  <si>
    <t>https://zakupivli.pro/gov/tenders/ua-2025-12-16-012171-a</t>
  </si>
  <si>
    <t>https://zakupivli.pro/gov/tenders/ua-2025-12-16-011875-a</t>
  </si>
  <si>
    <t>https://zakupivli.pro/gov/tenders/ua-2025-12-16-011616-a</t>
  </si>
  <si>
    <t>https://zakupivli.pro/gov/tenders/ua-2025-12-16-008824-a</t>
  </si>
  <si>
    <t>https://zakupivli.pro/gov/tenders/ua-2025-12-16-001344-a</t>
  </si>
  <si>
    <t>https://zakupivli.pro/gov/tenders/ua-2025-12-16-001245-a</t>
  </si>
  <si>
    <t>Будівництво ПЛІ-0,4 кВ оп.22п-67 КТП-296 в сел.Петрове для  зовнішнього електропостачання житлового будинку гр. П'ята А.М. вул. Дружби, 106 (приєднання)</t>
  </si>
  <si>
    <t>Реконструкція ПЛІ-0,4кВ Л-4 КТП-296  в сел. Петрове  для  зовнішнього електропостачання житлового будинку гр. П'ята А.М. вул. Дружби, 106 (приєднання)</t>
  </si>
  <si>
    <t>https://zakupivli.pro/gov/tenders/ua-2025-12-19-014480-a</t>
  </si>
  <si>
    <t>https://zakupivli.pro/gov/tenders/ua-2025-12-19-014293-a</t>
  </si>
  <si>
    <t>https://zakupivli.pro/gov/tenders/ua-2025-12-19-001812-a</t>
  </si>
  <si>
    <t>https://zakupivli.pro/gov/tenders/ua-2025-12-23-005940-a</t>
  </si>
  <si>
    <t>Технічне переоснащення ПС "Вільне"-35/10 кВ для зовнішнього електропостачання когенераційної установки ФІЛІЇ "КРОПИВНИЦЬКА ПТАХОФАБРИКА" ТОВ "АГРАРНИЙ ХОЛДИНГ АВАНГАРД" (приєднання)</t>
  </si>
  <si>
    <t>https://zakupivli.pro/gov/tenders/ua-2025-12-26-002869-a</t>
  </si>
  <si>
    <t>Реконструкція ПС "Бобринець" - 150/35/10кВ (Заміна приводу РПН силового трансформатора 2Т) для зовнішнього електропостачання сонячної електростанції "Бобринець 2" ТОВ "ПОГРЕБИЩЕ СОЛАР ПАРК", що знаходиться на території Бобринецької міської ради (приєднання)</t>
  </si>
  <si>
    <t>Реконструкція ПС "Бобринець" - 150/35/10кВ (Заміна приводу РПН силового трансформатора 1Т) для зовнішнього електропостачання сонячної електростанції "Бобринець 1" ТОВ "СЕС Дібровка", що знаходиться на території Бобринецької міської ради, згідно з розробленою ПД із матеріалів та обладнання підрядника (приєднання)</t>
  </si>
  <si>
    <t>https://zakupivli.pro/gov/tenders/ua-2025-12-30-003408-a/lot-ec90244ead9f4ba795635cb2145c2bf4</t>
  </si>
  <si>
    <t>https://zakupivli.pro/gov/tenders/ua-2025-12-30-003216-a/lot-9bd4202deaf34e4999c044e480736b30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</si>
</sst>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0.000"/>
    <numFmt numFmtId="166" formatCode="#,##0.000"/>
    <numFmt numFmtId="167" formatCode="#,##0.00000"/>
    <numFmt numFmtId="168" formatCode="0.0000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314155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rgb="FF00A1CD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2"/>
      <color theme="10"/>
      <name val="Times New Roman"/>
      <family val="1"/>
      <charset val="204"/>
    </font>
    <font>
      <sz val="12"/>
      <color rgb="FF0000FF"/>
      <name val="Calibri"/>
      <family val="2"/>
    </font>
    <font>
      <sz val="10"/>
      <name val="Times New Roman"/>
      <family val="1"/>
      <charset val="204"/>
    </font>
    <font>
      <sz val="10"/>
      <color rgb="FF0000FF"/>
      <name val="Arial"/>
      <family val="2"/>
    </font>
    <font>
      <sz val="12"/>
      <color rgb="FF0000FF"/>
      <name val="Arial"/>
      <family val="2"/>
      <charset val="204"/>
    </font>
    <font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9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/>
    </xf>
    <xf numFmtId="168" fontId="1" fillId="0" borderId="2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Border="1" applyAlignment="1">
      <alignment vertical="center"/>
    </xf>
    <xf numFmtId="168" fontId="6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/>
    <xf numFmtId="168" fontId="1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zakupivli.pro/gov/tenders/ua-2025-02-21-008660-a/lot-7d142c426f864b2b8364f606082d47f1" TargetMode="External"/><Relationship Id="rId170" Type="http://schemas.openxmlformats.org/officeDocument/2006/relationships/hyperlink" Target="https://zakupki.prom.ua/gov/tenders/UA-2023-03-15-006780-a/lot-fbe52bc4cc5a469ead68c9f1a58a023a" TargetMode="External"/><Relationship Id="rId987" Type="http://schemas.openxmlformats.org/officeDocument/2006/relationships/hyperlink" Target="https://zakupivli.pro/gov/tenders/UA-2024-03-25-001186-a" TargetMode="External"/><Relationship Id="rId847" Type="http://schemas.openxmlformats.org/officeDocument/2006/relationships/hyperlink" Target="https://zakupivli.pro/gov/tenders/UA-2024-02-20-009792-a" TargetMode="External"/><Relationship Id="rId1477" Type="http://schemas.openxmlformats.org/officeDocument/2006/relationships/hyperlink" Target="https://zakupivli.pro/gov/tenders/ua-2024-11-15-012171-a" TargetMode="External"/><Relationship Id="rId1684" Type="http://schemas.openxmlformats.org/officeDocument/2006/relationships/hyperlink" Target="https://zakupivli.pro/gov/tenders/ua-2025-01-27-015612-a/lot-1aa4d4a700c34f02a01be277e1f3b26f" TargetMode="External"/><Relationship Id="rId1891" Type="http://schemas.openxmlformats.org/officeDocument/2006/relationships/hyperlink" Target="https://zakupivli.pro/gov/tenders/ua-2025-03-21-011182-a" TargetMode="External"/><Relationship Id="rId2528" Type="http://schemas.openxmlformats.org/officeDocument/2006/relationships/hyperlink" Target="https://zakupivli.pro/gov/tenders/ua-2025-12-16-008824-a" TargetMode="External"/><Relationship Id="rId707" Type="http://schemas.openxmlformats.org/officeDocument/2006/relationships/hyperlink" Target="https://my.zakupivli.pro/remote/dispatcher/state_purchase_view/48907510" TargetMode="External"/><Relationship Id="rId914" Type="http://schemas.openxmlformats.org/officeDocument/2006/relationships/hyperlink" Target="https://my.zakupivli.pro/remote/dispatcher/state_purchase_view/49603204" TargetMode="External"/><Relationship Id="rId1337" Type="http://schemas.openxmlformats.org/officeDocument/2006/relationships/hyperlink" Target="https://zakupivli.pro/gov/tenders/ua-2024-09-13-010785-a/lot-34eac7e1ffcb433f884b9f524b4234e4" TargetMode="External"/><Relationship Id="rId1544" Type="http://schemas.openxmlformats.org/officeDocument/2006/relationships/hyperlink" Target="https://my.zakupivli.pro/remote/dispatcher/state_purchase_view/56070139" TargetMode="External"/><Relationship Id="rId1751" Type="http://schemas.openxmlformats.org/officeDocument/2006/relationships/hyperlink" Target="https://zakupivli.pro/gov/tenders/ua-2025-02-05-008804-a/lot-f4b5d89e64d34844ae27bc85a1c79acf" TargetMode="External"/><Relationship Id="rId43" Type="http://schemas.openxmlformats.org/officeDocument/2006/relationships/hyperlink" Target="https://my.zakupki.prom.ua/remote/dispatcher/state_purchase_view/41520067" TargetMode="External"/><Relationship Id="rId1404" Type="http://schemas.openxmlformats.org/officeDocument/2006/relationships/hyperlink" Target="https://my.zakupivli.pro/remote/dispatcher/state_purchase_view/54407139" TargetMode="External"/><Relationship Id="rId1611" Type="http://schemas.openxmlformats.org/officeDocument/2006/relationships/hyperlink" Target="https://zakupivli.pro/gov/tenders/ua-2025-01-14-005210-a/lot-195f9e5d6d6142b39c449679b2321205" TargetMode="External"/><Relationship Id="rId497" Type="http://schemas.openxmlformats.org/officeDocument/2006/relationships/hyperlink" Target="https://my.zakupki.prom.ua/remote/dispatcher/state_purchase_view/45723610" TargetMode="External"/><Relationship Id="rId2178" Type="http://schemas.openxmlformats.org/officeDocument/2006/relationships/hyperlink" Target="https://zakupivli.pro/gov/tenders/ua-2025-07-09-006700-a" TargetMode="External"/><Relationship Id="rId2385" Type="http://schemas.openxmlformats.org/officeDocument/2006/relationships/hyperlink" Target="https://zakupivli.pro/gov/tenders/ua-2025-10-22-004902-a" TargetMode="External"/><Relationship Id="rId357" Type="http://schemas.openxmlformats.org/officeDocument/2006/relationships/hyperlink" Target="https://zakupki.prom.ua/gov/tenders/UA-2023-05-10-013084-a" TargetMode="External"/><Relationship Id="rId1194" Type="http://schemas.openxmlformats.org/officeDocument/2006/relationships/hyperlink" Target="https://my.zakupivli.pro/remote/dispatcher/state_purchase_view/52043167" TargetMode="External"/><Relationship Id="rId2038" Type="http://schemas.openxmlformats.org/officeDocument/2006/relationships/hyperlink" Target="https://my.zakupivli.pro/remote/dispatcher/state_purchase_view/59688234" TargetMode="External"/><Relationship Id="rId217" Type="http://schemas.openxmlformats.org/officeDocument/2006/relationships/hyperlink" Target="https://zakupki.prom.ua/gov/tenders/UA-2023-03-27-006723-a" TargetMode="External"/><Relationship Id="rId564" Type="http://schemas.openxmlformats.org/officeDocument/2006/relationships/hyperlink" Target="https://my.zakupivli.pro/remote/dispatcher/state_purchase_view/48111316" TargetMode="External"/><Relationship Id="rId771" Type="http://schemas.openxmlformats.org/officeDocument/2006/relationships/hyperlink" Target="https://my.zakupivli.pro/remote/dispatcher/state_purchase_view/48971877" TargetMode="External"/><Relationship Id="rId2245" Type="http://schemas.openxmlformats.org/officeDocument/2006/relationships/hyperlink" Target="https://my.zakupivli.pro/remote/dispatcher/state_purchase_view/61224916" TargetMode="External"/><Relationship Id="rId2452" Type="http://schemas.openxmlformats.org/officeDocument/2006/relationships/hyperlink" Target="https://zakupivli.pro/gov/tenders/ua-2025-11-14-012934-a" TargetMode="External"/><Relationship Id="rId424" Type="http://schemas.openxmlformats.org/officeDocument/2006/relationships/hyperlink" Target="https://zakupki.prom.ua/gov/tenders/UA-2023-08-09-003000-a/lot-d4a4536a59314e52a58dc77f503c93ca" TargetMode="External"/><Relationship Id="rId631" Type="http://schemas.openxmlformats.org/officeDocument/2006/relationships/hyperlink" Target="https://zakupivli.pro/gov/tenders/UA-2024-01-22-014388-a" TargetMode="External"/><Relationship Id="rId1054" Type="http://schemas.openxmlformats.org/officeDocument/2006/relationships/hyperlink" Target="https://my.zakupivli.pro/remote/dispatcher/state_purchase_view/50369574" TargetMode="External"/><Relationship Id="rId1261" Type="http://schemas.openxmlformats.org/officeDocument/2006/relationships/hyperlink" Target="https://zakupivli.pro/gov/tenders/UA-2024-08-08-003747-a" TargetMode="External"/><Relationship Id="rId2105" Type="http://schemas.openxmlformats.org/officeDocument/2006/relationships/hyperlink" Target="https://my.zakupivli.pro/remote/dispatcher/state_purchase_view/60216674" TargetMode="External"/><Relationship Id="rId2312" Type="http://schemas.openxmlformats.org/officeDocument/2006/relationships/hyperlink" Target="https://zakupivli.pro/gov/tenders/ua-2025-09-17-012368-a" TargetMode="External"/><Relationship Id="rId1121" Type="http://schemas.openxmlformats.org/officeDocument/2006/relationships/hyperlink" Target="https://my.zakupivli.pro/remote/dispatcher/state_purchase_view/51251419" TargetMode="External"/><Relationship Id="rId1938" Type="http://schemas.openxmlformats.org/officeDocument/2006/relationships/hyperlink" Target="https://zakupivli.pro/gov/tenders/ua-2025-04-08-003191-a" TargetMode="External"/><Relationship Id="rId281" Type="http://schemas.openxmlformats.org/officeDocument/2006/relationships/hyperlink" Target="https://zakupki.prom.ua/gov/tenders/UA-2023-04-03-010145-a" TargetMode="External"/><Relationship Id="rId141" Type="http://schemas.openxmlformats.org/officeDocument/2006/relationships/hyperlink" Target="https://my.zakupki.prom.ua/remote/dispatcher/state_purchase_view/41606245" TargetMode="External"/><Relationship Id="rId7" Type="http://schemas.openxmlformats.org/officeDocument/2006/relationships/hyperlink" Target="https://zakupki.prom.ua/gov/tenders/UA-2022-11-14-013851-a" TargetMode="External"/><Relationship Id="rId958" Type="http://schemas.openxmlformats.org/officeDocument/2006/relationships/hyperlink" Target="https://zakupivli.pro/gov/tenders/UA-2024-03-14-001638-a/lot-05849d1060b84de392d17d138e4058bb" TargetMode="External"/><Relationship Id="rId1588" Type="http://schemas.openxmlformats.org/officeDocument/2006/relationships/hyperlink" Target="https://my.zakupivli.pro/remote/dispatcher/state_purchase_view/56341932" TargetMode="External"/><Relationship Id="rId1795" Type="http://schemas.openxmlformats.org/officeDocument/2006/relationships/hyperlink" Target="https://my.zakupivli.pro/remote/dispatcher/state_purchase_view/57476914" TargetMode="External"/><Relationship Id="rId87" Type="http://schemas.openxmlformats.org/officeDocument/2006/relationships/hyperlink" Target="https://my.zakupki.prom.ua/remote/dispatcher/state_purchase_view/41222289" TargetMode="External"/><Relationship Id="rId818" Type="http://schemas.openxmlformats.org/officeDocument/2006/relationships/hyperlink" Target="https://zakupivli.pro/gov/tenders/UA-2024-02-15-012214-a/lot-990f8dfb41a84e0492d0e6e54657e62f" TargetMode="External"/><Relationship Id="rId1448" Type="http://schemas.openxmlformats.org/officeDocument/2006/relationships/hyperlink" Target="https://my.zakupivli.pro/remote/dispatcher/state_purchase_view/54820835" TargetMode="External"/><Relationship Id="rId1655" Type="http://schemas.openxmlformats.org/officeDocument/2006/relationships/hyperlink" Target="https://zakupivli.pro/gov/tenders/ua-2025-01-27-004273-a" TargetMode="External"/><Relationship Id="rId1308" Type="http://schemas.openxmlformats.org/officeDocument/2006/relationships/hyperlink" Target="https://zakupivli.pro/gov/tenders/UA-2024-08-12-006182-a" TargetMode="External"/><Relationship Id="rId1862" Type="http://schemas.openxmlformats.org/officeDocument/2006/relationships/hyperlink" Target="https://zakupivli.pro/gov/tenders/ua-2025-03-06-012902-a/lot-c427a5dfa4714ff5bf8f32c912ab5d8b" TargetMode="External"/><Relationship Id="rId1515" Type="http://schemas.openxmlformats.org/officeDocument/2006/relationships/hyperlink" Target="https://my.zakupivli.pro/remote/dispatcher/state_purchase_view/55799831" TargetMode="External"/><Relationship Id="rId1722" Type="http://schemas.openxmlformats.org/officeDocument/2006/relationships/hyperlink" Target="https://zakupivli.pro/gov/tenders/ua-2025-01-31-003489-a" TargetMode="External"/><Relationship Id="rId14" Type="http://schemas.openxmlformats.org/officeDocument/2006/relationships/hyperlink" Target="https://zakupki.prom.ua/gov/tenders/UA-2022-12-21-012032-a" TargetMode="External"/><Relationship Id="rId2289" Type="http://schemas.openxmlformats.org/officeDocument/2006/relationships/hyperlink" Target="https://zakupivli.pro/gov/tenders/ua-2025-09-09-009870-a" TargetMode="External"/><Relationship Id="rId2496" Type="http://schemas.openxmlformats.org/officeDocument/2006/relationships/hyperlink" Target="https://zakupivli.pro/gov/tenders/ua-2025-12-09-000925-a" TargetMode="External"/><Relationship Id="rId468" Type="http://schemas.openxmlformats.org/officeDocument/2006/relationships/hyperlink" Target="https://my.zakupki.prom.ua/remote/dispatcher/state_purchase_view/44981628" TargetMode="External"/><Relationship Id="rId675" Type="http://schemas.openxmlformats.org/officeDocument/2006/relationships/hyperlink" Target="https://my.zakupivli.pro/remote/dispatcher/state_purchase_view/48819624" TargetMode="External"/><Relationship Id="rId882" Type="http://schemas.openxmlformats.org/officeDocument/2006/relationships/hyperlink" Target="https://zakupivli.pro/gov/tenders/UA-2024-02-26-000121-a" TargetMode="External"/><Relationship Id="rId1098" Type="http://schemas.openxmlformats.org/officeDocument/2006/relationships/hyperlink" Target="https://zakupivli.pro/gov/tenders/UA-2024-05-10-004917-a" TargetMode="External"/><Relationship Id="rId2149" Type="http://schemas.openxmlformats.org/officeDocument/2006/relationships/hyperlink" Target="https://zakupivli.pro/gov/tenders/ua-2025-06-25-007605-a" TargetMode="External"/><Relationship Id="rId2356" Type="http://schemas.openxmlformats.org/officeDocument/2006/relationships/hyperlink" Target="https://zakupivli.pro/gov/tenders/ua-2025-10-07-000600-a" TargetMode="External"/><Relationship Id="rId328" Type="http://schemas.openxmlformats.org/officeDocument/2006/relationships/hyperlink" Target="https://my.zakupki.prom.ua/remote/dispatcher/state_purchase_view/42379010" TargetMode="External"/><Relationship Id="rId535" Type="http://schemas.openxmlformats.org/officeDocument/2006/relationships/hyperlink" Target="https://my.zakupivli.pro/remote/dispatcher/state_purchase_view/47317977" TargetMode="External"/><Relationship Id="rId742" Type="http://schemas.openxmlformats.org/officeDocument/2006/relationships/hyperlink" Target="https://my.zakupivli.pro/remote/dispatcher/state_purchase_view/48903690" TargetMode="External"/><Relationship Id="rId1165" Type="http://schemas.openxmlformats.org/officeDocument/2006/relationships/hyperlink" Target="https://zakupivli.pro/gov/tenders/UA-2024-06-20-010267-a" TargetMode="External"/><Relationship Id="rId1372" Type="http://schemas.openxmlformats.org/officeDocument/2006/relationships/hyperlink" Target="https://my.zakupivli.pro/remote/dispatcher/state_purchase_view/53861267" TargetMode="External"/><Relationship Id="rId2009" Type="http://schemas.openxmlformats.org/officeDocument/2006/relationships/hyperlink" Target="https://zakupivli.pro/gov/tenders/ua-2025-05-12-011885-a" TargetMode="External"/><Relationship Id="rId2216" Type="http://schemas.openxmlformats.org/officeDocument/2006/relationships/hyperlink" Target="https://my.zakupivli.pro/remote/dispatcher/state_purchase_view/61011379" TargetMode="External"/><Relationship Id="rId2423" Type="http://schemas.openxmlformats.org/officeDocument/2006/relationships/hyperlink" Target="https://my.zakupivli.pro/remote/dispatcher/state_purchase_view/63359805" TargetMode="External"/><Relationship Id="rId602" Type="http://schemas.openxmlformats.org/officeDocument/2006/relationships/hyperlink" Target="https://zakupivli.pro/gov/tenders/UA-2024-01-17-000372-a" TargetMode="External"/><Relationship Id="rId1025" Type="http://schemas.openxmlformats.org/officeDocument/2006/relationships/hyperlink" Target="https://zakupivli.pro/gov/tenders/UA-2024-04-03-003922-a/lot-240932b8881a47c281f0f869225cfa6c" TargetMode="External"/><Relationship Id="rId1232" Type="http://schemas.openxmlformats.org/officeDocument/2006/relationships/hyperlink" Target="https://zakupivli.pro/gov/tenders/UA-2024-07-24-001967-a" TargetMode="External"/><Relationship Id="rId185" Type="http://schemas.openxmlformats.org/officeDocument/2006/relationships/hyperlink" Target="https://zakupki.prom.ua/gov/tenders/UA-2023-03-20-010273-a" TargetMode="External"/><Relationship Id="rId1909" Type="http://schemas.openxmlformats.org/officeDocument/2006/relationships/hyperlink" Target="https://zakupivli.pro/gov/tenders/ua-2025-03-28-000686-a" TargetMode="External"/><Relationship Id="rId392" Type="http://schemas.openxmlformats.org/officeDocument/2006/relationships/hyperlink" Target="https://my.zakupki.prom.ua/remote/dispatcher/state_purchase_view/44101024" TargetMode="External"/><Relationship Id="rId2073" Type="http://schemas.openxmlformats.org/officeDocument/2006/relationships/hyperlink" Target="https://my.zakupivli.pro/remote/dispatcher/state_purchase_view/60068731" TargetMode="External"/><Relationship Id="rId2280" Type="http://schemas.openxmlformats.org/officeDocument/2006/relationships/hyperlink" Target="https://zakupivli.pro/gov/tenders/ua-2025-09-03-000098-a" TargetMode="External"/><Relationship Id="rId252" Type="http://schemas.openxmlformats.org/officeDocument/2006/relationships/hyperlink" Target="https://zakupki.prom.ua/gov/tenders/UA-2023-03-30-005086-a" TargetMode="External"/><Relationship Id="rId2140" Type="http://schemas.openxmlformats.org/officeDocument/2006/relationships/hyperlink" Target="https://zakupivli.pro/gov/tenders/ua-2025-06-24-000612-a" TargetMode="External"/><Relationship Id="rId112" Type="http://schemas.openxmlformats.org/officeDocument/2006/relationships/hyperlink" Target="https://zakupki.prom.ua/gov/tenders/UA-2023-02-13-012766-a" TargetMode="External"/><Relationship Id="rId1699" Type="http://schemas.openxmlformats.org/officeDocument/2006/relationships/hyperlink" Target="https://zakupivli.pro/gov/tenders/ua-2025-01-28-011482-a" TargetMode="External"/><Relationship Id="rId2000" Type="http://schemas.openxmlformats.org/officeDocument/2006/relationships/hyperlink" Target="https://zakupivli.pro/gov/tenders/ua-2025-05-08-001289-a" TargetMode="External"/><Relationship Id="rId929" Type="http://schemas.openxmlformats.org/officeDocument/2006/relationships/hyperlink" Target="https://my.zakupivli.pro/remote/dispatcher/state_purchase_view/49690092" TargetMode="External"/><Relationship Id="rId1559" Type="http://schemas.openxmlformats.org/officeDocument/2006/relationships/hyperlink" Target="https://zakupivli.pro/gov/tenders/ua-2024-12-25-000472-a/lot-da02b9c11d7d432285ebb6054f941b00" TargetMode="External"/><Relationship Id="rId1766" Type="http://schemas.openxmlformats.org/officeDocument/2006/relationships/hyperlink" Target="https://my.zakupivli.pro/remote/dispatcher/state_purchase_view/57385694" TargetMode="External"/><Relationship Id="rId1973" Type="http://schemas.openxmlformats.org/officeDocument/2006/relationships/hyperlink" Target="https://my.zakupivli.pro/remote/dispatcher/state_purchase_view/59128871" TargetMode="External"/><Relationship Id="rId58" Type="http://schemas.openxmlformats.org/officeDocument/2006/relationships/hyperlink" Target="https://my.zakupki.prom.ua/remote/dispatcher/state_purchase_view/41428016" TargetMode="External"/><Relationship Id="rId1419" Type="http://schemas.openxmlformats.org/officeDocument/2006/relationships/hyperlink" Target="https://zakupivli.pro/gov/tenders/ua-2024-11-01-003014-a" TargetMode="External"/><Relationship Id="rId1626" Type="http://schemas.openxmlformats.org/officeDocument/2006/relationships/hyperlink" Target="https://my.zakupivli.pro/remote/dispatcher/state_purchase_view/56709458" TargetMode="External"/><Relationship Id="rId1833" Type="http://schemas.openxmlformats.org/officeDocument/2006/relationships/hyperlink" Target="https://zakupivli.pro/gov/tenders/ua-2025-02-25-008377-a" TargetMode="External"/><Relationship Id="rId1900" Type="http://schemas.openxmlformats.org/officeDocument/2006/relationships/hyperlink" Target="https://zakupivli.pro/gov/tenders/ua-2025-03-24-012151-a/lot-e410f9495fd94b3aa9151c5090bdfd0c" TargetMode="External"/><Relationship Id="rId579" Type="http://schemas.openxmlformats.org/officeDocument/2006/relationships/hyperlink" Target="https://my.zakupivli.pro/remote/dispatcher/state_purchase_view/48207479" TargetMode="External"/><Relationship Id="rId786" Type="http://schemas.openxmlformats.org/officeDocument/2006/relationships/hyperlink" Target="https://zakupivli.pro/gov/tenders/UA-2024-02-07-011926-a/lot-ea104699074e425e9237c4c23d7a5ccf" TargetMode="External"/><Relationship Id="rId993" Type="http://schemas.openxmlformats.org/officeDocument/2006/relationships/hyperlink" Target="https://my.zakupivli.pro/remote/dispatcher/state_purchase_view/49990900" TargetMode="External"/><Relationship Id="rId2467" Type="http://schemas.openxmlformats.org/officeDocument/2006/relationships/hyperlink" Target="https://my.zakupivli.pro/remote/dispatcher/state_purchase_view/63756101" TargetMode="External"/><Relationship Id="rId439" Type="http://schemas.openxmlformats.org/officeDocument/2006/relationships/hyperlink" Target="https://zakupki.prom.ua/gov/tenders/UA-2023-08-23-006097-a" TargetMode="External"/><Relationship Id="rId646" Type="http://schemas.openxmlformats.org/officeDocument/2006/relationships/hyperlink" Target="https://zakupivli.pro/gov/tenders/UA-2024-01-23-002308-a" TargetMode="External"/><Relationship Id="rId1069" Type="http://schemas.openxmlformats.org/officeDocument/2006/relationships/hyperlink" Target="UA-2024-04-25-005173-a" TargetMode="External"/><Relationship Id="rId1276" Type="http://schemas.openxmlformats.org/officeDocument/2006/relationships/hyperlink" Target="https://my.zakupivli.pro/remote/dispatcher/state_purchase_view/52816266" TargetMode="External"/><Relationship Id="rId1483" Type="http://schemas.openxmlformats.org/officeDocument/2006/relationships/hyperlink" Target="https://zakupivli.pro/gov/tenders/ua-2024-11-21-004000-a" TargetMode="External"/><Relationship Id="rId2327" Type="http://schemas.openxmlformats.org/officeDocument/2006/relationships/hyperlink" Target="https://my.zakupivli.pro/remote/dispatcher/state_purchase_view/62255275" TargetMode="External"/><Relationship Id="rId506" Type="http://schemas.openxmlformats.org/officeDocument/2006/relationships/hyperlink" Target="https://zakupivli.pro/gov/tenders/UA-2023-10-24-012659-a" TargetMode="External"/><Relationship Id="rId853" Type="http://schemas.openxmlformats.org/officeDocument/2006/relationships/hyperlink" Target="https://zakupivli.pro/gov/tenders/UA-2024-02-20-007571-a/lot-d243b17001634d16a5f4556887346f70" TargetMode="External"/><Relationship Id="rId1136" Type="http://schemas.openxmlformats.org/officeDocument/2006/relationships/hyperlink" Target="https://my.zakupivli.pro/remote/dispatcher/state_purchase_view/51354614" TargetMode="External"/><Relationship Id="rId1690" Type="http://schemas.openxmlformats.org/officeDocument/2006/relationships/hyperlink" Target="https://my.zakupivli.pro/remote/dispatcher/state_purchase_view/56950592" TargetMode="External"/><Relationship Id="rId2534" Type="http://schemas.openxmlformats.org/officeDocument/2006/relationships/hyperlink" Target="https://zakupivli.pro/gov/tenders/ua-2025-12-19-014480-a" TargetMode="External"/><Relationship Id="rId713" Type="http://schemas.openxmlformats.org/officeDocument/2006/relationships/hyperlink" Target="https://my.zakupivli.pro/remote/dispatcher/state_purchase_view/48907249" TargetMode="External"/><Relationship Id="rId920" Type="http://schemas.openxmlformats.org/officeDocument/2006/relationships/hyperlink" Target="https://my.zakupivli.pro/remote/dispatcher/state_purchase_view/49613449" TargetMode="External"/><Relationship Id="rId1343" Type="http://schemas.openxmlformats.org/officeDocument/2006/relationships/hyperlink" Target="https://my.zakupivli.pro/remote/dispatcher/state_purchase_view/53498923" TargetMode="External"/><Relationship Id="rId1550" Type="http://schemas.openxmlformats.org/officeDocument/2006/relationships/hyperlink" Target="https://my.zakupivli.pro/remote/dispatcher/state_purchase_view/56178120" TargetMode="External"/><Relationship Id="rId1203" Type="http://schemas.openxmlformats.org/officeDocument/2006/relationships/hyperlink" Target="https://zakupivli.pro/gov/tenders/UA-2024-07-15-002029-a" TargetMode="External"/><Relationship Id="rId1410" Type="http://schemas.openxmlformats.org/officeDocument/2006/relationships/hyperlink" Target="https://my.zakupivli.pro/remote/dispatcher/state_purchase_view/54476090" TargetMode="External"/><Relationship Id="rId296" Type="http://schemas.openxmlformats.org/officeDocument/2006/relationships/hyperlink" Target="https://my.zakupki.prom.ua/remote/dispatcher/state_purchase_view/41829038" TargetMode="External"/><Relationship Id="rId2184" Type="http://schemas.openxmlformats.org/officeDocument/2006/relationships/hyperlink" Target="https://zakupivli.pro/gov/tenders/ua-2025-07-17-010273-a" TargetMode="External"/><Relationship Id="rId2391" Type="http://schemas.openxmlformats.org/officeDocument/2006/relationships/hyperlink" Target="https://my.zakupivli.pro/remote/dispatcher/state_purchase_view/62909383" TargetMode="External"/><Relationship Id="rId156" Type="http://schemas.openxmlformats.org/officeDocument/2006/relationships/hyperlink" Target="https://zakupki.prom.ua/gov/tenders/UA-2023-03-10-000148-a/lot-a85007dba86c422192a47483f5ef0ac1" TargetMode="External"/><Relationship Id="rId363" Type="http://schemas.openxmlformats.org/officeDocument/2006/relationships/hyperlink" Target="https://zakupki.prom.ua/gov/tenders/UA-2023-05-12-007007-a" TargetMode="External"/><Relationship Id="rId570" Type="http://schemas.openxmlformats.org/officeDocument/2006/relationships/hyperlink" Target="https://zakupivli.pro/gov/tenders/UA-2023-12-29-001754-a" TargetMode="External"/><Relationship Id="rId2044" Type="http://schemas.openxmlformats.org/officeDocument/2006/relationships/hyperlink" Target="https://my.zakupivli.pro/remote/dispatcher/state_purchase_view/59778258" TargetMode="External"/><Relationship Id="rId2251" Type="http://schemas.openxmlformats.org/officeDocument/2006/relationships/hyperlink" Target="https://zakupivli.pro/gov/tenders/ua-2025-08-13-007291-a" TargetMode="External"/><Relationship Id="rId223" Type="http://schemas.openxmlformats.org/officeDocument/2006/relationships/hyperlink" Target="https://zakupki.prom.ua/gov/tenders/UA-2023-03-27-004027-a" TargetMode="External"/><Relationship Id="rId430" Type="http://schemas.openxmlformats.org/officeDocument/2006/relationships/hyperlink" Target="https://zakupki.prom.ua/gov/tenders/UA-2023-08-10-000166-a" TargetMode="External"/><Relationship Id="rId1060" Type="http://schemas.openxmlformats.org/officeDocument/2006/relationships/hyperlink" Target="https://my.zakupivli.pro/remote/dispatcher/state_purchase_view/50523737" TargetMode="External"/><Relationship Id="rId2111" Type="http://schemas.openxmlformats.org/officeDocument/2006/relationships/hyperlink" Target="https://my.zakupivli.pro/remote/dispatcher/state_purchase_view/60215232" TargetMode="External"/><Relationship Id="rId1877" Type="http://schemas.openxmlformats.org/officeDocument/2006/relationships/hyperlink" Target="https://my.zakupivli.pro/remote/dispatcher/state_purchase_view/58096222" TargetMode="External"/><Relationship Id="rId1737" Type="http://schemas.openxmlformats.org/officeDocument/2006/relationships/hyperlink" Target="https://zakupivli.pro/gov/tenders/ua-2025-02-03-000158-a" TargetMode="External"/><Relationship Id="rId1944" Type="http://schemas.openxmlformats.org/officeDocument/2006/relationships/hyperlink" Target="https://zakupivli.pro/gov/tenders/ua-2025-04-09-007809-a" TargetMode="External"/><Relationship Id="rId29" Type="http://schemas.openxmlformats.org/officeDocument/2006/relationships/hyperlink" Target="https://zakupki.prom.ua/gov/tenders/UA-2023-02-01-009402-a/lot-cdc0f5a6dac2418db68318cb50f81b7a" TargetMode="External"/><Relationship Id="rId1804" Type="http://schemas.openxmlformats.org/officeDocument/2006/relationships/hyperlink" Target="https://zakupivli.pro/gov/tenders/ua-2025-02-14-007472-a/lot-c8d5d5cc5f4645c4a95504f29a895189" TargetMode="External"/><Relationship Id="rId897" Type="http://schemas.openxmlformats.org/officeDocument/2006/relationships/hyperlink" Target="https://my.zakupivli.pro/remote/dispatcher/state_purchase_view/49535400" TargetMode="External"/><Relationship Id="rId757" Type="http://schemas.openxmlformats.org/officeDocument/2006/relationships/hyperlink" Target="https://my.zakupivli.pro/remote/dispatcher/state_purchase_view/48908032" TargetMode="External"/><Relationship Id="rId964" Type="http://schemas.openxmlformats.org/officeDocument/2006/relationships/hyperlink" Target="https://zakupivli.pro/gov/tenders/UA-2024-03-15-009363-a/lot-bfff6f72cd2f440c9d6ffbbe3852a50d" TargetMode="External"/><Relationship Id="rId1387" Type="http://schemas.openxmlformats.org/officeDocument/2006/relationships/hyperlink" Target="https://zakupivli.pro/gov/tenders/ua-2024-10-17-014575-a" TargetMode="External"/><Relationship Id="rId1594" Type="http://schemas.openxmlformats.org/officeDocument/2006/relationships/hyperlink" Target="https://zakupivli.pro/gov/tenders/ua-2025-01-03-003984-a/lot-d9dc049fd427431c887b0b22fc44c310" TargetMode="External"/><Relationship Id="rId2438" Type="http://schemas.openxmlformats.org/officeDocument/2006/relationships/hyperlink" Target="https://my.zakupivli.pro/remote/dispatcher/state_purchase_view/63502920" TargetMode="External"/><Relationship Id="rId93" Type="http://schemas.openxmlformats.org/officeDocument/2006/relationships/hyperlink" Target="https://my.zakupki.prom.ua/remote/dispatcher/state_purchase_view/41190509" TargetMode="External"/><Relationship Id="rId617" Type="http://schemas.openxmlformats.org/officeDocument/2006/relationships/hyperlink" Target="https://my.zakupivli.pro/remote/dispatcher/state_purchase_view/48484797" TargetMode="External"/><Relationship Id="rId824" Type="http://schemas.openxmlformats.org/officeDocument/2006/relationships/hyperlink" Target="https://my.zakupivli.pro/remote/dispatcher/state_purchase_view/49304806" TargetMode="External"/><Relationship Id="rId1247" Type="http://schemas.openxmlformats.org/officeDocument/2006/relationships/hyperlink" Target="https://zakupivli.pro/gov/tenders/UA-2024-08-01-006484-a" TargetMode="External"/><Relationship Id="rId1454" Type="http://schemas.openxmlformats.org/officeDocument/2006/relationships/hyperlink" Target="https://my.zakupivli.pro/remote/dispatcher/state_purchase_view/54819986" TargetMode="External"/><Relationship Id="rId1661" Type="http://schemas.openxmlformats.org/officeDocument/2006/relationships/hyperlink" Target="https://zakupivli.pro/gov/tenders/ua-2025-01-27-012138-a/lot-829e8af6f8794bdab5ad08ace204eed8" TargetMode="External"/><Relationship Id="rId2505" Type="http://schemas.openxmlformats.org/officeDocument/2006/relationships/hyperlink" Target="https://zakupivli.pro/gov/tenders/ua-2025-12-11-006316-a" TargetMode="External"/><Relationship Id="rId1107" Type="http://schemas.openxmlformats.org/officeDocument/2006/relationships/hyperlink" Target="https://zakupivli.pro/gov/tenders/UA-2024-05-20-009265-a" TargetMode="External"/><Relationship Id="rId1314" Type="http://schemas.openxmlformats.org/officeDocument/2006/relationships/hyperlink" Target="https://my.zakupivli.pro/remote/dispatcher/state_purchase_view/53031151" TargetMode="External"/><Relationship Id="rId1521" Type="http://schemas.openxmlformats.org/officeDocument/2006/relationships/hyperlink" Target="https://my.zakupivli.pro/remote/dispatcher/state_purchase_view/55863477" TargetMode="External"/><Relationship Id="rId20" Type="http://schemas.openxmlformats.org/officeDocument/2006/relationships/hyperlink" Target="https://my.zakupki.prom.ua/remote/dispatcher/state_purchase_view/40091969" TargetMode="External"/><Relationship Id="rId2088" Type="http://schemas.openxmlformats.org/officeDocument/2006/relationships/hyperlink" Target="https://zakupivli.pro/gov/tenders/ua-2025-06-12-008984-a" TargetMode="External"/><Relationship Id="rId2295" Type="http://schemas.openxmlformats.org/officeDocument/2006/relationships/hyperlink" Target="https://my.zakupivli.pro/remote/dispatcher/state_purchase_view/61902847" TargetMode="External"/><Relationship Id="rId267" Type="http://schemas.openxmlformats.org/officeDocument/2006/relationships/hyperlink" Target="https://my.zakupki.prom.ua/remote/dispatcher/state_purchase_view/41781166" TargetMode="External"/><Relationship Id="rId474" Type="http://schemas.openxmlformats.org/officeDocument/2006/relationships/hyperlink" Target="https://zakupki.prom.ua/gov/tenders/UA-2023-09-06-007510-a/lot-ddd47924b96643848ed653cb9b1df1da" TargetMode="External"/><Relationship Id="rId2155" Type="http://schemas.openxmlformats.org/officeDocument/2006/relationships/hyperlink" Target="https://my.zakupivli.pro/remote/dispatcher/state_purchase_view/60535635" TargetMode="External"/><Relationship Id="rId127" Type="http://schemas.openxmlformats.org/officeDocument/2006/relationships/hyperlink" Target="https://zakupki.prom.ua/gov/tenders/UA-2023-03-02-009369-a/lot-78babed45489468387c6b0be896d083e" TargetMode="External"/><Relationship Id="rId681" Type="http://schemas.openxmlformats.org/officeDocument/2006/relationships/hyperlink" Target="https://my.zakupivli.pro/remote/dispatcher/state_purchase_view/48825205" TargetMode="External"/><Relationship Id="rId2362" Type="http://schemas.openxmlformats.org/officeDocument/2006/relationships/hyperlink" Target="https://my.zakupivli.pro/remote/dispatcher/state_purchase_view/62764998" TargetMode="External"/><Relationship Id="rId334" Type="http://schemas.openxmlformats.org/officeDocument/2006/relationships/hyperlink" Target="https://my.zakupki.prom.ua/remote/dispatcher/state_purchase_view/42221401" TargetMode="External"/><Relationship Id="rId541" Type="http://schemas.openxmlformats.org/officeDocument/2006/relationships/hyperlink" Target="https://my.zakupivli.pro/remote/dispatcher/state_purchase_view/47491667" TargetMode="External"/><Relationship Id="rId1171" Type="http://schemas.openxmlformats.org/officeDocument/2006/relationships/hyperlink" Target="https://my.zakupivli.pro/remote/dispatcher/state_purchase_view/51817543" TargetMode="External"/><Relationship Id="rId2015" Type="http://schemas.openxmlformats.org/officeDocument/2006/relationships/hyperlink" Target="https://my.zakupivli.pro/remote/dispatcher/state_purchase_view/59464900" TargetMode="External"/><Relationship Id="rId2222" Type="http://schemas.openxmlformats.org/officeDocument/2006/relationships/hyperlink" Target="https://zakupivli.pro/gov/tenders/ua-2025-07-31-000211-a" TargetMode="External"/><Relationship Id="rId401" Type="http://schemas.openxmlformats.org/officeDocument/2006/relationships/hyperlink" Target="https://zakupki.prom.ua/gov/tenders/UA-2023-07-24-008868-a" TargetMode="External"/><Relationship Id="rId1031" Type="http://schemas.openxmlformats.org/officeDocument/2006/relationships/hyperlink" Target="https://zakupivli.pro/gov/tenders/UA-2024-04-03-011369-a" TargetMode="External"/><Relationship Id="rId1988" Type="http://schemas.openxmlformats.org/officeDocument/2006/relationships/hyperlink" Target="https://zakupivli.pro/gov/tenders/ua-2025-05-06-010317-a" TargetMode="External"/><Relationship Id="rId1848" Type="http://schemas.openxmlformats.org/officeDocument/2006/relationships/hyperlink" Target="https://zakupivli.pro/gov/tenders/ua-2025-02-27-009761-a/lot-bc2012377fee4754b5af103061ab9e97" TargetMode="External"/><Relationship Id="rId191" Type="http://schemas.openxmlformats.org/officeDocument/2006/relationships/hyperlink" Target="https://zakupki.prom.ua/gov/tenders/UA-2023-03-20-010007-a" TargetMode="External"/><Relationship Id="rId1708" Type="http://schemas.openxmlformats.org/officeDocument/2006/relationships/hyperlink" Target="https://zakupivli.pro/gov/tenders/ua-2025-01-30-008146-a/lot-4e7bb5152a3340e2823a16de636f491d" TargetMode="External"/><Relationship Id="rId1915" Type="http://schemas.openxmlformats.org/officeDocument/2006/relationships/hyperlink" Target="https://my.zakupivli.pro/remote/dispatcher/state_purchase_view/58524451" TargetMode="External"/><Relationship Id="rId868" Type="http://schemas.openxmlformats.org/officeDocument/2006/relationships/hyperlink" Target="https://zakupivli.pro/gov/tenders/UA-2024-02-22-000344-a" TargetMode="External"/><Relationship Id="rId1498" Type="http://schemas.openxmlformats.org/officeDocument/2006/relationships/hyperlink" Target="https://zakupivli.pro/gov/tenders/ua-2024-12-06-014938-a" TargetMode="External"/><Relationship Id="rId728" Type="http://schemas.openxmlformats.org/officeDocument/2006/relationships/hyperlink" Target="https://my.zakupivli.pro/remote/dispatcher/state_purchase_view/48905205" TargetMode="External"/><Relationship Id="rId935" Type="http://schemas.openxmlformats.org/officeDocument/2006/relationships/hyperlink" Target="https://zakupivli.pro/gov/tenders/UA-2024-03-11-000098-a" TargetMode="External"/><Relationship Id="rId1358" Type="http://schemas.openxmlformats.org/officeDocument/2006/relationships/hyperlink" Target="https://zakupivli.pro/gov/tenders/ua-2024-09-25-012201-a" TargetMode="External"/><Relationship Id="rId1565" Type="http://schemas.openxmlformats.org/officeDocument/2006/relationships/hyperlink" Target="https://my.zakupivli.pro/remote/dispatcher/state_purchase_view/56200541" TargetMode="External"/><Relationship Id="rId1772" Type="http://schemas.openxmlformats.org/officeDocument/2006/relationships/hyperlink" Target="https://zakupivli.pro/gov/tenders/ua-2025-02-11-014703-a/lot-74f1ea1d960c4f238096402c86a9ef27" TargetMode="External"/><Relationship Id="rId2409" Type="http://schemas.openxmlformats.org/officeDocument/2006/relationships/hyperlink" Target="https://zakupivli.pro/gov/tenders/ua-2025-10-30-000711-a" TargetMode="External"/><Relationship Id="rId64" Type="http://schemas.openxmlformats.org/officeDocument/2006/relationships/hyperlink" Target="https://my.zakupki.prom.ua/remote/dispatcher/state_purchase_view/41426613" TargetMode="External"/><Relationship Id="rId1218" Type="http://schemas.openxmlformats.org/officeDocument/2006/relationships/hyperlink" Target="https://zakupivli.pro/gov/tenders/UA-2024-07-22-002244-a" TargetMode="External"/><Relationship Id="rId1425" Type="http://schemas.openxmlformats.org/officeDocument/2006/relationships/hyperlink" Target="https://zakupivli.pro/gov/tenders/ua-2024-11-05-013976-a" TargetMode="External"/><Relationship Id="rId1632" Type="http://schemas.openxmlformats.org/officeDocument/2006/relationships/hyperlink" Target="https://my.zakupivli.pro/remote/dispatcher/state_purchase_view/56754629" TargetMode="External"/><Relationship Id="rId2199" Type="http://schemas.openxmlformats.org/officeDocument/2006/relationships/hyperlink" Target="https://zakupivli.pro/gov/tenders/ua-2025-07-24-005897-a" TargetMode="External"/><Relationship Id="rId378" Type="http://schemas.openxmlformats.org/officeDocument/2006/relationships/hyperlink" Target="https://zakupki.prom.ua/gov/tenders/UA-2023-06-15-008882-a" TargetMode="External"/><Relationship Id="rId585" Type="http://schemas.openxmlformats.org/officeDocument/2006/relationships/hyperlink" Target="https://my.zakupivli.pro/remote/dispatcher/state_purchase_view/48216345" TargetMode="External"/><Relationship Id="rId792" Type="http://schemas.openxmlformats.org/officeDocument/2006/relationships/hyperlink" Target="https://my.zakupivli.pro/remote/dispatcher/state_purchase_view/49025987" TargetMode="External"/><Relationship Id="rId2059" Type="http://schemas.openxmlformats.org/officeDocument/2006/relationships/hyperlink" Target="https://my.zakupivli.pro/remote/dispatcher/state_purchase_view/59904811" TargetMode="External"/><Relationship Id="rId2266" Type="http://schemas.openxmlformats.org/officeDocument/2006/relationships/hyperlink" Target="https://zakupivli.pro/gov/tenders/ua-2025-08-22-008690-a" TargetMode="External"/><Relationship Id="rId2473" Type="http://schemas.openxmlformats.org/officeDocument/2006/relationships/hyperlink" Target="https://my.zakupivli.pro/remote/dispatcher/state_purchase_view/63815649" TargetMode="External"/><Relationship Id="rId238" Type="http://schemas.openxmlformats.org/officeDocument/2006/relationships/hyperlink" Target="https://my.zakupki.prom.ua/remote/dispatcher/state_purchase_view/41720050" TargetMode="External"/><Relationship Id="rId445" Type="http://schemas.openxmlformats.org/officeDocument/2006/relationships/hyperlink" Target="https://zakupki.prom.ua/gov/tenders/UA-2023-09-04-001378-a" TargetMode="External"/><Relationship Id="rId652" Type="http://schemas.openxmlformats.org/officeDocument/2006/relationships/hyperlink" Target="https://my.zakupivli.pro/remote/dispatcher/state_purchase_view/48637783" TargetMode="External"/><Relationship Id="rId1075" Type="http://schemas.openxmlformats.org/officeDocument/2006/relationships/hyperlink" Target="https://zakupivli.pro/gov/tenders/UA-2024-04-30-008406-a" TargetMode="External"/><Relationship Id="rId1282" Type="http://schemas.openxmlformats.org/officeDocument/2006/relationships/hyperlink" Target="https://my.zakupivli.pro/remote/dispatcher/state_purchase_view/52758890" TargetMode="External"/><Relationship Id="rId2126" Type="http://schemas.openxmlformats.org/officeDocument/2006/relationships/hyperlink" Target="https://zakupivli.pro/gov/tenders/ua-2025-06-20-002761-a" TargetMode="External"/><Relationship Id="rId2333" Type="http://schemas.openxmlformats.org/officeDocument/2006/relationships/hyperlink" Target="https://my.zakupivli.pro/remote/dispatcher/state_purchase_view/62282984" TargetMode="External"/><Relationship Id="rId2540" Type="http://schemas.openxmlformats.org/officeDocument/2006/relationships/hyperlink" Target="https://zakupivli.pro/gov/tenders/ua-2025-12-26-002869-a" TargetMode="External"/><Relationship Id="rId305" Type="http://schemas.openxmlformats.org/officeDocument/2006/relationships/hyperlink" Target="https://zakupki.prom.ua/gov/tenders/UA-2023-04-04-001043-a" TargetMode="External"/><Relationship Id="rId512" Type="http://schemas.openxmlformats.org/officeDocument/2006/relationships/hyperlink" Target="https://zakupivli.pro/gov/tenders/UA-2023-10-25-013765-a" TargetMode="External"/><Relationship Id="rId1142" Type="http://schemas.openxmlformats.org/officeDocument/2006/relationships/hyperlink" Target="https://my.zakupivli.pro/remote/dispatcher/state_purchase_view/51454131" TargetMode="External"/><Relationship Id="rId2400" Type="http://schemas.openxmlformats.org/officeDocument/2006/relationships/hyperlink" Target="https://zakupivli.pro/gov/tenders/ua-2025-10-24-004217-a" TargetMode="External"/><Relationship Id="rId1002" Type="http://schemas.openxmlformats.org/officeDocument/2006/relationships/hyperlink" Target="https://my.zakupivli.pro/remote/dispatcher/state_purchase_view/50096341" TargetMode="External"/><Relationship Id="rId1959" Type="http://schemas.openxmlformats.org/officeDocument/2006/relationships/hyperlink" Target="https://my.zakupivli.pro/remote/dispatcher/state_purchase_view/58853384" TargetMode="External"/><Relationship Id="rId1819" Type="http://schemas.openxmlformats.org/officeDocument/2006/relationships/hyperlink" Target="https://zakupivli.pro/gov/tenders/ua-2025-02-20-002410-a/lot-4d8c32db68af45aa9cf9e1561776df37" TargetMode="External"/><Relationship Id="rId2190" Type="http://schemas.openxmlformats.org/officeDocument/2006/relationships/hyperlink" Target="https://zakupivli.pro/gov/tenders/ua-2025-07-22-007339-a" TargetMode="External"/><Relationship Id="rId162" Type="http://schemas.openxmlformats.org/officeDocument/2006/relationships/hyperlink" Target="https://zakupki.prom.ua/gov/tenders/UA-2023-03-15-010399-a/lot-f58568e690d642f59d278c4589415449" TargetMode="External"/><Relationship Id="rId2050" Type="http://schemas.openxmlformats.org/officeDocument/2006/relationships/hyperlink" Target="https://zakupivli.pro/gov/tenders/ua-2025-05-30-000803-a" TargetMode="External"/><Relationship Id="rId979" Type="http://schemas.openxmlformats.org/officeDocument/2006/relationships/hyperlink" Target="https://zakupivli.pro/gov/tenders/UA-2024-03-25-001536-a" TargetMode="External"/><Relationship Id="rId839" Type="http://schemas.openxmlformats.org/officeDocument/2006/relationships/hyperlink" Target="https://zakupivli.pro/gov/tenders/UA-2024-02-20-011455-a" TargetMode="External"/><Relationship Id="rId1469" Type="http://schemas.openxmlformats.org/officeDocument/2006/relationships/hyperlink" Target="https://zakupivli.pro/gov/tenders/ua-2024-11-14-000435-a/lot-8f19eeb085d646b49b6ef911f2f940b4" TargetMode="External"/><Relationship Id="rId1676" Type="http://schemas.openxmlformats.org/officeDocument/2006/relationships/hyperlink" Target="https://zakupivli.pro/gov/tenders/ua-2025-01-27-014685-a/lot-7ebf7d015b0e43e2ad5e33a049576feb" TargetMode="External"/><Relationship Id="rId1883" Type="http://schemas.openxmlformats.org/officeDocument/2006/relationships/hyperlink" Target="https://my.zakupivli.pro/remote/dispatcher/state_purchase_view/58211601" TargetMode="External"/><Relationship Id="rId906" Type="http://schemas.openxmlformats.org/officeDocument/2006/relationships/hyperlink" Target="https://my.zakupivli.pro/remote/dispatcher/state_purchase_view/49550686" TargetMode="External"/><Relationship Id="rId1329" Type="http://schemas.openxmlformats.org/officeDocument/2006/relationships/hyperlink" Target="https://zakupivli.pro/gov/tenders/ua-2024-09-12-010471-a/lot-4b4b3bb6233b497487c702bf630a3036" TargetMode="External"/><Relationship Id="rId1536" Type="http://schemas.openxmlformats.org/officeDocument/2006/relationships/hyperlink" Target="https://zakupivli.pro/gov/tenders/ua-2024-12-19-015237-a/lot-314cfa8962ac4a7692f6a0a741729e26" TargetMode="External"/><Relationship Id="rId1743" Type="http://schemas.openxmlformats.org/officeDocument/2006/relationships/hyperlink" Target="https://my.zakupivli.pro/remote/dispatcher/state_purchase_view/57220098" TargetMode="External"/><Relationship Id="rId1950" Type="http://schemas.openxmlformats.org/officeDocument/2006/relationships/hyperlink" Target="https://zakupivli.pro/gov/tenders/ua-2025-04-14-002092-a" TargetMode="External"/><Relationship Id="rId35" Type="http://schemas.openxmlformats.org/officeDocument/2006/relationships/hyperlink" Target="https://my.zakupki.prom.ua/remote/dispatcher/state_purchase_view/41521877" TargetMode="External"/><Relationship Id="rId1603" Type="http://schemas.openxmlformats.org/officeDocument/2006/relationships/hyperlink" Target="https://zakupivli.pro/gov/tenders/ua-2025-01-08-001594-a/lot-09dfeed27af7413b87449fe990a10f59" TargetMode="External"/><Relationship Id="rId1810" Type="http://schemas.openxmlformats.org/officeDocument/2006/relationships/hyperlink" Target="https://my.zakupivli.pro/remote/dispatcher/state_purchase_view/57612514" TargetMode="External"/><Relationship Id="rId489" Type="http://schemas.openxmlformats.org/officeDocument/2006/relationships/hyperlink" Target="https://my.zakupki.prom.ua/remote/dispatcher/state_purchase_view/45482565" TargetMode="External"/><Relationship Id="rId696" Type="http://schemas.openxmlformats.org/officeDocument/2006/relationships/hyperlink" Target="https://zakupivli.pro/gov/tenders/UA-2024-02-01-010457-a" TargetMode="External"/><Relationship Id="rId2377" Type="http://schemas.openxmlformats.org/officeDocument/2006/relationships/hyperlink" Target="https://my.zakupivli.pro/remote/dispatcher/state_purchase_view/62855820" TargetMode="External"/><Relationship Id="rId349" Type="http://schemas.openxmlformats.org/officeDocument/2006/relationships/hyperlink" Target="https://my.zakupki.prom.ua/remote/dispatcher/state_purchase_view/42556878" TargetMode="External"/><Relationship Id="rId556" Type="http://schemas.openxmlformats.org/officeDocument/2006/relationships/hyperlink" Target="https://zakupivli.pro/gov/tenders/UA-2023-12-28-008817-a" TargetMode="External"/><Relationship Id="rId763" Type="http://schemas.openxmlformats.org/officeDocument/2006/relationships/hyperlink" Target="https://zakupivli.pro/gov/tenders/UA-2024-02-02-013167-a" TargetMode="External"/><Relationship Id="rId1186" Type="http://schemas.openxmlformats.org/officeDocument/2006/relationships/hyperlink" Target="https://my.zakupivli.pro/remote/dispatcher/state_purchase_view/51920404" TargetMode="External"/><Relationship Id="rId1393" Type="http://schemas.openxmlformats.org/officeDocument/2006/relationships/hyperlink" Target="https://zakupivli.pro/gov/tenders/ua-2024-10-25-003611-a" TargetMode="External"/><Relationship Id="rId2237" Type="http://schemas.openxmlformats.org/officeDocument/2006/relationships/hyperlink" Target="https://my.zakupivli.pro/remote/dispatcher/state_purchase_view/61157905" TargetMode="External"/><Relationship Id="rId2444" Type="http://schemas.openxmlformats.org/officeDocument/2006/relationships/hyperlink" Target="https://my.zakupivli.pro/remote/dispatcher/state_purchase_view/63539971" TargetMode="External"/><Relationship Id="rId209" Type="http://schemas.openxmlformats.org/officeDocument/2006/relationships/hyperlink" Target="https://my.zakupki.prom.ua/remote/dispatcher/state_purchase_view/41675869" TargetMode="External"/><Relationship Id="rId416" Type="http://schemas.openxmlformats.org/officeDocument/2006/relationships/hyperlink" Target="https://my.zakupki.prom.ua/remote/dispatcher/state_purchase_view/44442189" TargetMode="External"/><Relationship Id="rId970" Type="http://schemas.openxmlformats.org/officeDocument/2006/relationships/hyperlink" Target="https://my.zakupivli.pro/remote/dispatcher/state_purchase_view/49949189" TargetMode="External"/><Relationship Id="rId1046" Type="http://schemas.openxmlformats.org/officeDocument/2006/relationships/hyperlink" Target="https://zakupivli.pro/gov/tenders/UA-2024-04-09-000302-a" TargetMode="External"/><Relationship Id="rId1253" Type="http://schemas.openxmlformats.org/officeDocument/2006/relationships/hyperlink" Target="https://zakupivli.pro/gov/tenders/UA-2024-08-05-006635-a" TargetMode="External"/><Relationship Id="rId623" Type="http://schemas.openxmlformats.org/officeDocument/2006/relationships/hyperlink" Target="https://my.zakupivli.pro/remote/dispatcher/state_purchase_view/48488090" TargetMode="External"/><Relationship Id="rId830" Type="http://schemas.openxmlformats.org/officeDocument/2006/relationships/hyperlink" Target="https://my.zakupivli.pro/remote/dispatcher/state_purchase_view/49301958" TargetMode="External"/><Relationship Id="rId1460" Type="http://schemas.openxmlformats.org/officeDocument/2006/relationships/hyperlink" Target="https://zakupivli.pro/gov/tenders/ua-2024-11-14-014426-a" TargetMode="External"/><Relationship Id="rId2304" Type="http://schemas.openxmlformats.org/officeDocument/2006/relationships/hyperlink" Target="https://zakupivli.pro/gov/tenders/ua-2025-09-16-004591-a" TargetMode="External"/><Relationship Id="rId2511" Type="http://schemas.openxmlformats.org/officeDocument/2006/relationships/hyperlink" Target="https://my.zakupivli.pro/remote/dispatcher/state_purchase_view/64535420" TargetMode="External"/><Relationship Id="rId1113" Type="http://schemas.openxmlformats.org/officeDocument/2006/relationships/hyperlink" Target="https://my.zakupivli.pro/remote/dispatcher/state_purchase_view/51180705" TargetMode="External"/><Relationship Id="rId1320" Type="http://schemas.openxmlformats.org/officeDocument/2006/relationships/hyperlink" Target="https://zakupivli.pro/gov/tenders/UA-2024-09-09-007168-a/lot-49901563156c4bae92ed375affbc0b3d" TargetMode="External"/><Relationship Id="rId2094" Type="http://schemas.openxmlformats.org/officeDocument/2006/relationships/hyperlink" Target="https://zakupivli.pro/gov/tenders/ua-2025-06-12-000284-a/lot-1e0182cc577d49c9af4f2131102c902f" TargetMode="External"/><Relationship Id="rId273" Type="http://schemas.openxmlformats.org/officeDocument/2006/relationships/hyperlink" Target="https://my.zakupki.prom.ua/remote/dispatcher/state_purchase_view/41777563" TargetMode="External"/><Relationship Id="rId480" Type="http://schemas.openxmlformats.org/officeDocument/2006/relationships/hyperlink" Target="https://my.zakupki.prom.ua/remote/dispatcher/state_purchase_view/45319690" TargetMode="External"/><Relationship Id="rId2161" Type="http://schemas.openxmlformats.org/officeDocument/2006/relationships/hyperlink" Target="https://zakupivli.pro/gov/tenders/ua-2025-07-04-006242-a" TargetMode="External"/><Relationship Id="rId133" Type="http://schemas.openxmlformats.org/officeDocument/2006/relationships/hyperlink" Target="https://zakupki.prom.ua/gov/tenders/UA-2023-03-03-009686-a" TargetMode="External"/><Relationship Id="rId340" Type="http://schemas.openxmlformats.org/officeDocument/2006/relationships/hyperlink" Target="https://zakupki.prom.ua/gov/tenders/UA-2023-04-27-002688-a" TargetMode="External"/><Relationship Id="rId2021" Type="http://schemas.openxmlformats.org/officeDocument/2006/relationships/hyperlink" Target="https://my.zakupivli.pro/remote/dispatcher/state_purchase_view/59518976" TargetMode="External"/><Relationship Id="rId200" Type="http://schemas.openxmlformats.org/officeDocument/2006/relationships/hyperlink" Target="https://zakupki.prom.ua/gov/tenders/UA-2023-03-23-010947-a" TargetMode="External"/><Relationship Id="rId1787" Type="http://schemas.openxmlformats.org/officeDocument/2006/relationships/hyperlink" Target="https://zakupivli.pro/gov/tenders/ua-2025-02-13-008334-a" TargetMode="External"/><Relationship Id="rId1994" Type="http://schemas.openxmlformats.org/officeDocument/2006/relationships/hyperlink" Target="https://zakupivli.pro/gov/tenders/ua-2025-05-07-007781-a" TargetMode="External"/><Relationship Id="rId79" Type="http://schemas.openxmlformats.org/officeDocument/2006/relationships/hyperlink" Target="https://my.zakupki.prom.ua/remote/dispatcher/state_purchase_view/41328890" TargetMode="External"/><Relationship Id="rId1647" Type="http://schemas.openxmlformats.org/officeDocument/2006/relationships/hyperlink" Target="https://zakupivli.pro/gov/tenders/ua-2025-01-22-002610-a" TargetMode="External"/><Relationship Id="rId1854" Type="http://schemas.openxmlformats.org/officeDocument/2006/relationships/hyperlink" Target="https://my.zakupivli.pro/remote/dispatcher/state_purchase_view/57859720" TargetMode="External"/><Relationship Id="rId1507" Type="http://schemas.openxmlformats.org/officeDocument/2006/relationships/hyperlink" Target="https://my.zakupivli.pro/remote/dispatcher/state_purchase_view/55292923" TargetMode="External"/><Relationship Id="rId1714" Type="http://schemas.openxmlformats.org/officeDocument/2006/relationships/hyperlink" Target="https://my.zakupivli.pro/remote/dispatcher/state_purchase_view/57092256" TargetMode="External"/><Relationship Id="rId1921" Type="http://schemas.openxmlformats.org/officeDocument/2006/relationships/hyperlink" Target="https://zakupivli.pro/gov/tenders/ua-2025-04-03-000378-a" TargetMode="External"/><Relationship Id="rId2488" Type="http://schemas.openxmlformats.org/officeDocument/2006/relationships/hyperlink" Target="https://my.zakupivli.pro/remote/dispatcher/state_purchase_view/64233392" TargetMode="External"/><Relationship Id="rId1297" Type="http://schemas.openxmlformats.org/officeDocument/2006/relationships/hyperlink" Target="https://zakupivli.pro/gov/tenders/UA-2024-08-16-002910-a/lot-c6893bc9d2e647f9898277bf8dc55fab" TargetMode="External"/><Relationship Id="rId667" Type="http://schemas.openxmlformats.org/officeDocument/2006/relationships/hyperlink" Target="https://zakupivli.pro/gov/tenders/UA-2024-01-25-013828-a" TargetMode="External"/><Relationship Id="rId874" Type="http://schemas.openxmlformats.org/officeDocument/2006/relationships/hyperlink" Target="https://my.zakupivli.pro/remote/dispatcher/state_purchase_view/49362827" TargetMode="External"/><Relationship Id="rId2348" Type="http://schemas.openxmlformats.org/officeDocument/2006/relationships/hyperlink" Target="https://zakupivli.pro/gov/tenders/ua-2025-10-02-011693-a" TargetMode="External"/><Relationship Id="rId527" Type="http://schemas.openxmlformats.org/officeDocument/2006/relationships/hyperlink" Target="https://my.zakupivli.pro/remote/dispatcher/state_purchase_view/47164745" TargetMode="External"/><Relationship Id="rId734" Type="http://schemas.openxmlformats.org/officeDocument/2006/relationships/hyperlink" Target="https://my.zakupivli.pro/remote/dispatcher/state_purchase_view/48904066" TargetMode="External"/><Relationship Id="rId941" Type="http://schemas.openxmlformats.org/officeDocument/2006/relationships/hyperlink" Target="https://my.zakupivli.pro/remote/dispatcher/state_purchase_view/49735637" TargetMode="External"/><Relationship Id="rId1157" Type="http://schemas.openxmlformats.org/officeDocument/2006/relationships/hyperlink" Target="https://my.zakupivli.pro/remote/dispatcher/state_purchase_view/51701959" TargetMode="External"/><Relationship Id="rId1364" Type="http://schemas.openxmlformats.org/officeDocument/2006/relationships/hyperlink" Target="https://my.zakupivli.pro/remote/dispatcher/state_purchase_view/53622436" TargetMode="External"/><Relationship Id="rId1571" Type="http://schemas.openxmlformats.org/officeDocument/2006/relationships/hyperlink" Target="https://zakupivli.pro/gov/tenders/ua-2024-12-26-005498-a/lot-182d36d9de1d40afb80055f988a85186" TargetMode="External"/><Relationship Id="rId2208" Type="http://schemas.openxmlformats.org/officeDocument/2006/relationships/hyperlink" Target="https://my.zakupivli.pro/remote/dispatcher/state_purchase_view/60973872" TargetMode="External"/><Relationship Id="rId2415" Type="http://schemas.openxmlformats.org/officeDocument/2006/relationships/hyperlink" Target="https://my.zakupivli.pro/remote/dispatcher/state_purchase_view/63132864" TargetMode="External"/><Relationship Id="rId70" Type="http://schemas.openxmlformats.org/officeDocument/2006/relationships/hyperlink" Target="https://my.zakupki.prom.ua/remote/dispatcher/state_purchase_view/41385337" TargetMode="External"/><Relationship Id="rId801" Type="http://schemas.openxmlformats.org/officeDocument/2006/relationships/hyperlink" Target="https://zakupivli.pro/gov/tenders/UA-2024-02-08-012979-a/lot-c58714133ad84545a9c959cc072316a4" TargetMode="External"/><Relationship Id="rId1017" Type="http://schemas.openxmlformats.org/officeDocument/2006/relationships/hyperlink" Target="https://my.zakupivli.pro/remote/dispatcher/state_purchase_view/50192096" TargetMode="External"/><Relationship Id="rId1224" Type="http://schemas.openxmlformats.org/officeDocument/2006/relationships/hyperlink" Target="https://zakupivli.pro/gov/tenders/UA-2024-07-23-006360-a" TargetMode="External"/><Relationship Id="rId1431" Type="http://schemas.openxmlformats.org/officeDocument/2006/relationships/hyperlink" Target="https://zakupivli.pro/gov/tenders/ua-2024-11-06-013838-a/lot-e19801afb2d0458d9226770d35b97cb7" TargetMode="External"/><Relationship Id="rId177" Type="http://schemas.openxmlformats.org/officeDocument/2006/relationships/hyperlink" Target="https://zakupki.prom.ua/gov/tenders/UA-2023-03-20-011139-a" TargetMode="External"/><Relationship Id="rId384" Type="http://schemas.openxmlformats.org/officeDocument/2006/relationships/hyperlink" Target="https://my.zakupki.prom.ua/remote/dispatcher/state_purchase_view/44239848" TargetMode="External"/><Relationship Id="rId591" Type="http://schemas.openxmlformats.org/officeDocument/2006/relationships/hyperlink" Target="https://my.zakupivli.pro/remote/dispatcher/state_purchase_view/48324796" TargetMode="External"/><Relationship Id="rId2065" Type="http://schemas.openxmlformats.org/officeDocument/2006/relationships/hyperlink" Target="https://zakupivli.pro/gov/tenders/ua-2025-06-05-002216-a" TargetMode="External"/><Relationship Id="rId2272" Type="http://schemas.openxmlformats.org/officeDocument/2006/relationships/hyperlink" Target="https://zakupivli.pro/gov/tenders/ua-2025-09-01-001565-a" TargetMode="External"/><Relationship Id="rId244" Type="http://schemas.openxmlformats.org/officeDocument/2006/relationships/hyperlink" Target="https://zakupki.prom.ua/gov/tenders/UA-2023-03-30-003304-a" TargetMode="External"/><Relationship Id="rId1081" Type="http://schemas.openxmlformats.org/officeDocument/2006/relationships/hyperlink" Target="https://zakupivli.pro/gov/tenders/UA-2024-05-06-005957-a" TargetMode="External"/><Relationship Id="rId451" Type="http://schemas.openxmlformats.org/officeDocument/2006/relationships/hyperlink" Target="https://my.zakupki.prom.ua/remote/dispatcher/state_purchase_view/44854320" TargetMode="External"/><Relationship Id="rId2132" Type="http://schemas.openxmlformats.org/officeDocument/2006/relationships/hyperlink" Target="https://zakupivli.pro/gov/tenders/ua-2025-06-23-004108-a" TargetMode="External"/><Relationship Id="rId104" Type="http://schemas.openxmlformats.org/officeDocument/2006/relationships/hyperlink" Target="https://my.zakupki.prom.ua/remote/dispatcher/state_purchase_view/40975514" TargetMode="External"/><Relationship Id="rId311" Type="http://schemas.openxmlformats.org/officeDocument/2006/relationships/hyperlink" Target="https://zakupki.prom.ua/gov/tenders/UA-2023-04-04-000044-a" TargetMode="External"/><Relationship Id="rId1898" Type="http://schemas.openxmlformats.org/officeDocument/2006/relationships/hyperlink" Target="https://zakupivli.pro/gov/tenders/ua-2025-03-24-000961-a" TargetMode="External"/><Relationship Id="rId1758" Type="http://schemas.openxmlformats.org/officeDocument/2006/relationships/hyperlink" Target="https://my.zakupivli.pro/remote/dispatcher/state_purchase_view/57279883" TargetMode="External"/><Relationship Id="rId1965" Type="http://schemas.openxmlformats.org/officeDocument/2006/relationships/hyperlink" Target="https://my.zakupivli.pro/remote/dispatcher/state_purchase_view/58923256" TargetMode="External"/><Relationship Id="rId1618" Type="http://schemas.openxmlformats.org/officeDocument/2006/relationships/hyperlink" Target="https://zakupivli.pro/gov/tenders/ua-2025-01-16-015154-a/lot-a2083914569a4dfe9016d0439e44acc3" TargetMode="External"/><Relationship Id="rId1825" Type="http://schemas.openxmlformats.org/officeDocument/2006/relationships/hyperlink" Target="https://my.zakupivli.pro/remote/dispatcher/state_purchase_view/57623075" TargetMode="External"/><Relationship Id="rId778" Type="http://schemas.openxmlformats.org/officeDocument/2006/relationships/hyperlink" Target="https://zakupivli.pro/gov/tenders/UA-2024-02-06-009098-a" TargetMode="External"/><Relationship Id="rId985" Type="http://schemas.openxmlformats.org/officeDocument/2006/relationships/hyperlink" Target="https://my.zakupivli.pro/remote/dispatcher/state_purchase_view/49991401" TargetMode="External"/><Relationship Id="rId2459" Type="http://schemas.openxmlformats.org/officeDocument/2006/relationships/hyperlink" Target="https://my.zakupivli.pro/remote/dispatcher/state_purchase_view/63622866" TargetMode="External"/><Relationship Id="rId638" Type="http://schemas.openxmlformats.org/officeDocument/2006/relationships/hyperlink" Target="https://my.zakupivli.pro/remote/dispatcher/state_purchase_view/48579121" TargetMode="External"/><Relationship Id="rId845" Type="http://schemas.openxmlformats.org/officeDocument/2006/relationships/hyperlink" Target="https://zakupivli.pro/gov/tenders/UA-2024-02-20-010113-a" TargetMode="External"/><Relationship Id="rId1268" Type="http://schemas.openxmlformats.org/officeDocument/2006/relationships/hyperlink" Target="https://zakupivli.pro/gov/tenders/UA-2024-08-08-011072-a" TargetMode="External"/><Relationship Id="rId1475" Type="http://schemas.openxmlformats.org/officeDocument/2006/relationships/hyperlink" Target="https://zakupivli.pro/gov/tenders/ua-2024-11-15-012568-a" TargetMode="External"/><Relationship Id="rId1682" Type="http://schemas.openxmlformats.org/officeDocument/2006/relationships/hyperlink" Target="https://my.zakupivli.pro/remote/dispatcher/state_purchase_view/56947859" TargetMode="External"/><Relationship Id="rId2319" Type="http://schemas.openxmlformats.org/officeDocument/2006/relationships/hyperlink" Target="https://zakupivli.pro/gov/tenders/ua-2025-09-23-009253-a" TargetMode="External"/><Relationship Id="rId2526" Type="http://schemas.openxmlformats.org/officeDocument/2006/relationships/hyperlink" Target="https://zakupivli.pro/gov/tenders/ua-2025-12-16-011875-a" TargetMode="External"/><Relationship Id="rId705" Type="http://schemas.openxmlformats.org/officeDocument/2006/relationships/hyperlink" Target="https://my.zakupivli.pro/remote/dispatcher/state_purchase_view/48907510" TargetMode="External"/><Relationship Id="rId1128" Type="http://schemas.openxmlformats.org/officeDocument/2006/relationships/hyperlink" Target="https://zakupivli.pro/gov/tenders/UA-2024-05-27-006318-a" TargetMode="External"/><Relationship Id="rId1335" Type="http://schemas.openxmlformats.org/officeDocument/2006/relationships/hyperlink" Target="https://zakupivli.pro/gov/tenders/ua-2024-09-13-003709-a" TargetMode="External"/><Relationship Id="rId1542" Type="http://schemas.openxmlformats.org/officeDocument/2006/relationships/hyperlink" Target="https://my.zakupivli.pro/remote/dispatcher/state_purchase_view/56101118" TargetMode="External"/><Relationship Id="rId912" Type="http://schemas.openxmlformats.org/officeDocument/2006/relationships/hyperlink" Target="https://zakupivli.pro/gov/tenders/UA-2024-03-04-003068-a" TargetMode="External"/><Relationship Id="rId41" Type="http://schemas.openxmlformats.org/officeDocument/2006/relationships/hyperlink" Target="https://my.zakupki.prom.ua/remote/dispatcher/state_purchase_view/41520214" TargetMode="External"/><Relationship Id="rId1402" Type="http://schemas.openxmlformats.org/officeDocument/2006/relationships/hyperlink" Target="https://my.zakupivli.pro/remote/dispatcher/state_purchase_view/54409626" TargetMode="External"/><Relationship Id="rId288" Type="http://schemas.openxmlformats.org/officeDocument/2006/relationships/hyperlink" Target="https://zakupki.prom.ua/gov/tenders/UA-2023-04-04-000049-a" TargetMode="External"/><Relationship Id="rId495" Type="http://schemas.openxmlformats.org/officeDocument/2006/relationships/hyperlink" Target="https://my.zakupki.prom.ua/remote/dispatcher/state_purchase_view/45589939" TargetMode="External"/><Relationship Id="rId2176" Type="http://schemas.openxmlformats.org/officeDocument/2006/relationships/hyperlink" Target="https://zakupivli.pro/gov/tenders/ua-2025-07-09-006761-a" TargetMode="External"/><Relationship Id="rId2383" Type="http://schemas.openxmlformats.org/officeDocument/2006/relationships/hyperlink" Target="https://zakupivli.pro/gov/tenders/ua-2025-10-22-005340-a" TargetMode="External"/><Relationship Id="rId148" Type="http://schemas.openxmlformats.org/officeDocument/2006/relationships/hyperlink" Target="https://zakupki.prom.ua/gov/tenders/UA-2023-03-10-003712-a/lot-2fc16a5621d1407d99408bfe1387c23f" TargetMode="External"/><Relationship Id="rId355" Type="http://schemas.openxmlformats.org/officeDocument/2006/relationships/hyperlink" Target="https://my.zakupki.prom.ua/remote/dispatcher/state_purchase_view/42505239" TargetMode="External"/><Relationship Id="rId562" Type="http://schemas.openxmlformats.org/officeDocument/2006/relationships/hyperlink" Target="https://zakupivli.pro/gov/tenders/UA-2023-12-28-009421-a" TargetMode="External"/><Relationship Id="rId1192" Type="http://schemas.openxmlformats.org/officeDocument/2006/relationships/hyperlink" Target="https://zakupivli.pro/gov/tenders/UA-2024-07-03-002336-a" TargetMode="External"/><Relationship Id="rId2036" Type="http://schemas.openxmlformats.org/officeDocument/2006/relationships/hyperlink" Target="https://zakupivli.pro/gov/tenders/ua-2025-05-26-004827-a" TargetMode="External"/><Relationship Id="rId2243" Type="http://schemas.openxmlformats.org/officeDocument/2006/relationships/hyperlink" Target="https://zakupivli.pro/gov/tenders/ua-2025-08-07-000717-a" TargetMode="External"/><Relationship Id="rId2450" Type="http://schemas.openxmlformats.org/officeDocument/2006/relationships/hyperlink" Target="https://zakupivli.pro/gov/tenders/ua-2025-11-14-013043-a" TargetMode="External"/><Relationship Id="rId215" Type="http://schemas.openxmlformats.org/officeDocument/2006/relationships/hyperlink" Target="https://my.zakupki.prom.ua/remote/dispatcher/state_purchase_view/41645351" TargetMode="External"/><Relationship Id="rId422" Type="http://schemas.openxmlformats.org/officeDocument/2006/relationships/hyperlink" Target="https://my.zakupki.prom.ua/remote/dispatcher/state_purchase_view/44396461" TargetMode="External"/><Relationship Id="rId867" Type="http://schemas.openxmlformats.org/officeDocument/2006/relationships/hyperlink" Target="https://zakupivli.pro/gov/tenders/UA-2024-02-22-001148-a" TargetMode="External"/><Relationship Id="rId1052" Type="http://schemas.openxmlformats.org/officeDocument/2006/relationships/hyperlink" Target="https://zakupivli.pro/gov/tenders/UA-2024-04-10-010420-a/lot-e271c08ebeb94133bfb9152f7f8c743e" TargetMode="External"/><Relationship Id="rId1497" Type="http://schemas.openxmlformats.org/officeDocument/2006/relationships/hyperlink" Target="https://my.zakupivli.pro/remote/dispatcher/state_purchase_view/55493584" TargetMode="External"/><Relationship Id="rId2103" Type="http://schemas.openxmlformats.org/officeDocument/2006/relationships/hyperlink" Target="https://zakupivli.pro/gov/tenders/ua-2025-06-18-010961-a" TargetMode="External"/><Relationship Id="rId2310" Type="http://schemas.openxmlformats.org/officeDocument/2006/relationships/hyperlink" Target="https://zakupivli.pro/gov/tenders/ua-2025-09-17-012478-a" TargetMode="External"/><Relationship Id="rId727" Type="http://schemas.openxmlformats.org/officeDocument/2006/relationships/hyperlink" Target="https://zakupivli.pro/gov/tenders/UA-2024-02-02-012110-a/lot-7f2e5f1b2215481f82591706fceb8001" TargetMode="External"/><Relationship Id="rId934" Type="http://schemas.openxmlformats.org/officeDocument/2006/relationships/hyperlink" Target="https://zakupivli.pro/gov/tenders/UA-2024-03-11-000147-a" TargetMode="External"/><Relationship Id="rId1357" Type="http://schemas.openxmlformats.org/officeDocument/2006/relationships/hyperlink" Target="https://my.zakupivli.pro/remote/dispatcher/state_purchase_view/53556454" TargetMode="External"/><Relationship Id="rId1564" Type="http://schemas.openxmlformats.org/officeDocument/2006/relationships/hyperlink" Target="https://my.zakupivli.pro/remote/dispatcher/state_purchase_view/56204127" TargetMode="External"/><Relationship Id="rId1771" Type="http://schemas.openxmlformats.org/officeDocument/2006/relationships/hyperlink" Target="https://zakupivli.pro/gov/tenders/ua-2025-02-11-014813-a/lot-1bd3ad2cd8504b62ac0f25b1d3d65110" TargetMode="External"/><Relationship Id="rId2408" Type="http://schemas.openxmlformats.org/officeDocument/2006/relationships/hyperlink" Target="https://zakupivli.pro/gov/tenders/ua-2025-10-30-012032-a" TargetMode="External"/><Relationship Id="rId63" Type="http://schemas.openxmlformats.org/officeDocument/2006/relationships/hyperlink" Target="https://my.zakupki.prom.ua/remote/dispatcher/state_purchase_view/41426867" TargetMode="External"/><Relationship Id="rId1217" Type="http://schemas.openxmlformats.org/officeDocument/2006/relationships/hyperlink" Target="https://zakupivli.pro/gov/tenders/UA-2024-07-22-001735-a" TargetMode="External"/><Relationship Id="rId1424" Type="http://schemas.openxmlformats.org/officeDocument/2006/relationships/hyperlink" Target="https://my.zakupivli.pro/remote/dispatcher/state_purchase_view/54552115" TargetMode="External"/><Relationship Id="rId1631" Type="http://schemas.openxmlformats.org/officeDocument/2006/relationships/hyperlink" Target="https://my.zakupivli.pro/remote/dispatcher/state_purchase_view/56755417" TargetMode="External"/><Relationship Id="rId1869" Type="http://schemas.openxmlformats.org/officeDocument/2006/relationships/hyperlink" Target="https://my.zakupivli.pro/remote/dispatcher/state_purchase_view/58060906" TargetMode="External"/><Relationship Id="rId1729" Type="http://schemas.openxmlformats.org/officeDocument/2006/relationships/hyperlink" Target="https://my.zakupivli.pro/remote/dispatcher/state_purchase_view/57141684" TargetMode="External"/><Relationship Id="rId1936" Type="http://schemas.openxmlformats.org/officeDocument/2006/relationships/hyperlink" Target="https://zakupivli.pro/gov/tenders/ua-2025-04-07-000293-a" TargetMode="External"/><Relationship Id="rId2198" Type="http://schemas.openxmlformats.org/officeDocument/2006/relationships/hyperlink" Target="https://zakupivli.pro/gov/tenders/ua-2025-07-24-005950-a" TargetMode="External"/><Relationship Id="rId377" Type="http://schemas.openxmlformats.org/officeDocument/2006/relationships/hyperlink" Target="https://zakupki.prom.ua/gov/tenders/UA-2023-06-15-008920-a" TargetMode="External"/><Relationship Id="rId584" Type="http://schemas.openxmlformats.org/officeDocument/2006/relationships/hyperlink" Target="https://my.zakupivli.pro/remote/dispatcher/state_purchase_view/48217755" TargetMode="External"/><Relationship Id="rId2058" Type="http://schemas.openxmlformats.org/officeDocument/2006/relationships/hyperlink" Target="https://zakupivli.pro/gov/tenders/ua-2025-06-04-001086-a" TargetMode="External"/><Relationship Id="rId2265" Type="http://schemas.openxmlformats.org/officeDocument/2006/relationships/hyperlink" Target="https://zakupivli.pro/gov/tenders/ua-2025-08-22-009012-a" TargetMode="External"/><Relationship Id="rId5" Type="http://schemas.openxmlformats.org/officeDocument/2006/relationships/hyperlink" Target="https://zakupki.prom.ua/gov/tenders/UA-2022-11-09-012276-a" TargetMode="External"/><Relationship Id="rId237" Type="http://schemas.openxmlformats.org/officeDocument/2006/relationships/hyperlink" Target="https://my.zakupki.prom.ua/remote/dispatcher/state_purchase_view/41720512" TargetMode="External"/><Relationship Id="rId791" Type="http://schemas.openxmlformats.org/officeDocument/2006/relationships/hyperlink" Target="https://my.zakupivli.pro/remote/dispatcher/state_purchase_view/49026308" TargetMode="External"/><Relationship Id="rId889" Type="http://schemas.openxmlformats.org/officeDocument/2006/relationships/hyperlink" Target="https://my.zakupivli.pro/remote/dispatcher/state_purchase_view/49472296" TargetMode="External"/><Relationship Id="rId1074" Type="http://schemas.openxmlformats.org/officeDocument/2006/relationships/hyperlink" Target="https://my.zakupivli.pro/remote/dispatcher/state_purchase_view/50747236" TargetMode="External"/><Relationship Id="rId2472" Type="http://schemas.openxmlformats.org/officeDocument/2006/relationships/hyperlink" Target="https://my.zakupivli.pro/remote/dispatcher/state_purchase_view/63815840" TargetMode="External"/><Relationship Id="rId444" Type="http://schemas.openxmlformats.org/officeDocument/2006/relationships/hyperlink" Target="https://my.zakupki.prom.ua/remote/dispatcher/state_purchase_view/44902990" TargetMode="External"/><Relationship Id="rId651" Type="http://schemas.openxmlformats.org/officeDocument/2006/relationships/hyperlink" Target="https://my.zakupivli.pro/remote/dispatcher/state_purchase_view/48638355" TargetMode="External"/><Relationship Id="rId749" Type="http://schemas.openxmlformats.org/officeDocument/2006/relationships/hyperlink" Target="https://my.zakupivli.pro/remote/dispatcher/state_purchase_view/48880326" TargetMode="External"/><Relationship Id="rId1281" Type="http://schemas.openxmlformats.org/officeDocument/2006/relationships/hyperlink" Target="https://my.zakupivli.pro/remote/dispatcher/state_purchase_view/52758416" TargetMode="External"/><Relationship Id="rId1379" Type="http://schemas.openxmlformats.org/officeDocument/2006/relationships/hyperlink" Target="https://zakupivli.pro/gov/tenders/ua-2024-10-16-012402-a" TargetMode="External"/><Relationship Id="rId1586" Type="http://schemas.openxmlformats.org/officeDocument/2006/relationships/hyperlink" Target="https://my.zakupivli.pro/remote/dispatcher/state_purchase_view/56343850" TargetMode="External"/><Relationship Id="rId2125" Type="http://schemas.openxmlformats.org/officeDocument/2006/relationships/hyperlink" Target="https://zakupivli.pro/gov/tenders/ua-2025-06-20-002917-a" TargetMode="External"/><Relationship Id="rId2332" Type="http://schemas.openxmlformats.org/officeDocument/2006/relationships/hyperlink" Target="https://my.zakupivli.pro/remote/dispatcher/state_purchase_view/62293226" TargetMode="External"/><Relationship Id="rId304" Type="http://schemas.openxmlformats.org/officeDocument/2006/relationships/hyperlink" Target="https://my.zakupki.prom.ua/remote/dispatcher/state_purchase_view/41779380" TargetMode="External"/><Relationship Id="rId511" Type="http://schemas.openxmlformats.org/officeDocument/2006/relationships/hyperlink" Target="https://zakupivli.pro/gov/tenders/UA-2023-10-25-014028-a" TargetMode="External"/><Relationship Id="rId609" Type="http://schemas.openxmlformats.org/officeDocument/2006/relationships/hyperlink" Target="https://my.zakupivli.pro/remote/dispatcher/state_purchase_view/48459984" TargetMode="External"/><Relationship Id="rId956" Type="http://schemas.openxmlformats.org/officeDocument/2006/relationships/hyperlink" Target="https://zakupivli.pro/gov/tenders/UA-2024-03-14-009075-a" TargetMode="External"/><Relationship Id="rId1141" Type="http://schemas.openxmlformats.org/officeDocument/2006/relationships/hyperlink" Target="https://my.zakupivli.pro/remote/dispatcher/state_purchase_view/51397532" TargetMode="External"/><Relationship Id="rId1239" Type="http://schemas.openxmlformats.org/officeDocument/2006/relationships/hyperlink" Target="https://zakupivli.pro/gov/tenders/UA-2024-07-25-002699-a" TargetMode="External"/><Relationship Id="rId1793" Type="http://schemas.openxmlformats.org/officeDocument/2006/relationships/hyperlink" Target="https://my.zakupivli.pro/remote/dispatcher/state_purchase_view/57480226" TargetMode="External"/><Relationship Id="rId85" Type="http://schemas.openxmlformats.org/officeDocument/2006/relationships/hyperlink" Target="https://my.zakupki.prom.ua/remote/dispatcher/state_purchase_view/41234599" TargetMode="External"/><Relationship Id="rId816" Type="http://schemas.openxmlformats.org/officeDocument/2006/relationships/hyperlink" Target="https://my.zakupivli.pro/remote/dispatcher/state_purchase_view/49193482" TargetMode="External"/><Relationship Id="rId1001" Type="http://schemas.openxmlformats.org/officeDocument/2006/relationships/hyperlink" Target="https://zakupivli.pro/gov/tenders/UA-2024-03-25-000171-a" TargetMode="External"/><Relationship Id="rId1446" Type="http://schemas.openxmlformats.org/officeDocument/2006/relationships/hyperlink" Target="https://my.zakupivli.pro/remote/dispatcher/state_purchase_view/54821149" TargetMode="External"/><Relationship Id="rId1653" Type="http://schemas.openxmlformats.org/officeDocument/2006/relationships/hyperlink" Target="https://zakupivli.pro/gov/tenders/ua-2025-01-27-005506-a/lot-1c70e86f1a0341b0842814bcb542a94d" TargetMode="External"/><Relationship Id="rId1860" Type="http://schemas.openxmlformats.org/officeDocument/2006/relationships/hyperlink" Target="https://my.zakupivli.pro/remote/dispatcher/state_purchase_view/57931528" TargetMode="External"/><Relationship Id="rId1306" Type="http://schemas.openxmlformats.org/officeDocument/2006/relationships/hyperlink" Target="https://zakupivli.pro/gov/tenders/UA-2024-08-14-008653-a" TargetMode="External"/><Relationship Id="rId1513" Type="http://schemas.openxmlformats.org/officeDocument/2006/relationships/hyperlink" Target="https://zakupivli.pro/gov/tenders/ua-2024-12-02-004435-a" TargetMode="External"/><Relationship Id="rId1720" Type="http://schemas.openxmlformats.org/officeDocument/2006/relationships/hyperlink" Target="https://zakupivli.pro/gov/tenders/ua-2025-01-31-007250-a" TargetMode="External"/><Relationship Id="rId1958" Type="http://schemas.openxmlformats.org/officeDocument/2006/relationships/hyperlink" Target="https://zakupivli.pro/gov/tenders/ua-2025-04-17-000408-a/lot-19cd55c591204a4d97054bc0f733b073" TargetMode="External"/><Relationship Id="rId12" Type="http://schemas.openxmlformats.org/officeDocument/2006/relationships/hyperlink" Target="https://zakupki.prom.ua/gov/tenders/UA-2022-11-10-012027-a/lot-27d3e88358ac4dacaa9e6a5bedcc6f6a" TargetMode="External"/><Relationship Id="rId1818" Type="http://schemas.openxmlformats.org/officeDocument/2006/relationships/hyperlink" Target="https://zakupivli.pro/gov/tenders/ua-2025-02-20-007017-a" TargetMode="External"/><Relationship Id="rId161" Type="http://schemas.openxmlformats.org/officeDocument/2006/relationships/hyperlink" Target="https://zakupki.prom.ua/gov/tenders/UA-2023-03-14-000978-a/lot-9b0d240801f2413e8585340420e28304" TargetMode="External"/><Relationship Id="rId399" Type="http://schemas.openxmlformats.org/officeDocument/2006/relationships/hyperlink" Target="https://zakupki.prom.ua/gov/tenders/UA-2023-07-12-001298-a" TargetMode="External"/><Relationship Id="rId2287" Type="http://schemas.openxmlformats.org/officeDocument/2006/relationships/hyperlink" Target="https://my.zakupivli.pro/remote/dispatcher/state_purchase_view/61819547" TargetMode="External"/><Relationship Id="rId2494" Type="http://schemas.openxmlformats.org/officeDocument/2006/relationships/hyperlink" Target="https://zakupivli.pro/gov/tenders/ua-2025-12-09-001093-a" TargetMode="External"/><Relationship Id="rId259" Type="http://schemas.openxmlformats.org/officeDocument/2006/relationships/hyperlink" Target="https://my.zakupki.prom.ua/remote/dispatcher/state_purchase_view/41737679" TargetMode="External"/><Relationship Id="rId466" Type="http://schemas.openxmlformats.org/officeDocument/2006/relationships/hyperlink" Target="https://my.zakupki.prom.ua/remote/dispatcher/state_purchase_view/44982124" TargetMode="External"/><Relationship Id="rId673" Type="http://schemas.openxmlformats.org/officeDocument/2006/relationships/hyperlink" Target="https://my.zakupivli.pro/remote/dispatcher/state_purchase_view/48742399" TargetMode="External"/><Relationship Id="rId880" Type="http://schemas.openxmlformats.org/officeDocument/2006/relationships/hyperlink" Target="https://my.zakupivli.pro/remote/dispatcher/state_purchase_view/49407849" TargetMode="External"/><Relationship Id="rId1096" Type="http://schemas.openxmlformats.org/officeDocument/2006/relationships/hyperlink" Target="https://zakupivli.pro/gov/tenders/UA-2024-05-10-008137-a" TargetMode="External"/><Relationship Id="rId2147" Type="http://schemas.openxmlformats.org/officeDocument/2006/relationships/hyperlink" Target="https://my.zakupivli.pro/remote/dispatcher/state_purchase_view/60340885" TargetMode="External"/><Relationship Id="rId2354" Type="http://schemas.openxmlformats.org/officeDocument/2006/relationships/hyperlink" Target="https://zakupivli.pro/gov/tenders/ua-2025-10-03-006676-a" TargetMode="External"/><Relationship Id="rId119" Type="http://schemas.openxmlformats.org/officeDocument/2006/relationships/hyperlink" Target="https://zakupki.prom.ua/gov/tenders/UA-2023-02-20-013114-a" TargetMode="External"/><Relationship Id="rId326" Type="http://schemas.openxmlformats.org/officeDocument/2006/relationships/hyperlink" Target="https://zakupki.prom.ua/gov/tenders/UA-2023-04-25-007048-a/lot-91069dccfabd49dfaece71f560c7f851" TargetMode="External"/><Relationship Id="rId533" Type="http://schemas.openxmlformats.org/officeDocument/2006/relationships/hyperlink" Target="https://my.zakupivli.pro/remote/dispatcher/state_purchase_view/47307414" TargetMode="External"/><Relationship Id="rId978" Type="http://schemas.openxmlformats.org/officeDocument/2006/relationships/hyperlink" Target="https://my.zakupivli.pro/remote/dispatcher/state_purchase_view/49993314" TargetMode="External"/><Relationship Id="rId1163" Type="http://schemas.openxmlformats.org/officeDocument/2006/relationships/hyperlink" Target="https://my.zakupivli.pro/remote/dispatcher/state_purchase_view/51759838" TargetMode="External"/><Relationship Id="rId1370" Type="http://schemas.openxmlformats.org/officeDocument/2006/relationships/hyperlink" Target="https://zakupivli.pro/gov/tenders/ua-2024-10-03-012179-a/lot-224b3e3103c845148449157ba432a748" TargetMode="External"/><Relationship Id="rId2007" Type="http://schemas.openxmlformats.org/officeDocument/2006/relationships/hyperlink" Target="https://my.zakupivli.pro/remote/dispatcher/state_purchase_view/59354476" TargetMode="External"/><Relationship Id="rId2214" Type="http://schemas.openxmlformats.org/officeDocument/2006/relationships/hyperlink" Target="https://zakupivli.pro/gov/tenders/ua-2025-07-29-001884-a" TargetMode="External"/><Relationship Id="rId740" Type="http://schemas.openxmlformats.org/officeDocument/2006/relationships/hyperlink" Target="https://my.zakupivli.pro/remote/dispatcher/state_purchase_view/48903877" TargetMode="External"/><Relationship Id="rId838" Type="http://schemas.openxmlformats.org/officeDocument/2006/relationships/hyperlink" Target="https://zakupivli.pro/gov/tenders/UA-2024-02-20-011652-a" TargetMode="External"/><Relationship Id="rId1023" Type="http://schemas.openxmlformats.org/officeDocument/2006/relationships/hyperlink" Target="https://zakupivli.pro/gov/tenders/UA-2024-04-03-007759-a" TargetMode="External"/><Relationship Id="rId1468" Type="http://schemas.openxmlformats.org/officeDocument/2006/relationships/hyperlink" Target="https://zakupivli.pro/gov/tenders/ua-2024-11-14-003634-a" TargetMode="External"/><Relationship Id="rId1675" Type="http://schemas.openxmlformats.org/officeDocument/2006/relationships/hyperlink" Target="https://my.zakupivli.pro/remote/dispatcher/state_purchase_view/56944894" TargetMode="External"/><Relationship Id="rId1882" Type="http://schemas.openxmlformats.org/officeDocument/2006/relationships/hyperlink" Target="https://my.zakupivli.pro/remote/dispatcher/state_purchase_view/58211662" TargetMode="External"/><Relationship Id="rId2421" Type="http://schemas.openxmlformats.org/officeDocument/2006/relationships/hyperlink" Target="https://zakupivli.pro/gov/tenders/ua-2025-11-05-011912-a" TargetMode="External"/><Relationship Id="rId2519" Type="http://schemas.openxmlformats.org/officeDocument/2006/relationships/hyperlink" Target="https://zakupivli.pro/gov/tenders/ua-2025-12-16-015448-a" TargetMode="External"/><Relationship Id="rId600" Type="http://schemas.openxmlformats.org/officeDocument/2006/relationships/hyperlink" Target="https://my.zakupivli.pro/remote/dispatcher/state_purchase_view/48409206" TargetMode="External"/><Relationship Id="rId1230" Type="http://schemas.openxmlformats.org/officeDocument/2006/relationships/hyperlink" Target="https://zakupivli.pro/gov/tenders/UA-2024-07-24-001383-a" TargetMode="External"/><Relationship Id="rId1328" Type="http://schemas.openxmlformats.org/officeDocument/2006/relationships/hyperlink" Target="https://zakupivli.pro/gov/tenders/ua-2024-09-12-009706-a/lot-b4c1da4dfc3f4311834341bd6131103a" TargetMode="External"/><Relationship Id="rId1535" Type="http://schemas.openxmlformats.org/officeDocument/2006/relationships/hyperlink" Target="https://zakupivli.pro/gov/tenders/ua-2024-12-19-015237-a/lot-32acbfc5db2140a58cad3239c51ef67e" TargetMode="External"/><Relationship Id="rId905" Type="http://schemas.openxmlformats.org/officeDocument/2006/relationships/hyperlink" Target="https://my.zakupivli.pro/remote/dispatcher/state_purchase_view/49553110" TargetMode="External"/><Relationship Id="rId1742" Type="http://schemas.openxmlformats.org/officeDocument/2006/relationships/hyperlink" Target="https://my.zakupivli.pro/remote/dispatcher/state_purchase_view/57220856" TargetMode="External"/><Relationship Id="rId34" Type="http://schemas.openxmlformats.org/officeDocument/2006/relationships/hyperlink" Target="https://my.zakupki.prom.ua/remote/dispatcher/state_purchase_view/41548910" TargetMode="External"/><Relationship Id="rId1602" Type="http://schemas.openxmlformats.org/officeDocument/2006/relationships/hyperlink" Target="https://zakupivli.pro/gov/tenders/ua-2025-01-08-001594-a/lot-5fa98a015d904ec082c909d73e6a9e7f" TargetMode="External"/><Relationship Id="rId183" Type="http://schemas.openxmlformats.org/officeDocument/2006/relationships/hyperlink" Target="https://zakupki.prom.ua/gov/tenders/UA-2023-03-20-010365-a" TargetMode="External"/><Relationship Id="rId390" Type="http://schemas.openxmlformats.org/officeDocument/2006/relationships/hyperlink" Target="https://my.zakupki.prom.ua/remote/dispatcher/state_purchase_view/44105193" TargetMode="External"/><Relationship Id="rId1907" Type="http://schemas.openxmlformats.org/officeDocument/2006/relationships/hyperlink" Target="https://my.zakupivli.pro/remote/dispatcher/state_purchase_view/58318606" TargetMode="External"/><Relationship Id="rId2071" Type="http://schemas.openxmlformats.org/officeDocument/2006/relationships/hyperlink" Target="https://my.zakupivli.pro/remote/dispatcher/state_purchase_view/60071327" TargetMode="External"/><Relationship Id="rId250" Type="http://schemas.openxmlformats.org/officeDocument/2006/relationships/hyperlink" Target="https://zakupki.prom.ua/gov/tenders/UA-2023-03-30-002711-a" TargetMode="External"/><Relationship Id="rId488" Type="http://schemas.openxmlformats.org/officeDocument/2006/relationships/hyperlink" Target="https://zakupki.prom.ua/gov/tenders/UA-2023-09-25-008718-a" TargetMode="External"/><Relationship Id="rId695" Type="http://schemas.openxmlformats.org/officeDocument/2006/relationships/hyperlink" Target="https://my.zakupivli.pro/remote/dispatcher/state_purchase_view/48865177" TargetMode="External"/><Relationship Id="rId2169" Type="http://schemas.openxmlformats.org/officeDocument/2006/relationships/hyperlink" Target="https://my.zakupivli.pro/remote/dispatcher/state_purchase_view/60601688" TargetMode="External"/><Relationship Id="rId2376" Type="http://schemas.openxmlformats.org/officeDocument/2006/relationships/hyperlink" Target="https://my.zakupivli.pro/remote/dispatcher/state_purchase_view/62862549" TargetMode="External"/><Relationship Id="rId110" Type="http://schemas.openxmlformats.org/officeDocument/2006/relationships/hyperlink" Target="https://my.zakupki.prom.ua/remote/dispatcher/state_purchase_view/40719635" TargetMode="External"/><Relationship Id="rId348" Type="http://schemas.openxmlformats.org/officeDocument/2006/relationships/hyperlink" Target="https://my.zakupki.prom.ua/remote/dispatcher/state_purchase_view/42596750" TargetMode="External"/><Relationship Id="rId555" Type="http://schemas.openxmlformats.org/officeDocument/2006/relationships/hyperlink" Target="https://zakupivli.pro/gov/tenders/UA-2023-12-28-009035-a" TargetMode="External"/><Relationship Id="rId762" Type="http://schemas.openxmlformats.org/officeDocument/2006/relationships/hyperlink" Target="https://zakupivli.pro/gov/tenders/UA-2024-02-02-013167-a" TargetMode="External"/><Relationship Id="rId1185" Type="http://schemas.openxmlformats.org/officeDocument/2006/relationships/hyperlink" Target="https://zakupivli.pro/gov/tenders/UA-2024-06-26-010363-a" TargetMode="External"/><Relationship Id="rId1392" Type="http://schemas.openxmlformats.org/officeDocument/2006/relationships/hyperlink" Target="https://zakupivli.pro/gov/tenders/ua-2024-10-25-008799-a/lot-e7258f63594447c8bfb65274e192ffb8" TargetMode="External"/><Relationship Id="rId2029" Type="http://schemas.openxmlformats.org/officeDocument/2006/relationships/hyperlink" Target="https://my.zakupivli.pro/remote/dispatcher/state_purchase_view/59578825" TargetMode="External"/><Relationship Id="rId2236" Type="http://schemas.openxmlformats.org/officeDocument/2006/relationships/hyperlink" Target="https://my.zakupivli.pro/remote/dispatcher/state_purchase_view/61158360" TargetMode="External"/><Relationship Id="rId2443" Type="http://schemas.openxmlformats.org/officeDocument/2006/relationships/hyperlink" Target="https://my.zakupivli.pro/remote/dispatcher/state_purchase_view/63540537" TargetMode="External"/><Relationship Id="rId208" Type="http://schemas.openxmlformats.org/officeDocument/2006/relationships/hyperlink" Target="https://my.zakupki.prom.ua/remote/dispatcher/state_purchase_view/41675945" TargetMode="External"/><Relationship Id="rId415" Type="http://schemas.openxmlformats.org/officeDocument/2006/relationships/hyperlink" Target="https://my.zakupki.prom.ua/remote/dispatcher/state_purchase_view/44450761" TargetMode="External"/><Relationship Id="rId622" Type="http://schemas.openxmlformats.org/officeDocument/2006/relationships/hyperlink" Target="https://zakupivli.pro/gov/tenders/UA-2024-01-18-015306-a/lot-2167d99758c7415aa6de22bf4afd25b4" TargetMode="External"/><Relationship Id="rId1045" Type="http://schemas.openxmlformats.org/officeDocument/2006/relationships/hyperlink" Target="https://zakupivli.pro/gov/tenders/UA-2024-04-09-001245-a" TargetMode="External"/><Relationship Id="rId1252" Type="http://schemas.openxmlformats.org/officeDocument/2006/relationships/hyperlink" Target="https://zakupivli.pro/gov/tenders/UA-2024-08-05-006471-a" TargetMode="External"/><Relationship Id="rId1697" Type="http://schemas.openxmlformats.org/officeDocument/2006/relationships/hyperlink" Target="https://zakupivli.pro/gov/tenders/ua-2025-01-28-015503-a/lot-a9addf6190e145e7a7985e06b6788d73" TargetMode="External"/><Relationship Id="rId2303" Type="http://schemas.openxmlformats.org/officeDocument/2006/relationships/hyperlink" Target="https://zakupivli.pro/gov/tenders/ua-2025-09-16-013874-a" TargetMode="External"/><Relationship Id="rId2510" Type="http://schemas.openxmlformats.org/officeDocument/2006/relationships/hyperlink" Target="https://my.zakupivli.pro/remote/dispatcher/state_purchase_view/64537810" TargetMode="External"/><Relationship Id="rId927" Type="http://schemas.openxmlformats.org/officeDocument/2006/relationships/hyperlink" Target="https://zakupivli.pro/gov/tenders/UA-2024-03-07-003046-a/lot-8b883bedd1ec460a98fe8a5d22d1b9a6" TargetMode="External"/><Relationship Id="rId1112" Type="http://schemas.openxmlformats.org/officeDocument/2006/relationships/hyperlink" Target="https://my.zakupivli.pro/remote/dispatcher/state_purchase_view/51190701" TargetMode="External"/><Relationship Id="rId1557" Type="http://schemas.openxmlformats.org/officeDocument/2006/relationships/hyperlink" Target="https://zakupivli.pro/gov/tenders/ua-2024-12-25-004680-a" TargetMode="External"/><Relationship Id="rId1764" Type="http://schemas.openxmlformats.org/officeDocument/2006/relationships/hyperlink" Target="https://my.zakupivli.pro/remote/dispatcher/state_purchase_view/57385934" TargetMode="External"/><Relationship Id="rId1971" Type="http://schemas.openxmlformats.org/officeDocument/2006/relationships/hyperlink" Target="https://my.zakupivli.pro/remote/dispatcher/state_purchase_view/59095527" TargetMode="External"/><Relationship Id="rId56" Type="http://schemas.openxmlformats.org/officeDocument/2006/relationships/hyperlink" Target="https://my.zakupki.prom.ua/remote/dispatcher/state_purchase_view/41429057" TargetMode="External"/><Relationship Id="rId1417" Type="http://schemas.openxmlformats.org/officeDocument/2006/relationships/hyperlink" Target="https://zakupivli.pro/gov/tenders/ua-2024-11-01-010548-a" TargetMode="External"/><Relationship Id="rId1624" Type="http://schemas.openxmlformats.org/officeDocument/2006/relationships/hyperlink" Target="https://zakupivli.pro/gov/tenders/ua-2025-01-16-016675-a" TargetMode="External"/><Relationship Id="rId1831" Type="http://schemas.openxmlformats.org/officeDocument/2006/relationships/hyperlink" Target="https://my.zakupivli.pro/remote/dispatcher/state_purchase_view/57700470" TargetMode="External"/><Relationship Id="rId1929" Type="http://schemas.openxmlformats.org/officeDocument/2006/relationships/hyperlink" Target="https://my.zakupivli.pro/remote/dispatcher/state_purchase_view/58575307" TargetMode="External"/><Relationship Id="rId2093" Type="http://schemas.openxmlformats.org/officeDocument/2006/relationships/hyperlink" Target="https://zakupivli.pro/gov/tenders/ua-2025-06-12-000344-a/lot-6678744630fd4adaa7ca7fd43269f9a9" TargetMode="External"/><Relationship Id="rId2398" Type="http://schemas.openxmlformats.org/officeDocument/2006/relationships/hyperlink" Target="https://my.zakupivli.pro/remote/dispatcher/state_purchase_view/62935086" TargetMode="External"/><Relationship Id="rId272" Type="http://schemas.openxmlformats.org/officeDocument/2006/relationships/hyperlink" Target="https://my.zakupki.prom.ua/remote/dispatcher/state_purchase_view/41779380" TargetMode="External"/><Relationship Id="rId577" Type="http://schemas.openxmlformats.org/officeDocument/2006/relationships/hyperlink" Target="https://my.zakupivli.pro/remote/dispatcher/state_purchase_view/48208692" TargetMode="External"/><Relationship Id="rId2160" Type="http://schemas.openxmlformats.org/officeDocument/2006/relationships/hyperlink" Target="https://zakupivli.pro/gov/tenders/ua-2025-07-04-006294-a" TargetMode="External"/><Relationship Id="rId2258" Type="http://schemas.openxmlformats.org/officeDocument/2006/relationships/hyperlink" Target="https://my.zakupivli.pro/remote/dispatcher/state_purchase_view/61469452" TargetMode="External"/><Relationship Id="rId132" Type="http://schemas.openxmlformats.org/officeDocument/2006/relationships/hyperlink" Target="https://zakupki.prom.ua/gov/tenders/UA-2023-03-02-007860-a/lot-32c67e1aa21a4982b1b485adc399887b" TargetMode="External"/><Relationship Id="rId784" Type="http://schemas.openxmlformats.org/officeDocument/2006/relationships/hyperlink" Target="https://my.zakupivli.pro/remote/dispatcher/state_purchase_view/49014231" TargetMode="External"/><Relationship Id="rId991" Type="http://schemas.openxmlformats.org/officeDocument/2006/relationships/hyperlink" Target="https://zakupivli.pro/gov/tenders/UA-2024-03-25-000613-a" TargetMode="External"/><Relationship Id="rId1067" Type="http://schemas.openxmlformats.org/officeDocument/2006/relationships/hyperlink" Target="https://zakupivli.pro/gov/tenders/UA-2024-04-24-006858-a" TargetMode="External"/><Relationship Id="rId2020" Type="http://schemas.openxmlformats.org/officeDocument/2006/relationships/hyperlink" Target="https://zakupivli.pro/gov/tenders/ua-2025-05-16-000205-a" TargetMode="External"/><Relationship Id="rId2465" Type="http://schemas.openxmlformats.org/officeDocument/2006/relationships/hyperlink" Target="https://zakupivli.pro/gov/tenders/ua-2025-11-19-008811-a" TargetMode="External"/><Relationship Id="rId437" Type="http://schemas.openxmlformats.org/officeDocument/2006/relationships/hyperlink" Target="https://my.zakupki.prom.ua/remote/dispatcher/state_purchase_view/44705001" TargetMode="External"/><Relationship Id="rId644" Type="http://schemas.openxmlformats.org/officeDocument/2006/relationships/hyperlink" Target="https://zakupivli.pro/gov/tenders/UA-2024-01-23-002308-a" TargetMode="External"/><Relationship Id="rId851" Type="http://schemas.openxmlformats.org/officeDocument/2006/relationships/hyperlink" Target="https://zakupivli.pro/gov/tenders/UA-2024-02-20-008891-a" TargetMode="External"/><Relationship Id="rId1274" Type="http://schemas.openxmlformats.org/officeDocument/2006/relationships/hyperlink" Target="https://my.zakupivli.pro/remote/dispatcher/state_purchase_view/52828280" TargetMode="External"/><Relationship Id="rId1481" Type="http://schemas.openxmlformats.org/officeDocument/2006/relationships/hyperlink" Target="https://zakupivli.pro/gov/tenders/ua-2024-11-20-001284-a" TargetMode="External"/><Relationship Id="rId1579" Type="http://schemas.openxmlformats.org/officeDocument/2006/relationships/hyperlink" Target="https://my.zakupivli.pro/remote/dispatcher/state_purchase_view/56319028" TargetMode="External"/><Relationship Id="rId2118" Type="http://schemas.openxmlformats.org/officeDocument/2006/relationships/hyperlink" Target="https://zakupivli.pro/gov/tenders/ua-2025-06-19-006872-a" TargetMode="External"/><Relationship Id="rId2325" Type="http://schemas.openxmlformats.org/officeDocument/2006/relationships/hyperlink" Target="https://zakupivli.pro/gov/tenders/ua-2025-09-25-013959-a" TargetMode="External"/><Relationship Id="rId2532" Type="http://schemas.openxmlformats.org/officeDocument/2006/relationships/hyperlink" Target="https://my.zakupivli.pro/remote/dispatcher/state_purchase_view/64715522" TargetMode="External"/><Relationship Id="rId504" Type="http://schemas.openxmlformats.org/officeDocument/2006/relationships/hyperlink" Target="https://my.zakupivli.pro/remote/dispatcher/state_purchase_view/46124597" TargetMode="External"/><Relationship Id="rId711" Type="http://schemas.openxmlformats.org/officeDocument/2006/relationships/hyperlink" Target="https://my.zakupivli.pro/remote/dispatcher/state_purchase_view/48907317" TargetMode="External"/><Relationship Id="rId949" Type="http://schemas.openxmlformats.org/officeDocument/2006/relationships/hyperlink" Target="https://zakupivli.pro/gov/tenders/UA-2024-03-12-007076-a" TargetMode="External"/><Relationship Id="rId1134" Type="http://schemas.openxmlformats.org/officeDocument/2006/relationships/hyperlink" Target="https://zakupivli.pro/gov/tenders/UA-2024-05-30-000099-a" TargetMode="External"/><Relationship Id="rId1341" Type="http://schemas.openxmlformats.org/officeDocument/2006/relationships/hyperlink" Target="https://zakupivli.pro/gov/tenders/ua-2024-09-19-013922-a/lot-a9e65b5158bb4cdeb7f3a2eebb30b671" TargetMode="External"/><Relationship Id="rId1786" Type="http://schemas.openxmlformats.org/officeDocument/2006/relationships/hyperlink" Target="https://zakupivli.pro/gov/tenders/ua-2025-02-13-009405-a/lot-33c26c030db143278a55cb7505b56ce9" TargetMode="External"/><Relationship Id="rId1993" Type="http://schemas.openxmlformats.org/officeDocument/2006/relationships/hyperlink" Target="https://my.zakupivli.pro/remote/dispatcher/state_purchase_view/59253985" TargetMode="External"/><Relationship Id="rId78" Type="http://schemas.openxmlformats.org/officeDocument/2006/relationships/hyperlink" Target="https://my.zakupki.prom.ua/remote/dispatcher/state_purchase_view/41328917" TargetMode="External"/><Relationship Id="rId809" Type="http://schemas.openxmlformats.org/officeDocument/2006/relationships/hyperlink" Target="https://my.zakupivli.pro/remote/dispatcher/state_purchase_view/49158931" TargetMode="External"/><Relationship Id="rId1201" Type="http://schemas.openxmlformats.org/officeDocument/2006/relationships/hyperlink" Target="https://my.zakupivli.pro/remote/dispatcher/state_purchase_view/52153696" TargetMode="External"/><Relationship Id="rId1439" Type="http://schemas.openxmlformats.org/officeDocument/2006/relationships/hyperlink" Target="https://zakupivli.pro/gov/tenders/ua-2024-11-08-000190-a/lot-f753d7ae34c146dab6c4dfa4877bb131" TargetMode="External"/><Relationship Id="rId1646" Type="http://schemas.openxmlformats.org/officeDocument/2006/relationships/hyperlink" Target="https://zakupivli.pro/gov/tenders/ua-2025-01-22-010427-a/lot-ab55c876957845d995a437ad188d9b09" TargetMode="External"/><Relationship Id="rId1853" Type="http://schemas.openxmlformats.org/officeDocument/2006/relationships/hyperlink" Target="https://zakupivli.pro/gov/tenders/ua-2025-03-03-010382-a" TargetMode="External"/><Relationship Id="rId1506" Type="http://schemas.openxmlformats.org/officeDocument/2006/relationships/hyperlink" Target="https://my.zakupivli.pro/remote/dispatcher/state_purchase_view/55352960" TargetMode="External"/><Relationship Id="rId1713" Type="http://schemas.openxmlformats.org/officeDocument/2006/relationships/hyperlink" Target="https://my.zakupivli.pro/remote/dispatcher/state_purchase_view/57100319" TargetMode="External"/><Relationship Id="rId1920" Type="http://schemas.openxmlformats.org/officeDocument/2006/relationships/hyperlink" Target="https://zakupivli.pro/gov/tenders/ua-2025-04-03-005195-a" TargetMode="External"/><Relationship Id="rId294" Type="http://schemas.openxmlformats.org/officeDocument/2006/relationships/hyperlink" Target="https://my.zakupki.prom.ua/remote/dispatcher/state_purchase_view/41866240" TargetMode="External"/><Relationship Id="rId2182" Type="http://schemas.openxmlformats.org/officeDocument/2006/relationships/hyperlink" Target="https://zakupivli.pro/gov/tenders/ua-2025-07-17-006467-a" TargetMode="External"/><Relationship Id="rId154" Type="http://schemas.openxmlformats.org/officeDocument/2006/relationships/hyperlink" Target="https://zakupki.prom.ua/gov/tenders/UA-2023-03-10-000208-a/lot-c0b445f55d8d492b972836ceed1cf50c" TargetMode="External"/><Relationship Id="rId361" Type="http://schemas.openxmlformats.org/officeDocument/2006/relationships/hyperlink" Target="https://zakupki.prom.ua/gov/tenders/UA-2023-05-12-007347-a" TargetMode="External"/><Relationship Id="rId599" Type="http://schemas.openxmlformats.org/officeDocument/2006/relationships/hyperlink" Target="https://my.zakupivli.pro/remote/dispatcher/state_purchase_view/48409874" TargetMode="External"/><Relationship Id="rId2042" Type="http://schemas.openxmlformats.org/officeDocument/2006/relationships/hyperlink" Target="https://zakupivli.pro/gov/tenders/ua-2025-05-27-012930-a" TargetMode="External"/><Relationship Id="rId2487" Type="http://schemas.openxmlformats.org/officeDocument/2006/relationships/hyperlink" Target="https://my.zakupivli.pro/remote/dispatcher/state_purchase_view/64233509" TargetMode="External"/><Relationship Id="rId459" Type="http://schemas.openxmlformats.org/officeDocument/2006/relationships/hyperlink" Target="https://zakupki.prom.ua/gov/tenders/UA-2023-09-12-005223-a/lot-dd6dd2c6db7946bab695096ee94db247" TargetMode="External"/><Relationship Id="rId666" Type="http://schemas.openxmlformats.org/officeDocument/2006/relationships/hyperlink" Target="https://zakupivli.pro/gov/tenders/UA-2024-01-25-014181-a" TargetMode="External"/><Relationship Id="rId873" Type="http://schemas.openxmlformats.org/officeDocument/2006/relationships/hyperlink" Target="https://zakupivli.pro/gov/tenders/UA-2024-02-22-011040-a" TargetMode="External"/><Relationship Id="rId1089" Type="http://schemas.openxmlformats.org/officeDocument/2006/relationships/hyperlink" Target="https://zakupivli.pro/gov/tenders/UA-2024-05-09-001892-a" TargetMode="External"/><Relationship Id="rId1296" Type="http://schemas.openxmlformats.org/officeDocument/2006/relationships/hyperlink" Target="https://zakupivli.pro/gov/tenders/UA-2024-08-20-011009-a" TargetMode="External"/><Relationship Id="rId2347" Type="http://schemas.openxmlformats.org/officeDocument/2006/relationships/hyperlink" Target="https://zakupivli.pro/gov/tenders/ua-2025-10-02-011794-a" TargetMode="External"/><Relationship Id="rId221" Type="http://schemas.openxmlformats.org/officeDocument/2006/relationships/hyperlink" Target="https://zakupki.prom.ua/gov/tenders/UA-2023-03-27-005437-a" TargetMode="External"/><Relationship Id="rId319" Type="http://schemas.openxmlformats.org/officeDocument/2006/relationships/hyperlink" Target="https://zakupki.prom.ua/gov/tenders/UA-2023-04-17-000351-a" TargetMode="External"/><Relationship Id="rId526" Type="http://schemas.openxmlformats.org/officeDocument/2006/relationships/hyperlink" Target="https://zakupivli.pro/gov/tenders/UA-2023-11-29-007510-a/lot-717d1b8abee1462db72d4e2dd23fb0d6" TargetMode="External"/><Relationship Id="rId1156" Type="http://schemas.openxmlformats.org/officeDocument/2006/relationships/hyperlink" Target="https://my.zakupivli.pro/remote/dispatcher/state_purchase_view/51698131" TargetMode="External"/><Relationship Id="rId1363" Type="http://schemas.openxmlformats.org/officeDocument/2006/relationships/hyperlink" Target="https://zakupivli.pro/gov/tenders/ua-2024-09-25-000083-a" TargetMode="External"/><Relationship Id="rId2207" Type="http://schemas.openxmlformats.org/officeDocument/2006/relationships/hyperlink" Target="https://my.zakupivli.pro/remote/dispatcher/state_purchase_view/60983117" TargetMode="External"/><Relationship Id="rId733" Type="http://schemas.openxmlformats.org/officeDocument/2006/relationships/hyperlink" Target="https://zakupivli.pro/gov/tenders/UA-2024-02-02-011638-a/lot-bffee2f0a5924e55a76b32caa2d7b046" TargetMode="External"/><Relationship Id="rId940" Type="http://schemas.openxmlformats.org/officeDocument/2006/relationships/hyperlink" Target="https://my.zakupivli.pro/remote/dispatcher/state_purchase_view/49736304" TargetMode="External"/><Relationship Id="rId1016" Type="http://schemas.openxmlformats.org/officeDocument/2006/relationships/hyperlink" Target="https://my.zakupivli.pro/remote/dispatcher/state_purchase_view/50192772" TargetMode="External"/><Relationship Id="rId1570" Type="http://schemas.openxmlformats.org/officeDocument/2006/relationships/hyperlink" Target="https://zakupivli.pro/gov/tenders/ua-2024-12-26-006943-a" TargetMode="External"/><Relationship Id="rId1668" Type="http://schemas.openxmlformats.org/officeDocument/2006/relationships/hyperlink" Target="https://zakupivli.pro/gov/tenders/ua-2025-01-27-013503-a/lot-56b5f04516aa48b491fc70654eaac6ab" TargetMode="External"/><Relationship Id="rId1875" Type="http://schemas.openxmlformats.org/officeDocument/2006/relationships/hyperlink" Target="https://zakupivli.pro/gov/tenders/ua-2025-03-13-000096-a" TargetMode="External"/><Relationship Id="rId2414" Type="http://schemas.openxmlformats.org/officeDocument/2006/relationships/hyperlink" Target="https://zakupivli.pro/gov/tenders/ua-2025-10-31-008798-a" TargetMode="External"/><Relationship Id="rId800" Type="http://schemas.openxmlformats.org/officeDocument/2006/relationships/hyperlink" Target="https://my.zakupivli.pro/remote/dispatcher/state_purchase_view/49049714" TargetMode="External"/><Relationship Id="rId1223" Type="http://schemas.openxmlformats.org/officeDocument/2006/relationships/hyperlink" Target="https://my.zakupivli.pro/remote/dispatcher/state_purchase_view/52299011" TargetMode="External"/><Relationship Id="rId1430" Type="http://schemas.openxmlformats.org/officeDocument/2006/relationships/hyperlink" Target="https://zakupivli.pro/gov/tenders/ua-2024-11-06-014697-a" TargetMode="External"/><Relationship Id="rId1528" Type="http://schemas.openxmlformats.org/officeDocument/2006/relationships/hyperlink" Target="https://zakupivli.pro/gov/tenders/ua-2024-12-17-016908-a/lot-35b0ab82a7f64756b2663012645b01a3" TargetMode="External"/><Relationship Id="rId1735" Type="http://schemas.openxmlformats.org/officeDocument/2006/relationships/hyperlink" Target="https://zakupivli.pro/gov/tenders/ua-2025-02-03-009297-a" TargetMode="External"/><Relationship Id="rId1942" Type="http://schemas.openxmlformats.org/officeDocument/2006/relationships/hyperlink" Target="https://my.zakupivli.pro/remote/dispatcher/state_purchase_view/58651905" TargetMode="External"/><Relationship Id="rId27" Type="http://schemas.openxmlformats.org/officeDocument/2006/relationships/hyperlink" Target="https://my.zakupki.prom.ua/remote/dispatcher/state_purchase_view/40312420" TargetMode="External"/><Relationship Id="rId1802" Type="http://schemas.openxmlformats.org/officeDocument/2006/relationships/hyperlink" Target="https://zakupivli.pro/gov/tenders/ua-2025-02-14-008026-a" TargetMode="External"/><Relationship Id="rId176" Type="http://schemas.openxmlformats.org/officeDocument/2006/relationships/hyperlink" Target="https://zakupki.prom.ua/gov/tenders/UA-2023-03-15-006274-a/lot-975a984689b744c18a585f60a5bdb3a8" TargetMode="External"/><Relationship Id="rId383" Type="http://schemas.openxmlformats.org/officeDocument/2006/relationships/hyperlink" Target="https://my.zakupki.prom.ua/remote/dispatcher/state_purchase_view/44291790" TargetMode="External"/><Relationship Id="rId590" Type="http://schemas.openxmlformats.org/officeDocument/2006/relationships/hyperlink" Target="https://zakupivli.pro/gov/tenders/UA-2024-01-11-008391-a" TargetMode="External"/><Relationship Id="rId2064" Type="http://schemas.openxmlformats.org/officeDocument/2006/relationships/hyperlink" Target="https://zakupivli.pro/gov/tenders/ua-2025-06-05-002438-a" TargetMode="External"/><Relationship Id="rId2271" Type="http://schemas.openxmlformats.org/officeDocument/2006/relationships/hyperlink" Target="https://my.zakupivli.pro/remote/dispatcher/state_purchase_view/61620347" TargetMode="External"/><Relationship Id="rId243" Type="http://schemas.openxmlformats.org/officeDocument/2006/relationships/hyperlink" Target="https://zakupki.prom.ua/gov/tenders/UA-2023-03-30-003336-a" TargetMode="External"/><Relationship Id="rId450" Type="http://schemas.openxmlformats.org/officeDocument/2006/relationships/hyperlink" Target="https://zakupki.prom.ua/gov/tenders/UA-2023-08-31-001439-a" TargetMode="External"/><Relationship Id="rId688" Type="http://schemas.openxmlformats.org/officeDocument/2006/relationships/hyperlink" Target="https://zakupivli.pro/gov/tenders/UA-2024-01-31-007748-a" TargetMode="External"/><Relationship Id="rId895" Type="http://schemas.openxmlformats.org/officeDocument/2006/relationships/hyperlink" Target="https://zakupivli.pro/gov/tenders/UA-2024-02-29-006630-a/lot-1848e7a921f94c98b2964468849001d0" TargetMode="External"/><Relationship Id="rId1080" Type="http://schemas.openxmlformats.org/officeDocument/2006/relationships/hyperlink" Target="https://my.zakupivli.pro/remote/dispatcher/state_purchase_view/50840153" TargetMode="External"/><Relationship Id="rId2131" Type="http://schemas.openxmlformats.org/officeDocument/2006/relationships/hyperlink" Target="https://my.zakupivli.pro/remote/dispatcher/state_purchase_view/60263803" TargetMode="External"/><Relationship Id="rId2369" Type="http://schemas.openxmlformats.org/officeDocument/2006/relationships/hyperlink" Target="https://my.zakupivli.pro/remote/dispatcher/state_purchase_view/62831582" TargetMode="External"/><Relationship Id="rId103" Type="http://schemas.openxmlformats.org/officeDocument/2006/relationships/hyperlink" Target="https://my.zakupki.prom.ua/remote/dispatcher/state_purchase_view/40975550" TargetMode="External"/><Relationship Id="rId310" Type="http://schemas.openxmlformats.org/officeDocument/2006/relationships/hyperlink" Target="https://zakupki.prom.ua/gov/tenders/UA-2023-04-04-000049-a" TargetMode="External"/><Relationship Id="rId548" Type="http://schemas.openxmlformats.org/officeDocument/2006/relationships/hyperlink" Target="https://zakupivli.pro/gov/tenders/UA-2023-12-14-013003-a" TargetMode="External"/><Relationship Id="rId755" Type="http://schemas.openxmlformats.org/officeDocument/2006/relationships/hyperlink" Target="https://zakupivli.pro/gov/tenders/UA-2024-02-02-013586-a/lot-fedb5a93a0db4e3684935411be656ca6" TargetMode="External"/><Relationship Id="rId962" Type="http://schemas.openxmlformats.org/officeDocument/2006/relationships/hyperlink" Target="https://my.zakupivli.pro/remote/dispatcher/state_purchase_view/49814380" TargetMode="External"/><Relationship Id="rId1178" Type="http://schemas.openxmlformats.org/officeDocument/2006/relationships/hyperlink" Target="https://zakupivli.pro/gov/tenders/UA-2024-06-25-001166-a" TargetMode="External"/><Relationship Id="rId1385" Type="http://schemas.openxmlformats.org/officeDocument/2006/relationships/hyperlink" Target="https://zakupivli.pro/gov/tenders/ua-2024-10-17-014759-a" TargetMode="External"/><Relationship Id="rId1592" Type="http://schemas.openxmlformats.org/officeDocument/2006/relationships/hyperlink" Target="https://zakupivli.pro/gov/tenders/ua-2025-01-03-003984-a/lot-50b685476034412da7562ca35923381f" TargetMode="External"/><Relationship Id="rId2229" Type="http://schemas.openxmlformats.org/officeDocument/2006/relationships/hyperlink" Target="https://my.zakupivli.pro/remote/dispatcher/state_purchase_view/61130931" TargetMode="External"/><Relationship Id="rId2436" Type="http://schemas.openxmlformats.org/officeDocument/2006/relationships/hyperlink" Target="https://zakupivli.pro/gov/tenders/ua-2025-11-12-002376-a/lot-cf4da700614147aaa2880f51276995e7" TargetMode="External"/><Relationship Id="rId91" Type="http://schemas.openxmlformats.org/officeDocument/2006/relationships/hyperlink" Target="https://my.zakupki.prom.ua/remote/dispatcher/state_purchase_view/41191954" TargetMode="External"/><Relationship Id="rId408" Type="http://schemas.openxmlformats.org/officeDocument/2006/relationships/hyperlink" Target="https://zakupki.prom.ua/gov/tenders/UA-2023-08-03-000375-a" TargetMode="External"/><Relationship Id="rId615" Type="http://schemas.openxmlformats.org/officeDocument/2006/relationships/hyperlink" Target="https://my.zakupivli.pro/remote/dispatcher/state_purchase_view/48479304" TargetMode="External"/><Relationship Id="rId822" Type="http://schemas.openxmlformats.org/officeDocument/2006/relationships/hyperlink" Target="https://my.zakupivli.pro/remote/dispatcher/state_purchase_view/49305636" TargetMode="External"/><Relationship Id="rId1038" Type="http://schemas.openxmlformats.org/officeDocument/2006/relationships/hyperlink" Target="https://my.zakupivli.pro/remote/dispatcher/state_purchase_view/50272627" TargetMode="External"/><Relationship Id="rId1245" Type="http://schemas.openxmlformats.org/officeDocument/2006/relationships/hyperlink" Target="https://zakupivli.pro/gov/tenders/UA-2024-07-29-002334-a" TargetMode="External"/><Relationship Id="rId1452" Type="http://schemas.openxmlformats.org/officeDocument/2006/relationships/hyperlink" Target="https://my.zakupivli.pro/remote/dispatcher/state_purchase_view/54820196" TargetMode="External"/><Relationship Id="rId1897" Type="http://schemas.openxmlformats.org/officeDocument/2006/relationships/hyperlink" Target="https://zakupivli.pro/gov/tenders/ua-2025-03-24-001051-a" TargetMode="External"/><Relationship Id="rId2503" Type="http://schemas.openxmlformats.org/officeDocument/2006/relationships/hyperlink" Target="https://my.zakupivli.pro/remote/dispatcher/state_purchase_view/64352038" TargetMode="External"/><Relationship Id="rId1105" Type="http://schemas.openxmlformats.org/officeDocument/2006/relationships/hyperlink" Target="https://zakupivli.pro/gov/tenders/UA-2024-05-17-000118-a/lot-311058576deb4cf79d53d580154014bd" TargetMode="External"/><Relationship Id="rId1312" Type="http://schemas.openxmlformats.org/officeDocument/2006/relationships/hyperlink" Target="https://zakupivli.pro/gov/tenders/UA-2024-08-29-007868-a/lot-cb7a0070271445bcac54725802fdc157" TargetMode="External"/><Relationship Id="rId1757" Type="http://schemas.openxmlformats.org/officeDocument/2006/relationships/hyperlink" Target="https://my.zakupivli.pro/remote/dispatcher/state_purchase_view/57295165" TargetMode="External"/><Relationship Id="rId1964" Type="http://schemas.openxmlformats.org/officeDocument/2006/relationships/hyperlink" Target="https://zakupivli.pro/gov/tenders/ua-2025-04-18-008599-a/lot-d1930e606bf14e32bb19439d60d5eb4c" TargetMode="External"/><Relationship Id="rId49" Type="http://schemas.openxmlformats.org/officeDocument/2006/relationships/hyperlink" Target="https://my.zakupki.prom.ua/remote/dispatcher/state_purchase_view/41519330" TargetMode="External"/><Relationship Id="rId1617" Type="http://schemas.openxmlformats.org/officeDocument/2006/relationships/hyperlink" Target="https://my.zakupivli.pro/remote/dispatcher/state_purchase_view/56598627" TargetMode="External"/><Relationship Id="rId1824" Type="http://schemas.openxmlformats.org/officeDocument/2006/relationships/hyperlink" Target="https://my.zakupivli.pro/remote/dispatcher/state_purchase_view/57623304" TargetMode="External"/><Relationship Id="rId198" Type="http://schemas.openxmlformats.org/officeDocument/2006/relationships/hyperlink" Target="https://zakupki.prom.ua/gov/tenders/UA-2023-03-22-004354-a" TargetMode="External"/><Relationship Id="rId2086" Type="http://schemas.openxmlformats.org/officeDocument/2006/relationships/hyperlink" Target="https://zakupivli.pro/gov/tenders/ua-2025-06-12-011075-a/lot-977eae71a9824ae8b72230ce316343fa" TargetMode="External"/><Relationship Id="rId2293" Type="http://schemas.openxmlformats.org/officeDocument/2006/relationships/hyperlink" Target="https://zakupivli.pro/gov/tenders/ua-2025-09-10-003722-a" TargetMode="External"/><Relationship Id="rId265" Type="http://schemas.openxmlformats.org/officeDocument/2006/relationships/hyperlink" Target="https://zakupki.prom.ua/gov/tenders/UA-2023-03-31-002313-a" TargetMode="External"/><Relationship Id="rId472" Type="http://schemas.openxmlformats.org/officeDocument/2006/relationships/hyperlink" Target="https://my.zakupki.prom.ua/remote/dispatcher/state_purchase_view/44980722" TargetMode="External"/><Relationship Id="rId2153" Type="http://schemas.openxmlformats.org/officeDocument/2006/relationships/hyperlink" Target="https://my.zakupivli.pro/remote/dispatcher/state_purchase_view/60505517" TargetMode="External"/><Relationship Id="rId2360" Type="http://schemas.openxmlformats.org/officeDocument/2006/relationships/hyperlink" Target="https://zakupivli.pro/gov/tenders/ua-2025-10-14-003114-a" TargetMode="External"/><Relationship Id="rId125" Type="http://schemas.openxmlformats.org/officeDocument/2006/relationships/hyperlink" Target="https://zakupki.prom.ua/gov/tenders/UA-2023-03-02-010020-a" TargetMode="External"/><Relationship Id="rId332" Type="http://schemas.openxmlformats.org/officeDocument/2006/relationships/hyperlink" Target="https://my.zakupki.prom.ua/remote/dispatcher/state_purchase_view/42223552" TargetMode="External"/><Relationship Id="rId777" Type="http://schemas.openxmlformats.org/officeDocument/2006/relationships/hyperlink" Target="https://zakupivli.pro/gov/tenders/UA-2024-02-06-009098-a" TargetMode="External"/><Relationship Id="rId984" Type="http://schemas.openxmlformats.org/officeDocument/2006/relationships/hyperlink" Target="https://my.zakupivli.pro/remote/dispatcher/state_purchase_view/49991885" TargetMode="External"/><Relationship Id="rId2013" Type="http://schemas.openxmlformats.org/officeDocument/2006/relationships/hyperlink" Target="https://zakupivli.pro/gov/tenders/ua-2025-05-13-002429-a/lot-0a149ea944924aba91b2f8156e2dd006" TargetMode="External"/><Relationship Id="rId2220" Type="http://schemas.openxmlformats.org/officeDocument/2006/relationships/hyperlink" Target="https://zakupivli.pro/gov/tenders/ua-2025-07-30-003593-a" TargetMode="External"/><Relationship Id="rId2458" Type="http://schemas.openxmlformats.org/officeDocument/2006/relationships/hyperlink" Target="https://zakupivli.pro/gov/tenders/ua-2025-11-17-003430-a" TargetMode="External"/><Relationship Id="rId637" Type="http://schemas.openxmlformats.org/officeDocument/2006/relationships/hyperlink" Target="https://my.zakupivli.pro/remote/dispatcher/state_purchase_view/48579121" TargetMode="External"/><Relationship Id="rId844" Type="http://schemas.openxmlformats.org/officeDocument/2006/relationships/hyperlink" Target="https://zakupivli.pro/gov/tenders/UA-2024-02-20-010187-a" TargetMode="External"/><Relationship Id="rId1267" Type="http://schemas.openxmlformats.org/officeDocument/2006/relationships/hyperlink" Target="https://zakupivli.pro/gov/tenders/UA-2024-08-08-010980-a" TargetMode="External"/><Relationship Id="rId1474" Type="http://schemas.openxmlformats.org/officeDocument/2006/relationships/hyperlink" Target="https://my.zakupivli.pro/remote/dispatcher/state_purchase_view/54837075" TargetMode="External"/><Relationship Id="rId1681" Type="http://schemas.openxmlformats.org/officeDocument/2006/relationships/hyperlink" Target="https://zakupivli.pro/gov/tenders/ua-2025-01-27-014719-a/lot-29e910c05cde4e8dba4c630368dc8cc7" TargetMode="External"/><Relationship Id="rId2318" Type="http://schemas.openxmlformats.org/officeDocument/2006/relationships/hyperlink" Target="https://zakupivli.pro/gov/tenders/ua-2025-09-23-013853-a" TargetMode="External"/><Relationship Id="rId2525" Type="http://schemas.openxmlformats.org/officeDocument/2006/relationships/hyperlink" Target="https://zakupivli.pro/gov/tenders/ua-2025-12-16-012171-a" TargetMode="External"/><Relationship Id="rId704" Type="http://schemas.openxmlformats.org/officeDocument/2006/relationships/hyperlink" Target="https://zakupivli.pro/gov/tenders/UA-2024-02-01-013687-a/lot-cbf7b0ffd1d84f068fddcb61e642799a" TargetMode="External"/><Relationship Id="rId911" Type="http://schemas.openxmlformats.org/officeDocument/2006/relationships/hyperlink" Target="https://zakupivli.pro/gov/tenders/UA-2024-03-04-007678-a" TargetMode="External"/><Relationship Id="rId1127" Type="http://schemas.openxmlformats.org/officeDocument/2006/relationships/hyperlink" Target="https://zakupivli.pro/gov/tenders/UA-2024-05-27-006416-a" TargetMode="External"/><Relationship Id="rId1334" Type="http://schemas.openxmlformats.org/officeDocument/2006/relationships/hyperlink" Target="https://zakupivli.pro/gov/tenders/ua-2024-09-13-002771-a" TargetMode="External"/><Relationship Id="rId1541" Type="http://schemas.openxmlformats.org/officeDocument/2006/relationships/hyperlink" Target="https://zakupivli.pro/gov/tenders/ua-2024-12-20-005683-a/lot-a70ea84e10ae476286482dd01a112183" TargetMode="External"/><Relationship Id="rId1779" Type="http://schemas.openxmlformats.org/officeDocument/2006/relationships/hyperlink" Target="https://my.zakupivli.pro/remote/dispatcher/state_purchase_view/57446387" TargetMode="External"/><Relationship Id="rId1986" Type="http://schemas.openxmlformats.org/officeDocument/2006/relationships/hyperlink" Target="https://zakupivli.pro/gov/tenders/ua-2025-05-06-011060-a" TargetMode="External"/><Relationship Id="rId40" Type="http://schemas.openxmlformats.org/officeDocument/2006/relationships/hyperlink" Target="https://my.zakupki.prom.ua/remote/dispatcher/state_purchase_view/41520379" TargetMode="External"/><Relationship Id="rId1401" Type="http://schemas.openxmlformats.org/officeDocument/2006/relationships/hyperlink" Target="https://zakupivli.pro/gov/tenders/ua-2024-10-29-002264-a" TargetMode="External"/><Relationship Id="rId1639" Type="http://schemas.openxmlformats.org/officeDocument/2006/relationships/hyperlink" Target="https://zakupivli.pro/gov/tenders/ua-2025-01-21-013032-a" TargetMode="External"/><Relationship Id="rId1846" Type="http://schemas.openxmlformats.org/officeDocument/2006/relationships/hyperlink" Target="https://my.zakupivli.pro/remote/dispatcher/state_purchase_view/57767467" TargetMode="External"/><Relationship Id="rId1706" Type="http://schemas.openxmlformats.org/officeDocument/2006/relationships/hyperlink" Target="https://zakupivli.pro/gov/tenders/ua-2025-01-29-003903-a/lot-35a62486fc704813b60b1b05ff9ab601" TargetMode="External"/><Relationship Id="rId1913" Type="http://schemas.openxmlformats.org/officeDocument/2006/relationships/hyperlink" Target="https://zakupivli.pro/gov/tenders/ua-2025-03-25-003266-a/lot-90fd47f16ff343cb81f9b845d1569a1c" TargetMode="External"/><Relationship Id="rId287" Type="http://schemas.openxmlformats.org/officeDocument/2006/relationships/hyperlink" Target="https://zakupki.prom.ua/gov/tenders/UA-2023-04-04-000044-a" TargetMode="External"/><Relationship Id="rId494" Type="http://schemas.openxmlformats.org/officeDocument/2006/relationships/hyperlink" Target="https://zakupki.prom.ua/gov/tenders/UA-2023-09-29-009263-a/lot-1b43f461855448bbb672524ab26096e5" TargetMode="External"/><Relationship Id="rId2175" Type="http://schemas.openxmlformats.org/officeDocument/2006/relationships/hyperlink" Target="https://my.zakupivli.pro/remote/dispatcher/state_purchase_view/60616244" TargetMode="External"/><Relationship Id="rId2382" Type="http://schemas.openxmlformats.org/officeDocument/2006/relationships/hyperlink" Target="https://zakupivli.pro/gov/tenders/ua-2025-10-22-005511-a" TargetMode="External"/><Relationship Id="rId147" Type="http://schemas.openxmlformats.org/officeDocument/2006/relationships/hyperlink" Target="https://zakupki.prom.ua/gov/tenders/UA-2023-03-10-004740-a/lot-5d3dbfbba3384c6386ec2677a6465703" TargetMode="External"/><Relationship Id="rId354" Type="http://schemas.openxmlformats.org/officeDocument/2006/relationships/hyperlink" Target="https://my.zakupki.prom.ua/remote/dispatcher/state_purchase_view/42520239" TargetMode="External"/><Relationship Id="rId799" Type="http://schemas.openxmlformats.org/officeDocument/2006/relationships/hyperlink" Target="https://my.zakupivli.pro/remote/dispatcher/state_purchase_view/49051488" TargetMode="External"/><Relationship Id="rId1191" Type="http://schemas.openxmlformats.org/officeDocument/2006/relationships/hyperlink" Target="https://my.zakupivli.pro/remote/dispatcher/state_purchase_view/51971165" TargetMode="External"/><Relationship Id="rId2035" Type="http://schemas.openxmlformats.org/officeDocument/2006/relationships/hyperlink" Target="https://my.zakupivli.pro/remote/dispatcher/state_purchase_view/59662837" TargetMode="External"/><Relationship Id="rId561" Type="http://schemas.openxmlformats.org/officeDocument/2006/relationships/hyperlink" Target="https://my.zakupivli.pro/remote/dispatcher/state_purchase_view/48106581" TargetMode="External"/><Relationship Id="rId659" Type="http://schemas.openxmlformats.org/officeDocument/2006/relationships/hyperlink" Target="https://my.zakupivli.pro/remote/dispatcher/state_purchase_view/48688184" TargetMode="External"/><Relationship Id="rId866" Type="http://schemas.openxmlformats.org/officeDocument/2006/relationships/hyperlink" Target="https://zakupivli.pro/gov/tenders/UA-2024-02-22-001885-a" TargetMode="External"/><Relationship Id="rId1289" Type="http://schemas.openxmlformats.org/officeDocument/2006/relationships/hyperlink" Target="https://my.zakupivli.pro/remote/dispatcher/state_purchase_view/52614637" TargetMode="External"/><Relationship Id="rId1496" Type="http://schemas.openxmlformats.org/officeDocument/2006/relationships/hyperlink" Target="https://my.zakupivli.pro/remote/dispatcher/state_purchase_view/55498113" TargetMode="External"/><Relationship Id="rId2242" Type="http://schemas.openxmlformats.org/officeDocument/2006/relationships/hyperlink" Target="https://zakupivli.pro/gov/tenders/ua-2025-08-07-006729-a" TargetMode="External"/><Relationship Id="rId214" Type="http://schemas.openxmlformats.org/officeDocument/2006/relationships/hyperlink" Target="https://my.zakupki.prom.ua/remote/dispatcher/state_purchase_view/41647901" TargetMode="External"/><Relationship Id="rId421" Type="http://schemas.openxmlformats.org/officeDocument/2006/relationships/hyperlink" Target="https://my.zakupki.prom.ua/remote/dispatcher/state_purchase_view/44411432" TargetMode="External"/><Relationship Id="rId519" Type="http://schemas.openxmlformats.org/officeDocument/2006/relationships/hyperlink" Target="https://my.zakupivli.pro/remote/dispatcher/state_purchase_view/47062887" TargetMode="External"/><Relationship Id="rId1051" Type="http://schemas.openxmlformats.org/officeDocument/2006/relationships/hyperlink" Target="https://my.zakupivli.pro/remote/dispatcher/state_purchase_view/50326211" TargetMode="External"/><Relationship Id="rId1149" Type="http://schemas.openxmlformats.org/officeDocument/2006/relationships/hyperlink" Target="https://zakupivli.pro/gov/tenders/UA-2024-06-11-004453-a" TargetMode="External"/><Relationship Id="rId1356" Type="http://schemas.openxmlformats.org/officeDocument/2006/relationships/hyperlink" Target="https://my.zakupivli.pro/remote/dispatcher/state_purchase_view/53556470" TargetMode="External"/><Relationship Id="rId2102" Type="http://schemas.openxmlformats.org/officeDocument/2006/relationships/hyperlink" Target="https://zakupivli.pro/gov/tenders/ua-2025-06-18-011141-a" TargetMode="External"/><Relationship Id="rId726" Type="http://schemas.openxmlformats.org/officeDocument/2006/relationships/hyperlink" Target="https://my.zakupivli.pro/remote/dispatcher/state_purchase_view/48905507" TargetMode="External"/><Relationship Id="rId933" Type="http://schemas.openxmlformats.org/officeDocument/2006/relationships/hyperlink" Target="https://zakupivli.pro/gov/tenders/UA-2024-03-11-000483-a" TargetMode="External"/><Relationship Id="rId1009" Type="http://schemas.openxmlformats.org/officeDocument/2006/relationships/hyperlink" Target="https://my.zakupivli.pro/remote/dispatcher/state_purchase_view/50127903" TargetMode="External"/><Relationship Id="rId1563" Type="http://schemas.openxmlformats.org/officeDocument/2006/relationships/hyperlink" Target="https://my.zakupivli.pro/remote/dispatcher/state_purchase_view/56204817" TargetMode="External"/><Relationship Id="rId1770" Type="http://schemas.openxmlformats.org/officeDocument/2006/relationships/hyperlink" Target="https://my.zakupivli.pro/remote/dispatcher/state_purchase_view/57407976" TargetMode="External"/><Relationship Id="rId1868" Type="http://schemas.openxmlformats.org/officeDocument/2006/relationships/hyperlink" Target="https://my.zakupivli.pro/remote/dispatcher/state_purchase_view/58061453" TargetMode="External"/><Relationship Id="rId2407" Type="http://schemas.openxmlformats.org/officeDocument/2006/relationships/hyperlink" Target="https://my.zakupivli.pro/remote/dispatcher/state_purchase_view/63073212" TargetMode="External"/><Relationship Id="rId62" Type="http://schemas.openxmlformats.org/officeDocument/2006/relationships/hyperlink" Target="https://my.zakupki.prom.ua/remote/dispatcher/state_purchase_view/41426939" TargetMode="External"/><Relationship Id="rId1216" Type="http://schemas.openxmlformats.org/officeDocument/2006/relationships/hyperlink" Target="https://my.zakupivli.pro/remote/dispatcher/state_purchase_view/52282158" TargetMode="External"/><Relationship Id="rId1423" Type="http://schemas.openxmlformats.org/officeDocument/2006/relationships/hyperlink" Target="https://zakupivli.pro/gov/tenders/ua-2024-11-01-000223-a" TargetMode="External"/><Relationship Id="rId1630" Type="http://schemas.openxmlformats.org/officeDocument/2006/relationships/hyperlink" Target="https://my.zakupivli.pro/remote/dispatcher/state_purchase_view/56756969" TargetMode="External"/><Relationship Id="rId1728" Type="http://schemas.openxmlformats.org/officeDocument/2006/relationships/hyperlink" Target="https://my.zakupivli.pro/remote/dispatcher/state_purchase_view/57141917" TargetMode="External"/><Relationship Id="rId1935" Type="http://schemas.openxmlformats.org/officeDocument/2006/relationships/hyperlink" Target="https://zakupivli.pro/gov/tenders/ua-2025-04-07-006636-a" TargetMode="External"/><Relationship Id="rId2197" Type="http://schemas.openxmlformats.org/officeDocument/2006/relationships/hyperlink" Target="https://zakupivli.pro/gov/tenders/ua-2025-07-24-006045-a" TargetMode="External"/><Relationship Id="rId169" Type="http://schemas.openxmlformats.org/officeDocument/2006/relationships/hyperlink" Target="https://zakupki.prom.ua/gov/tenders/UA-2023-03-15-006954-a/lot-683afe1461a84b26be1201764cc9ff2f" TargetMode="External"/><Relationship Id="rId376" Type="http://schemas.openxmlformats.org/officeDocument/2006/relationships/hyperlink" Target="https://zakupki.prom.ua/gov/tenders/UA-2023-06-15-009126-a" TargetMode="External"/><Relationship Id="rId583" Type="http://schemas.openxmlformats.org/officeDocument/2006/relationships/hyperlink" Target="https://my.zakupivli.pro/remote/dispatcher/state_purchase_view/48220144" TargetMode="External"/><Relationship Id="rId790" Type="http://schemas.openxmlformats.org/officeDocument/2006/relationships/hyperlink" Target="https://my.zakupivli.pro/remote/dispatcher/state_purchase_view/49026827" TargetMode="External"/><Relationship Id="rId2057" Type="http://schemas.openxmlformats.org/officeDocument/2006/relationships/hyperlink" Target="https://my.zakupivli.pro/remote/dispatcher/state_purchase_view/59864438" TargetMode="External"/><Relationship Id="rId2264" Type="http://schemas.openxmlformats.org/officeDocument/2006/relationships/hyperlink" Target="https://zakupivli.pro/gov/tenders/ua-2025-08-18-004442-a" TargetMode="External"/><Relationship Id="rId2471" Type="http://schemas.openxmlformats.org/officeDocument/2006/relationships/hyperlink" Target="https://my.zakupivli.pro/remote/dispatcher/state_purchase_view/63816045" TargetMode="External"/><Relationship Id="rId4" Type="http://schemas.openxmlformats.org/officeDocument/2006/relationships/hyperlink" Target="https://zakupki.prom.ua/gov/tenders/UA-2022-11-08-011601-a/lot-f6efe23c19344ddc8d8a5822f34ca2fc" TargetMode="External"/><Relationship Id="rId236" Type="http://schemas.openxmlformats.org/officeDocument/2006/relationships/hyperlink" Target="https://my.zakupki.prom.ua/remote/dispatcher/state_purchase_view/41720673" TargetMode="External"/><Relationship Id="rId443" Type="http://schemas.openxmlformats.org/officeDocument/2006/relationships/hyperlink" Target="https://zakupki.prom.ua/gov/tenders/UA-2023-08-24-000445-a/lot-a7f22f5f2e5a47c4ba0e6767db0131e1" TargetMode="External"/><Relationship Id="rId650" Type="http://schemas.openxmlformats.org/officeDocument/2006/relationships/hyperlink" Target="https://my.zakupivli.pro/remote/dispatcher/state_purchase_view/48638355" TargetMode="External"/><Relationship Id="rId888" Type="http://schemas.openxmlformats.org/officeDocument/2006/relationships/hyperlink" Target="https://my.zakupivli.pro/remote/dispatcher/state_purchase_view/49472296" TargetMode="External"/><Relationship Id="rId1073" Type="http://schemas.openxmlformats.org/officeDocument/2006/relationships/hyperlink" Target="https://my.zakupivli.pro/remote/dispatcher/state_purchase_view/50747345" TargetMode="External"/><Relationship Id="rId1280" Type="http://schemas.openxmlformats.org/officeDocument/2006/relationships/hyperlink" Target="https://my.zakupivli.pro/remote/dispatcher/state_purchase_view/52757356" TargetMode="External"/><Relationship Id="rId2124" Type="http://schemas.openxmlformats.org/officeDocument/2006/relationships/hyperlink" Target="https://zakupivli.pro/gov/tenders/ua-2025-06-20-003030-a" TargetMode="External"/><Relationship Id="rId2331" Type="http://schemas.openxmlformats.org/officeDocument/2006/relationships/hyperlink" Target="https://my.zakupivli.pro/remote/dispatcher/state_purchase_view/62294874" TargetMode="External"/><Relationship Id="rId303" Type="http://schemas.openxmlformats.org/officeDocument/2006/relationships/hyperlink" Target="https://my.zakupki.prom.ua/remote/dispatcher/state_purchase_view/41779398" TargetMode="External"/><Relationship Id="rId748" Type="http://schemas.openxmlformats.org/officeDocument/2006/relationships/hyperlink" Target="https://my.zakupivli.pro/remote/dispatcher/state_purchase_view/48906947" TargetMode="External"/><Relationship Id="rId955" Type="http://schemas.openxmlformats.org/officeDocument/2006/relationships/hyperlink" Target="https://my.zakupivli.pro/remote/dispatcher/state_purchase_view/49783236" TargetMode="External"/><Relationship Id="rId1140" Type="http://schemas.openxmlformats.org/officeDocument/2006/relationships/hyperlink" Target="https://zakupivli.pro/gov/tenders/UA-2024-06-04-001790-a" TargetMode="External"/><Relationship Id="rId1378" Type="http://schemas.openxmlformats.org/officeDocument/2006/relationships/hyperlink" Target="https://my.zakupivli.pro/remote/dispatcher/state_purchase_view/54054503" TargetMode="External"/><Relationship Id="rId1585" Type="http://schemas.openxmlformats.org/officeDocument/2006/relationships/hyperlink" Target="https://zakupivli.pro/gov/tenders/ua-2025-01-02-001375-a" TargetMode="External"/><Relationship Id="rId1792" Type="http://schemas.openxmlformats.org/officeDocument/2006/relationships/hyperlink" Target="https://my.zakupivli.pro/remote/dispatcher/state_purchase_view/57483469" TargetMode="External"/><Relationship Id="rId2429" Type="http://schemas.openxmlformats.org/officeDocument/2006/relationships/hyperlink" Target="https://my.zakupivli.pro/remote/dispatcher/state_purchase_view/63409896" TargetMode="External"/><Relationship Id="rId84" Type="http://schemas.openxmlformats.org/officeDocument/2006/relationships/hyperlink" Target="https://my.zakupki.prom.ua/remote/dispatcher/state_purchase_view/41234669" TargetMode="External"/><Relationship Id="rId510" Type="http://schemas.openxmlformats.org/officeDocument/2006/relationships/hyperlink" Target="https://zakupivli.pro/gov/tenders/UA-2023-10-25-014030-a" TargetMode="External"/><Relationship Id="rId608" Type="http://schemas.openxmlformats.org/officeDocument/2006/relationships/hyperlink" Target="https://zakupivli.pro/gov/tenders/UA-2024-01-18-003702-a/lot-27cd208e8a504524a5e97e2ee6194a7e" TargetMode="External"/><Relationship Id="rId815" Type="http://schemas.openxmlformats.org/officeDocument/2006/relationships/hyperlink" Target="https://my.zakupivli.pro/remote/dispatcher/state_purchase_view/49215079" TargetMode="External"/><Relationship Id="rId1238" Type="http://schemas.openxmlformats.org/officeDocument/2006/relationships/hyperlink" Target="https://my.zakupivli.pro/remote/dispatcher/state_purchase_view/52353571" TargetMode="External"/><Relationship Id="rId1445" Type="http://schemas.openxmlformats.org/officeDocument/2006/relationships/hyperlink" Target="https://my.zakupivli.pro/remote/dispatcher/state_purchase_view/54822010" TargetMode="External"/><Relationship Id="rId1652" Type="http://schemas.openxmlformats.org/officeDocument/2006/relationships/hyperlink" Target="https://my.zakupivli.pro/remote/dispatcher/state_purchase_view/56922591" TargetMode="External"/><Relationship Id="rId1000" Type="http://schemas.openxmlformats.org/officeDocument/2006/relationships/hyperlink" Target="https://zakupivli.pro/gov/tenders/UA-2024-03-25-000272-a" TargetMode="External"/><Relationship Id="rId1305" Type="http://schemas.openxmlformats.org/officeDocument/2006/relationships/hyperlink" Target="https://zakupivli.pro/gov/tenders/UA-2024-08-14-000304-a" TargetMode="External"/><Relationship Id="rId1957" Type="http://schemas.openxmlformats.org/officeDocument/2006/relationships/hyperlink" Target="https://my.zakupivli.pro/remote/dispatcher/state_purchase_view/58831849" TargetMode="External"/><Relationship Id="rId1512" Type="http://schemas.openxmlformats.org/officeDocument/2006/relationships/hyperlink" Target="https://zakupivli.pro/gov/tenders/ua-2024-12-03-012447-a/lot-27a447f16f4a4a818eb01daf699ca267" TargetMode="External"/><Relationship Id="rId1817" Type="http://schemas.openxmlformats.org/officeDocument/2006/relationships/hyperlink" Target="https://zakupivli.pro/gov/tenders/ua-2025-02-20-008191-a/lot-b4beb872b6e6474d88283380ce450f29" TargetMode="External"/><Relationship Id="rId11" Type="http://schemas.openxmlformats.org/officeDocument/2006/relationships/hyperlink" Target="https://zakupki.prom.ua/gov/tenders/UA-2022-11-23-004191-a" TargetMode="External"/><Relationship Id="rId398" Type="http://schemas.openxmlformats.org/officeDocument/2006/relationships/hyperlink" Target="https://zakupki.prom.ua/gov/tenders/UA-2023-07-19-002763-a" TargetMode="External"/><Relationship Id="rId2079" Type="http://schemas.openxmlformats.org/officeDocument/2006/relationships/hyperlink" Target="https://my.zakupivli.pro/remote/dispatcher/state_purchase_view/60047433" TargetMode="External"/><Relationship Id="rId160" Type="http://schemas.openxmlformats.org/officeDocument/2006/relationships/hyperlink" Target="https://zakupki.prom.ua/gov/tenders/UA-2023-03-14-001150-a/lot-58c7f0424cf244059dfabb02f3fe5c97" TargetMode="External"/><Relationship Id="rId2286" Type="http://schemas.openxmlformats.org/officeDocument/2006/relationships/hyperlink" Target="https://zakupivli.pro/gov/tenders/ua-2025-09-08-000644-a" TargetMode="External"/><Relationship Id="rId2493" Type="http://schemas.openxmlformats.org/officeDocument/2006/relationships/hyperlink" Target="https://zakupivli.pro/gov/tenders/ua-2025-12-09-001167-a" TargetMode="External"/><Relationship Id="rId258" Type="http://schemas.openxmlformats.org/officeDocument/2006/relationships/hyperlink" Target="https://my.zakupki.prom.ua/remote/dispatcher/state_purchase_view/41738442" TargetMode="External"/><Relationship Id="rId465" Type="http://schemas.openxmlformats.org/officeDocument/2006/relationships/hyperlink" Target="https://zakupki.prom.ua/gov/tenders/UA-2023-09-12-001499-a" TargetMode="External"/><Relationship Id="rId672" Type="http://schemas.openxmlformats.org/officeDocument/2006/relationships/hyperlink" Target="https://zakupivli.pro/gov/tenders/UA-2024-01-25-012929-a" TargetMode="External"/><Relationship Id="rId1095" Type="http://schemas.openxmlformats.org/officeDocument/2006/relationships/hyperlink" Target="https://zakupivli.pro/gov/tenders/UA-2024-05-10-008517-a/lot-1ee185c5fd264090b8f76f8b2beb6263" TargetMode="External"/><Relationship Id="rId2146" Type="http://schemas.openxmlformats.org/officeDocument/2006/relationships/hyperlink" Target="https://my.zakupivli.pro/remote/dispatcher/state_purchase_view/60341421" TargetMode="External"/><Relationship Id="rId2353" Type="http://schemas.openxmlformats.org/officeDocument/2006/relationships/hyperlink" Target="https://zakupivli.pro/gov/tenders/ua-2025-10-03-006798-a" TargetMode="External"/><Relationship Id="rId118" Type="http://schemas.openxmlformats.org/officeDocument/2006/relationships/hyperlink" Target="https://zakupki.prom.ua/gov/tenders/UA-2023-02-20-013352-a" TargetMode="External"/><Relationship Id="rId325" Type="http://schemas.openxmlformats.org/officeDocument/2006/relationships/hyperlink" Target="https://zakupki.prom.ua/gov/tenders/UA-2023-04-25-007183-a/lot-8748c140f01f431cab69c26fe9becfb6" TargetMode="External"/><Relationship Id="rId532" Type="http://schemas.openxmlformats.org/officeDocument/2006/relationships/hyperlink" Target="https://zakupivli.pro/gov/tenders/UA-2023-12-06-005005-a" TargetMode="External"/><Relationship Id="rId977" Type="http://schemas.openxmlformats.org/officeDocument/2006/relationships/hyperlink" Target="https://my.zakupivli.pro/remote/dispatcher/state_purchase_view/49993454" TargetMode="External"/><Relationship Id="rId1162" Type="http://schemas.openxmlformats.org/officeDocument/2006/relationships/hyperlink" Target="https://my.zakupivli.pro/remote/dispatcher/state_purchase_view/51759699" TargetMode="External"/><Relationship Id="rId2006" Type="http://schemas.openxmlformats.org/officeDocument/2006/relationships/hyperlink" Target="https://my.zakupivli.pro/remote/dispatcher/state_purchase_view/59361064" TargetMode="External"/><Relationship Id="rId2213" Type="http://schemas.openxmlformats.org/officeDocument/2006/relationships/hyperlink" Target="https://zakupivli.pro/gov/tenders/ua-2025-07-29-002744-a" TargetMode="External"/><Relationship Id="rId2420" Type="http://schemas.openxmlformats.org/officeDocument/2006/relationships/hyperlink" Target="https://my.zakupivli.pro/remote/dispatcher/state_purchase_view/63230963" TargetMode="External"/><Relationship Id="rId837" Type="http://schemas.openxmlformats.org/officeDocument/2006/relationships/hyperlink" Target="https://my.zakupivli.pro/remote/dispatcher/state_purchase_view/49296397" TargetMode="External"/><Relationship Id="rId1022" Type="http://schemas.openxmlformats.org/officeDocument/2006/relationships/hyperlink" Target="https://zakupivli.pro/gov/tenders/UA-2024-04-03-008011-a" TargetMode="External"/><Relationship Id="rId1467" Type="http://schemas.openxmlformats.org/officeDocument/2006/relationships/hyperlink" Target="https://zakupivli.pro/gov/tenders/ua-2024-11-14-013905-a" TargetMode="External"/><Relationship Id="rId1674" Type="http://schemas.openxmlformats.org/officeDocument/2006/relationships/hyperlink" Target="https://my.zakupivli.pro/remote/dispatcher/state_purchase_view/56946083" TargetMode="External"/><Relationship Id="rId1881" Type="http://schemas.openxmlformats.org/officeDocument/2006/relationships/hyperlink" Target="https://zakupivli.pro/gov/tenders/ua-2025-03-14-000631-a" TargetMode="External"/><Relationship Id="rId2518" Type="http://schemas.openxmlformats.org/officeDocument/2006/relationships/hyperlink" Target="https://my.zakupivli.pro/remote/dispatcher/state_purchase_view/64507690" TargetMode="External"/><Relationship Id="rId904" Type="http://schemas.openxmlformats.org/officeDocument/2006/relationships/hyperlink" Target="https://my.zakupivli.pro/remote/dispatcher/state_purchase_view/49563835" TargetMode="External"/><Relationship Id="rId1327" Type="http://schemas.openxmlformats.org/officeDocument/2006/relationships/hyperlink" Target="https://my.zakupivli.pro/remote/dispatcher/state_purchase_view/53281103" TargetMode="External"/><Relationship Id="rId1534" Type="http://schemas.openxmlformats.org/officeDocument/2006/relationships/hyperlink" Target="https://my.zakupivli.pro/remote/dispatcher/state_purchase_view/55956705" TargetMode="External"/><Relationship Id="rId1741" Type="http://schemas.openxmlformats.org/officeDocument/2006/relationships/hyperlink" Target="https://my.zakupivli.pro/remote/dispatcher/state_purchase_view/57223306" TargetMode="External"/><Relationship Id="rId1979" Type="http://schemas.openxmlformats.org/officeDocument/2006/relationships/hyperlink" Target="https://my.zakupivli.pro/remote/dispatcher/state_purchase_view/59209475" TargetMode="External"/><Relationship Id="rId33" Type="http://schemas.openxmlformats.org/officeDocument/2006/relationships/hyperlink" Target="https://my.zakupki.prom.ua/remote/dispatcher/state_purchase_view/41550489" TargetMode="External"/><Relationship Id="rId1601" Type="http://schemas.openxmlformats.org/officeDocument/2006/relationships/hyperlink" Target="https://zakupivli.pro/gov/tenders/ua-2025-01-08-007829-a" TargetMode="External"/><Relationship Id="rId1839" Type="http://schemas.openxmlformats.org/officeDocument/2006/relationships/hyperlink" Target="https://my.zakupivli.pro/remote/dispatcher/state_purchase_view/57729054" TargetMode="External"/><Relationship Id="rId182" Type="http://schemas.openxmlformats.org/officeDocument/2006/relationships/hyperlink" Target="https://zakupki.prom.ua/gov/tenders/UA-2023-03-20-010412-a" TargetMode="External"/><Relationship Id="rId1906" Type="http://schemas.openxmlformats.org/officeDocument/2006/relationships/hyperlink" Target="https://my.zakupivli.pro/remote/dispatcher/state_purchase_view/58319979" TargetMode="External"/><Relationship Id="rId487" Type="http://schemas.openxmlformats.org/officeDocument/2006/relationships/hyperlink" Target="https://my.zakupki.prom.ua/remote/dispatcher/state_purchase_view/45419691" TargetMode="External"/><Relationship Id="rId694" Type="http://schemas.openxmlformats.org/officeDocument/2006/relationships/hyperlink" Target="https://zakupivli.pro/gov/tenders/UA-2024-01-31-010710-a" TargetMode="External"/><Relationship Id="rId2070" Type="http://schemas.openxmlformats.org/officeDocument/2006/relationships/hyperlink" Target="https://zakupivli.pro/gov/tenders/ua-2025-06-06-006663-a" TargetMode="External"/><Relationship Id="rId2168" Type="http://schemas.openxmlformats.org/officeDocument/2006/relationships/hyperlink" Target="https://zakupivli.pro/gov/tenders/ua-2025-07-04-008271-a" TargetMode="External"/><Relationship Id="rId2375" Type="http://schemas.openxmlformats.org/officeDocument/2006/relationships/hyperlink" Target="https://my.zakupivli.pro/remote/dispatcher/state_purchase_view/62863079" TargetMode="External"/><Relationship Id="rId347" Type="http://schemas.openxmlformats.org/officeDocument/2006/relationships/hyperlink" Target="../AppData/Roaming/Microsoft/Excel/UA-2023-04-26-009769-a" TargetMode="External"/><Relationship Id="rId999" Type="http://schemas.openxmlformats.org/officeDocument/2006/relationships/hyperlink" Target="https://zakupivli.pro/gov/tenders/UA-2024-03-25-000383-a" TargetMode="External"/><Relationship Id="rId1184" Type="http://schemas.openxmlformats.org/officeDocument/2006/relationships/hyperlink" Target="https://my.zakupivli.pro/remote/dispatcher/state_purchase_view/51864709" TargetMode="External"/><Relationship Id="rId2028" Type="http://schemas.openxmlformats.org/officeDocument/2006/relationships/hyperlink" Target="https://zakupivli.pro/gov/tenders/ua-2025-05-20-001540-a" TargetMode="External"/><Relationship Id="rId554" Type="http://schemas.openxmlformats.org/officeDocument/2006/relationships/hyperlink" Target="https://my.zakupivli.pro/remote/dispatcher/state_purchase_view/48105477" TargetMode="External"/><Relationship Id="rId761" Type="http://schemas.openxmlformats.org/officeDocument/2006/relationships/hyperlink" Target="https://my.zakupivli.pro/remote/dispatcher/state_purchase_view/48907751" TargetMode="External"/><Relationship Id="rId859" Type="http://schemas.openxmlformats.org/officeDocument/2006/relationships/hyperlink" Target="https://zakupivli.pro/gov/tenders/UA-2024-02-21-000270-a" TargetMode="External"/><Relationship Id="rId1391" Type="http://schemas.openxmlformats.org/officeDocument/2006/relationships/hyperlink" Target="https://my.zakupivli.pro/remote/dispatcher/state_purchase_view/54293500" TargetMode="External"/><Relationship Id="rId1489" Type="http://schemas.openxmlformats.org/officeDocument/2006/relationships/hyperlink" Target="https://zakupivli.pro/gov/tenders/ua-2024-11-26-009164-a" TargetMode="External"/><Relationship Id="rId1696" Type="http://schemas.openxmlformats.org/officeDocument/2006/relationships/hyperlink" Target="https://my.zakupivli.pro/remote/dispatcher/state_purchase_view/56982494" TargetMode="External"/><Relationship Id="rId2235" Type="http://schemas.openxmlformats.org/officeDocument/2006/relationships/hyperlink" Target="https://my.zakupivli.pro/remote/dispatcher/state_purchase_view/61158555" TargetMode="External"/><Relationship Id="rId2442" Type="http://schemas.openxmlformats.org/officeDocument/2006/relationships/hyperlink" Target="https://my.zakupivli.pro/remote/dispatcher/state_purchase_view/63502201" TargetMode="External"/><Relationship Id="rId207" Type="http://schemas.openxmlformats.org/officeDocument/2006/relationships/hyperlink" Target="https://my.zakupki.prom.ua/remote/dispatcher/state_purchase_view/41677151" TargetMode="External"/><Relationship Id="rId414" Type="http://schemas.openxmlformats.org/officeDocument/2006/relationships/hyperlink" Target="https://my.zakupki.prom.ua/remote/dispatcher/state_purchase_view/44523546" TargetMode="External"/><Relationship Id="rId621" Type="http://schemas.openxmlformats.org/officeDocument/2006/relationships/hyperlink" Target="https://my.zakupivli.pro/remote/dispatcher/state_purchase_view/48486096" TargetMode="External"/><Relationship Id="rId1044" Type="http://schemas.openxmlformats.org/officeDocument/2006/relationships/hyperlink" Target="https://zakupivli.pro/gov/tenders/UA-2024-04-09-001535-a" TargetMode="External"/><Relationship Id="rId1251" Type="http://schemas.openxmlformats.org/officeDocument/2006/relationships/hyperlink" Target="https://my.zakupivli.pro/remote/dispatcher/state_purchase_view/52524003" TargetMode="External"/><Relationship Id="rId1349" Type="http://schemas.openxmlformats.org/officeDocument/2006/relationships/hyperlink" Target="https://zakupivli.pro/gov/tenders/ua-2024-09-23-004311-a" TargetMode="External"/><Relationship Id="rId2302" Type="http://schemas.openxmlformats.org/officeDocument/2006/relationships/hyperlink" Target="https://zakupivli.pro/gov/tenders/ua-2025-09-16-013900-a" TargetMode="External"/><Relationship Id="rId719" Type="http://schemas.openxmlformats.org/officeDocument/2006/relationships/hyperlink" Target="https://zakupivli.pro/gov/tenders/UA-2024-02-02-012574-a" TargetMode="External"/><Relationship Id="rId926" Type="http://schemas.openxmlformats.org/officeDocument/2006/relationships/hyperlink" Target="https://zakupivli.pro/gov/tenders/UA-2024-03-07-006789-a" TargetMode="External"/><Relationship Id="rId1111" Type="http://schemas.openxmlformats.org/officeDocument/2006/relationships/hyperlink" Target="https://zakupivli.pro/gov/tenders/UA-2024-05-22-000727-a" TargetMode="External"/><Relationship Id="rId1556" Type="http://schemas.openxmlformats.org/officeDocument/2006/relationships/hyperlink" Target="https://zakupivli.pro/gov/tenders/ua-2024-12-25-010078-a" TargetMode="External"/><Relationship Id="rId1763" Type="http://schemas.openxmlformats.org/officeDocument/2006/relationships/hyperlink" Target="https://zakupivli.pro/gov/tenders/ua-2025-02-10-005542-a" TargetMode="External"/><Relationship Id="rId1970" Type="http://schemas.openxmlformats.org/officeDocument/2006/relationships/hyperlink" Target="https://zakupivli.pro/gov/tenders/ua-2025-04-30-002296-a" TargetMode="External"/><Relationship Id="rId55" Type="http://schemas.openxmlformats.org/officeDocument/2006/relationships/hyperlink" Target="https://my.zakupki.prom.ua/remote/dispatcher/state_purchase_view/41432337" TargetMode="External"/><Relationship Id="rId1209" Type="http://schemas.openxmlformats.org/officeDocument/2006/relationships/hyperlink" Target="https://my.zakupivli.pro/remote/dispatcher/state_purchase_view/52221727" TargetMode="External"/><Relationship Id="rId1416" Type="http://schemas.openxmlformats.org/officeDocument/2006/relationships/hyperlink" Target="https://my.zakupivli.pro/remote/dispatcher/state_purchase_view/54453100" TargetMode="External"/><Relationship Id="rId1623" Type="http://schemas.openxmlformats.org/officeDocument/2006/relationships/hyperlink" Target="https://my.zakupivli.pro/remote/dispatcher/state_purchase_view/56624857" TargetMode="External"/><Relationship Id="rId1830" Type="http://schemas.openxmlformats.org/officeDocument/2006/relationships/hyperlink" Target="https://my.zakupivli.pro/remote/dispatcher/state_purchase_view/57711359" TargetMode="External"/><Relationship Id="rId1928" Type="http://schemas.openxmlformats.org/officeDocument/2006/relationships/hyperlink" Target="https://my.zakupivli.pro/remote/dispatcher/state_purchase_view/58589458" TargetMode="External"/><Relationship Id="rId2092" Type="http://schemas.openxmlformats.org/officeDocument/2006/relationships/hyperlink" Target="https://zakupivli.pro/gov/tenders/ua-2025-06-12-001669-a" TargetMode="External"/><Relationship Id="rId271" Type="http://schemas.openxmlformats.org/officeDocument/2006/relationships/hyperlink" Target="https://my.zakupki.prom.ua/remote/dispatcher/state_purchase_view/41779398" TargetMode="External"/><Relationship Id="rId2397" Type="http://schemas.openxmlformats.org/officeDocument/2006/relationships/hyperlink" Target="https://my.zakupivli.pro/remote/dispatcher/state_purchase_view/62935235" TargetMode="External"/><Relationship Id="rId131" Type="http://schemas.openxmlformats.org/officeDocument/2006/relationships/hyperlink" Target="https://zakupki.prom.ua/gov/tenders/UA-2023-03-02-008423-a" TargetMode="External"/><Relationship Id="rId369" Type="http://schemas.openxmlformats.org/officeDocument/2006/relationships/hyperlink" Target="https://zakupki.prom.ua/gov/tenders/UA-2023-06-05-010990-a" TargetMode="External"/><Relationship Id="rId576" Type="http://schemas.openxmlformats.org/officeDocument/2006/relationships/hyperlink" Target="https://zakupivli.pro/gov/tenders/UA-2024-01-04-005625-a" TargetMode="External"/><Relationship Id="rId783" Type="http://schemas.openxmlformats.org/officeDocument/2006/relationships/hyperlink" Target="https://zakupivli.pro/gov/tenders/UA-2024-02-07-009090-a/lot-22a99a680c774a04b4fe6ba48365a060" TargetMode="External"/><Relationship Id="rId990" Type="http://schemas.openxmlformats.org/officeDocument/2006/relationships/hyperlink" Target="https://zakupivli.pro/gov/tenders/UA-2024-03-25-000641-a" TargetMode="External"/><Relationship Id="rId2257" Type="http://schemas.openxmlformats.org/officeDocument/2006/relationships/hyperlink" Target="https://my.zakupivli.pro/remote/dispatcher/state_purchase_view/61470402" TargetMode="External"/><Relationship Id="rId2464" Type="http://schemas.openxmlformats.org/officeDocument/2006/relationships/hyperlink" Target="https://zakupivli.pro/gov/tenders/ua-2025-11-19-008852-a" TargetMode="External"/><Relationship Id="rId229" Type="http://schemas.openxmlformats.org/officeDocument/2006/relationships/hyperlink" Target="https://my.zakupki.prom.ua/remote/dispatcher/state_purchase_view/41677151" TargetMode="External"/><Relationship Id="rId436" Type="http://schemas.openxmlformats.org/officeDocument/2006/relationships/hyperlink" Target="https://my.zakupki.prom.ua/remote/dispatcher/state_purchase_view/44706235" TargetMode="External"/><Relationship Id="rId643" Type="http://schemas.openxmlformats.org/officeDocument/2006/relationships/hyperlink" Target="https://zakupivli.pro/gov/tenders/UA-2024-01-23-002308-a" TargetMode="External"/><Relationship Id="rId1066" Type="http://schemas.openxmlformats.org/officeDocument/2006/relationships/hyperlink" Target="https://my.zakupivli.pro/remote/dispatcher/state_purchase_view/50625843" TargetMode="External"/><Relationship Id="rId1273" Type="http://schemas.openxmlformats.org/officeDocument/2006/relationships/hyperlink" Target="https://my.zakupivli.pro/remote/dispatcher/state_purchase_view/52826404" TargetMode="External"/><Relationship Id="rId1480" Type="http://schemas.openxmlformats.org/officeDocument/2006/relationships/hyperlink" Target="https://my.zakupivli.pro/remote/dispatcher/state_purchase_view/54954390" TargetMode="External"/><Relationship Id="rId2117" Type="http://schemas.openxmlformats.org/officeDocument/2006/relationships/hyperlink" Target="https://zakupivli.pro/gov/tenders/ua-2025-06-19-006954-a" TargetMode="External"/><Relationship Id="rId2324" Type="http://schemas.openxmlformats.org/officeDocument/2006/relationships/hyperlink" Target="https://zakupivli.pro/gov/tenders/ua-2025-09-25-013964-a" TargetMode="External"/><Relationship Id="rId850" Type="http://schemas.openxmlformats.org/officeDocument/2006/relationships/hyperlink" Target="https://zakupivli.pro/gov/tenders/UA-2024-02-20-008982-a" TargetMode="External"/><Relationship Id="rId948" Type="http://schemas.openxmlformats.org/officeDocument/2006/relationships/hyperlink" Target="https://zakupivli.pro/gov/tenders/UA-2024-03-12-007781-a" TargetMode="External"/><Relationship Id="rId1133" Type="http://schemas.openxmlformats.org/officeDocument/2006/relationships/hyperlink" Target="https://my.zakupivli.pro/remote/dispatcher/state_purchase_view/51322404" TargetMode="External"/><Relationship Id="rId1578" Type="http://schemas.openxmlformats.org/officeDocument/2006/relationships/hyperlink" Target="https://my.zakupivli.pro/remote/dispatcher/state_purchase_view/56319993" TargetMode="External"/><Relationship Id="rId1785" Type="http://schemas.openxmlformats.org/officeDocument/2006/relationships/hyperlink" Target="https://zakupivli.pro/gov/tenders/ua-2025-02-13-009809-a/lot-563a933143104f4a8f4a9e74b9e920e9" TargetMode="External"/><Relationship Id="rId1992" Type="http://schemas.openxmlformats.org/officeDocument/2006/relationships/hyperlink" Target="https://zakupivli.pro/gov/tenders/ua-2025-05-06-007587-a" TargetMode="External"/><Relationship Id="rId2531" Type="http://schemas.openxmlformats.org/officeDocument/2006/relationships/hyperlink" Target="https://my.zakupivli.pro/remote/dispatcher/state_purchase_view/64715837" TargetMode="External"/><Relationship Id="rId77" Type="http://schemas.openxmlformats.org/officeDocument/2006/relationships/hyperlink" Target="https://my.zakupki.prom.ua/remote/dispatcher/state_purchase_view/41328966" TargetMode="External"/><Relationship Id="rId503" Type="http://schemas.openxmlformats.org/officeDocument/2006/relationships/hyperlink" Target="https://zakupivli.pro/gov/tenders/UA-2023-10-24-009180-a" TargetMode="External"/><Relationship Id="rId710" Type="http://schemas.openxmlformats.org/officeDocument/2006/relationships/hyperlink" Target="https://zakupivli.pro/gov/tenders/UA-2024-02-02-013037-a/lot-b88700d6998348eda24af28d5e710879" TargetMode="External"/><Relationship Id="rId808" Type="http://schemas.openxmlformats.org/officeDocument/2006/relationships/hyperlink" Target="https://my.zakupivli.pro/remote/dispatcher/state_purchase_view/49159293" TargetMode="External"/><Relationship Id="rId1340" Type="http://schemas.openxmlformats.org/officeDocument/2006/relationships/hyperlink" Target="https://zakupivli.pro/gov/tenders/ua-2024-09-20-001099-a/lot-7f3cf0e67a7f4039be31f0df67d5990e" TargetMode="External"/><Relationship Id="rId1438" Type="http://schemas.openxmlformats.org/officeDocument/2006/relationships/hyperlink" Target="https://zakupivli.pro/gov/tenders/ua-2024-11-08-002662-a" TargetMode="External"/><Relationship Id="rId1645" Type="http://schemas.openxmlformats.org/officeDocument/2006/relationships/hyperlink" Target="https://zakupivli.pro/gov/tenders/ua-2025-01-22-016532-a" TargetMode="External"/><Relationship Id="rId1200" Type="http://schemas.openxmlformats.org/officeDocument/2006/relationships/hyperlink" Target="https://my.zakupivli.pro/remote/dispatcher/state_purchase_view/52153166" TargetMode="External"/><Relationship Id="rId1852" Type="http://schemas.openxmlformats.org/officeDocument/2006/relationships/hyperlink" Target="https://zakupivli.pro/gov/tenders/ua-2025-03-03-010821-a" TargetMode="External"/><Relationship Id="rId1505" Type="http://schemas.openxmlformats.org/officeDocument/2006/relationships/hyperlink" Target="https://my.zakupivli.pro/remote/dispatcher/state_purchase_view/55397586" TargetMode="External"/><Relationship Id="rId1712" Type="http://schemas.openxmlformats.org/officeDocument/2006/relationships/hyperlink" Target="https://my.zakupivli.pro/remote/dispatcher/state_purchase_view/57102057" TargetMode="External"/><Relationship Id="rId293" Type="http://schemas.openxmlformats.org/officeDocument/2006/relationships/hyperlink" Target="https://zakupki.prom.ua/gov/tenders/UA-2023-04-04-009813-a/lot-ef71cd4b497b4597a20602ce6c7ca54c" TargetMode="External"/><Relationship Id="rId2181" Type="http://schemas.openxmlformats.org/officeDocument/2006/relationships/hyperlink" Target="https://my.zakupivli.pro/remote/dispatcher/state_purchase_view/60773263" TargetMode="External"/><Relationship Id="rId153" Type="http://schemas.openxmlformats.org/officeDocument/2006/relationships/hyperlink" Target="https://zakupki.prom.ua/gov/tenders/UA-2023-03-10-000247-a/lot-79af372a59d24d9887d5cf71602197f7" TargetMode="External"/><Relationship Id="rId360" Type="http://schemas.openxmlformats.org/officeDocument/2006/relationships/hyperlink" Target="https://zakupki.prom.ua/gov/tenders/UA-2023-05-11-004787-a/lot-70f892454c7144e0aa051568026c3a1f" TargetMode="External"/><Relationship Id="rId598" Type="http://schemas.openxmlformats.org/officeDocument/2006/relationships/hyperlink" Target="https://zakupivli.pro/gov/tenders/UA-2024-01-13-000381-a" TargetMode="External"/><Relationship Id="rId2041" Type="http://schemas.openxmlformats.org/officeDocument/2006/relationships/hyperlink" Target="https://my.zakupivli.pro/remote/dispatcher/state_purchase_view/59713132" TargetMode="External"/><Relationship Id="rId2279" Type="http://schemas.openxmlformats.org/officeDocument/2006/relationships/hyperlink" Target="https://zakupivli.pro/gov/tenders/ua-2025-09-03-000549-a" TargetMode="External"/><Relationship Id="rId2486" Type="http://schemas.openxmlformats.org/officeDocument/2006/relationships/hyperlink" Target="https://zakupivli.pro/gov/tenders/ua-2025-12-02-000285-a" TargetMode="External"/><Relationship Id="rId220" Type="http://schemas.openxmlformats.org/officeDocument/2006/relationships/hyperlink" Target="https://zakupki.prom.ua/gov/tenders/UA-2023-03-27-005517-a" TargetMode="External"/><Relationship Id="rId458" Type="http://schemas.openxmlformats.org/officeDocument/2006/relationships/hyperlink" Target="https://my.zakupki.prom.ua/remote/dispatcher/state_purchase_lot_view/1042853" TargetMode="External"/><Relationship Id="rId665" Type="http://schemas.openxmlformats.org/officeDocument/2006/relationships/hyperlink" Target="https://my.zakupivli.pro/remote/dispatcher/state_purchase_view/48685400" TargetMode="External"/><Relationship Id="rId872" Type="http://schemas.openxmlformats.org/officeDocument/2006/relationships/hyperlink" Target="https://zakupivli.pro/gov/tenders/UA-2024-02-22-011155-a" TargetMode="External"/><Relationship Id="rId1088" Type="http://schemas.openxmlformats.org/officeDocument/2006/relationships/hyperlink" Target="https://zakupivli.pro/gov/tenders/UA-2024-05-09-002161-a" TargetMode="External"/><Relationship Id="rId1295" Type="http://schemas.openxmlformats.org/officeDocument/2006/relationships/hyperlink" Target="https://zakupivli.pro/gov/tenders/UA-2024-08-21-003447-a" TargetMode="External"/><Relationship Id="rId2139" Type="http://schemas.openxmlformats.org/officeDocument/2006/relationships/hyperlink" Target="https://my.zakupivli.pro/remote/dispatcher/state_purchase_view/60292907" TargetMode="External"/><Relationship Id="rId2346" Type="http://schemas.openxmlformats.org/officeDocument/2006/relationships/hyperlink" Target="https://zakupivli.pro/gov/tenders/ua-2025-10-02-011920-a" TargetMode="External"/><Relationship Id="rId318" Type="http://schemas.openxmlformats.org/officeDocument/2006/relationships/hyperlink" Target="https://my.zakupki.prom.ua/remote/dispatcher/state_purchase_view/42015243" TargetMode="External"/><Relationship Id="rId525" Type="http://schemas.openxmlformats.org/officeDocument/2006/relationships/hyperlink" Target="https://my.zakupivli.pro/remote/dispatcher/state_purchase_view/47090594" TargetMode="External"/><Relationship Id="rId732" Type="http://schemas.openxmlformats.org/officeDocument/2006/relationships/hyperlink" Target="https://my.zakupivli.pro/remote/dispatcher/state_purchase_view/48904467" TargetMode="External"/><Relationship Id="rId1155" Type="http://schemas.openxmlformats.org/officeDocument/2006/relationships/hyperlink" Target="https://zakupivli.pro/gov/tenders/UA-2024-06-14-000434-a/lot-6260dbe8be7343c1bb1acb90f5d6f6fb" TargetMode="External"/><Relationship Id="rId1362" Type="http://schemas.openxmlformats.org/officeDocument/2006/relationships/hyperlink" Target="https://zakupivli.pro/gov/tenders/ua-2024-09-25-000091-a" TargetMode="External"/><Relationship Id="rId2206" Type="http://schemas.openxmlformats.org/officeDocument/2006/relationships/hyperlink" Target="https://zakupivli.pro/gov/tenders/ua-2025-07-28-009339-a" TargetMode="External"/><Relationship Id="rId2413" Type="http://schemas.openxmlformats.org/officeDocument/2006/relationships/hyperlink" Target="https://my.zakupivli.pro/remote/dispatcher/state_purchase_view/63122266" TargetMode="External"/><Relationship Id="rId99" Type="http://schemas.openxmlformats.org/officeDocument/2006/relationships/hyperlink" Target="https://my.zakupki.prom.ua/remote/dispatcher/state_purchase_view/41077146" TargetMode="External"/><Relationship Id="rId1015" Type="http://schemas.openxmlformats.org/officeDocument/2006/relationships/hyperlink" Target="https://zakupivli.pro/gov/tenders/UA-2024-04-01-003479-a" TargetMode="External"/><Relationship Id="rId1222" Type="http://schemas.openxmlformats.org/officeDocument/2006/relationships/hyperlink" Target="https://my.zakupivli.pro/remote/dispatcher/state_purchase_view/52298726" TargetMode="External"/><Relationship Id="rId1667" Type="http://schemas.openxmlformats.org/officeDocument/2006/relationships/hyperlink" Target="https://my.zakupivli.pro/remote/dispatcher/state_purchase_view/56943535" TargetMode="External"/><Relationship Id="rId1874" Type="http://schemas.openxmlformats.org/officeDocument/2006/relationships/hyperlink" Target="https://zakupivli.pro/gov/tenders/ua-2025-03-13-002113-a" TargetMode="External"/><Relationship Id="rId1527" Type="http://schemas.openxmlformats.org/officeDocument/2006/relationships/hyperlink" Target="https://zakupivli.pro/gov/tenders/ua-2024-12-17-016908-a/lot-47b80c82df264fb6bba9e168a480914e" TargetMode="External"/><Relationship Id="rId1734" Type="http://schemas.openxmlformats.org/officeDocument/2006/relationships/hyperlink" Target="https://zakupivli.pro/gov/tenders/ua-2025-02-03-009439-a" TargetMode="External"/><Relationship Id="rId1941" Type="http://schemas.openxmlformats.org/officeDocument/2006/relationships/hyperlink" Target="https://my.zakupivli.pro/remote/dispatcher/state_purchase_view/58656209" TargetMode="External"/><Relationship Id="rId26" Type="http://schemas.openxmlformats.org/officeDocument/2006/relationships/hyperlink" Target="https://zakupki.prom.ua/gov/tenders/UA-2023-01-25-000806-a/lot-8aadf7a695434b4192cf5430a97899f1" TargetMode="External"/><Relationship Id="rId175" Type="http://schemas.openxmlformats.org/officeDocument/2006/relationships/hyperlink" Target="https://zakupki.prom.ua/gov/tenders/UA-2023-03-15-006405-a/lot-ccd85ecace464658af4a09c2c26c7d48" TargetMode="External"/><Relationship Id="rId1801" Type="http://schemas.openxmlformats.org/officeDocument/2006/relationships/hyperlink" Target="https://zakupivli.pro/gov/tenders/ua-2025-02-14-008779-a" TargetMode="External"/><Relationship Id="rId382" Type="http://schemas.openxmlformats.org/officeDocument/2006/relationships/hyperlink" Target="https://my.zakupki.prom.ua/remote/dispatcher/state_purchase_view/44300695" TargetMode="External"/><Relationship Id="rId687" Type="http://schemas.openxmlformats.org/officeDocument/2006/relationships/hyperlink" Target="https://zakupivli.pro/gov/tenders/UA-2024-01-31-008115-a" TargetMode="External"/><Relationship Id="rId2063" Type="http://schemas.openxmlformats.org/officeDocument/2006/relationships/hyperlink" Target="https://zakupivli.pro/gov/tenders/ua-2025-06-05-004619-a" TargetMode="External"/><Relationship Id="rId2270" Type="http://schemas.openxmlformats.org/officeDocument/2006/relationships/hyperlink" Target="https://zakupivli.pro/gov/tenders/ua-2025-08-28-000093-a" TargetMode="External"/><Relationship Id="rId2368" Type="http://schemas.openxmlformats.org/officeDocument/2006/relationships/hyperlink" Target="https://my.zakupivli.pro/remote/dispatcher/state_purchase_view/62833061" TargetMode="External"/><Relationship Id="rId242" Type="http://schemas.openxmlformats.org/officeDocument/2006/relationships/hyperlink" Target="https://my.zakupki.prom.ua/remote/dispatcher/state_purchase_view/41719359" TargetMode="External"/><Relationship Id="rId894" Type="http://schemas.openxmlformats.org/officeDocument/2006/relationships/hyperlink" Target="https://my.zakupivli.pro/remote/dispatcher/state_purchase_view/49508019" TargetMode="External"/><Relationship Id="rId1177" Type="http://schemas.openxmlformats.org/officeDocument/2006/relationships/hyperlink" Target="https://zakupivli.pro/gov/tenders/UA-2024-06-25-001923-a" TargetMode="External"/><Relationship Id="rId2130" Type="http://schemas.openxmlformats.org/officeDocument/2006/relationships/hyperlink" Target="https://my.zakupivli.pro/remote/dispatcher/state_purchase_view/60265394" TargetMode="External"/><Relationship Id="rId102" Type="http://schemas.openxmlformats.org/officeDocument/2006/relationships/hyperlink" Target="https://my.zakupki.prom.ua/remote/dispatcher/state_purchase_view/40975928" TargetMode="External"/><Relationship Id="rId547" Type="http://schemas.openxmlformats.org/officeDocument/2006/relationships/hyperlink" Target="https://zakupivli.pro/gov/tenders/UA-2023-12-14-013003-a" TargetMode="External"/><Relationship Id="rId754" Type="http://schemas.openxmlformats.org/officeDocument/2006/relationships/hyperlink" Target="https://my.zakupivli.pro/remote/dispatcher/state_purchase_view/48908684" TargetMode="External"/><Relationship Id="rId961" Type="http://schemas.openxmlformats.org/officeDocument/2006/relationships/hyperlink" Target="https://my.zakupivli.pro/remote/dispatcher/state_purchase_view/49830616" TargetMode="External"/><Relationship Id="rId1384" Type="http://schemas.openxmlformats.org/officeDocument/2006/relationships/hyperlink" Target="https://zakupivli.pro/gov/tenders/ua-2024-10-17-014832-a" TargetMode="External"/><Relationship Id="rId1591" Type="http://schemas.openxmlformats.org/officeDocument/2006/relationships/hyperlink" Target="https://zakupivli.pro/gov/tenders/ua-2025-01-03-004740-a/lot-70092edfd275441faa65347500714538" TargetMode="External"/><Relationship Id="rId1689" Type="http://schemas.openxmlformats.org/officeDocument/2006/relationships/hyperlink" Target="https://zakupivli.pro/gov/tenders/ua-2025-01-27-016004-a/lot-d5b65214dd394aafade3265be9b80114" TargetMode="External"/><Relationship Id="rId2228" Type="http://schemas.openxmlformats.org/officeDocument/2006/relationships/hyperlink" Target="https://zakupivli.pro/gov/tenders/ua-2025-08-04-007795-a" TargetMode="External"/><Relationship Id="rId2435" Type="http://schemas.openxmlformats.org/officeDocument/2006/relationships/hyperlink" Target="https://zakupivli.pro/gov/tenders/ua-2025-11-12-006084-a" TargetMode="External"/><Relationship Id="rId90" Type="http://schemas.openxmlformats.org/officeDocument/2006/relationships/hyperlink" Target="https://my.zakupki.prom.ua/remote/dispatcher/state_purchase_view/41193065" TargetMode="External"/><Relationship Id="rId407" Type="http://schemas.openxmlformats.org/officeDocument/2006/relationships/hyperlink" Target="https://zakupki.prom.ua/gov/tenders/UA-2023-08-01-002229-a" TargetMode="External"/><Relationship Id="rId614" Type="http://schemas.openxmlformats.org/officeDocument/2006/relationships/hyperlink" Target="https://zakupivli.pro/gov/tenders/UA-2024-01-18-008225-a/lot-e0982ca341584f5b9ebbbed729237236" TargetMode="External"/><Relationship Id="rId821" Type="http://schemas.openxmlformats.org/officeDocument/2006/relationships/hyperlink" Target="https://zakupivli.pro/gov/tenders/UA-2024-02-19-006735-a" TargetMode="External"/><Relationship Id="rId1037" Type="http://schemas.openxmlformats.org/officeDocument/2006/relationships/hyperlink" Target="https://zakupivli.pro/gov/tenders/UA-2024-04-04-010434-a/lot-428e5fc348a04f2b95b483219ef01b28" TargetMode="External"/><Relationship Id="rId1244" Type="http://schemas.openxmlformats.org/officeDocument/2006/relationships/hyperlink" Target="https://my.zakupivli.pro/remote/dispatcher/state_purchase_view/52388202" TargetMode="External"/><Relationship Id="rId1451" Type="http://schemas.openxmlformats.org/officeDocument/2006/relationships/hyperlink" Target="https://my.zakupivli.pro/remote/dispatcher/state_purchase_view/54820495" TargetMode="External"/><Relationship Id="rId1896" Type="http://schemas.openxmlformats.org/officeDocument/2006/relationships/hyperlink" Target="https://zakupivli.pro/gov/tenders/ua-2025-03-24-001110-a" TargetMode="External"/><Relationship Id="rId2502" Type="http://schemas.openxmlformats.org/officeDocument/2006/relationships/hyperlink" Target="https://zakupivli.pro/gov/tenders/ua-2025-12-10-011360-a" TargetMode="External"/><Relationship Id="rId919" Type="http://schemas.openxmlformats.org/officeDocument/2006/relationships/hyperlink" Target="https://zakupivli.pro/gov/tenders/UA-2024-03-05-002444-a" TargetMode="External"/><Relationship Id="rId1104" Type="http://schemas.openxmlformats.org/officeDocument/2006/relationships/hyperlink" Target="https://my.zakupivli.pro/remote/dispatcher/state_purchase_view/51062772" TargetMode="External"/><Relationship Id="rId1311" Type="http://schemas.openxmlformats.org/officeDocument/2006/relationships/hyperlink" Target="https://my.zakupivli.pro/remote/dispatcher/state_purchase_view/52990788" TargetMode="External"/><Relationship Id="rId1549" Type="http://schemas.openxmlformats.org/officeDocument/2006/relationships/hyperlink" Target="https://zakupivli.pro/gov/tenders/ua-2024-12-24-017756-a/lot-aadf24d394f0401fbdb306221bfe5c69" TargetMode="External"/><Relationship Id="rId1756" Type="http://schemas.openxmlformats.org/officeDocument/2006/relationships/hyperlink" Target="https://my.zakupivli.pro/remote/dispatcher/state_purchase_view/57301275" TargetMode="External"/><Relationship Id="rId1963" Type="http://schemas.openxmlformats.org/officeDocument/2006/relationships/hyperlink" Target="https://my.zakupivli.pro/remote/dispatcher/state_purchase_view/58876357" TargetMode="External"/><Relationship Id="rId48" Type="http://schemas.openxmlformats.org/officeDocument/2006/relationships/hyperlink" Target="https://my.zakupki.prom.ua/remote/dispatcher/state_purchase_view/41519534" TargetMode="External"/><Relationship Id="rId1409" Type="http://schemas.openxmlformats.org/officeDocument/2006/relationships/hyperlink" Target="https://zakupivli.pro/gov/tenders/ua-2024-10-30-005005-a" TargetMode="External"/><Relationship Id="rId1616" Type="http://schemas.openxmlformats.org/officeDocument/2006/relationships/hyperlink" Target="https://my.zakupivli.pro/remote/dispatcher/state_purchase_view/56598991" TargetMode="External"/><Relationship Id="rId1823" Type="http://schemas.openxmlformats.org/officeDocument/2006/relationships/hyperlink" Target="https://my.zakupivli.pro/remote/dispatcher/state_purchase_view/57638292" TargetMode="External"/><Relationship Id="rId197" Type="http://schemas.openxmlformats.org/officeDocument/2006/relationships/hyperlink" Target="https://zakupki.prom.ua/gov/tenders/UA-2023-03-22-010199-a" TargetMode="External"/><Relationship Id="rId2085" Type="http://schemas.openxmlformats.org/officeDocument/2006/relationships/hyperlink" Target="https://zakupivli.pro/gov/tenders/ua-2025-06-12-011681-a/lot-4f34003fa74d4c5fa982e862baf8a11f" TargetMode="External"/><Relationship Id="rId2292" Type="http://schemas.openxmlformats.org/officeDocument/2006/relationships/hyperlink" Target="https://my.zakupivli.pro/remote/dispatcher/state_purchase_view/61838634" TargetMode="External"/><Relationship Id="rId264" Type="http://schemas.openxmlformats.org/officeDocument/2006/relationships/hyperlink" Target="https://zakupki.prom.ua/gov/tenders/UA-2023-03-31-002787-a" TargetMode="External"/><Relationship Id="rId471" Type="http://schemas.openxmlformats.org/officeDocument/2006/relationships/hyperlink" Target="https://zakupki.prom.ua/gov/tenders/UA-2023-09-06-007560-a/lot-db8ff7c4cb604387bc65ed74a83e9936" TargetMode="External"/><Relationship Id="rId2152" Type="http://schemas.openxmlformats.org/officeDocument/2006/relationships/hyperlink" Target="https://my.zakupivli.pro/remote/dispatcher/state_purchase_view/60439056" TargetMode="External"/><Relationship Id="rId124" Type="http://schemas.openxmlformats.org/officeDocument/2006/relationships/hyperlink" Target="https://zakupki.prom.ua/gov/tenders/UA-2023-03-02-011561-a" TargetMode="External"/><Relationship Id="rId569" Type="http://schemas.openxmlformats.org/officeDocument/2006/relationships/hyperlink" Target="https://my.zakupivli.pro/remote/dispatcher/state_purchase_view/48111399" TargetMode="External"/><Relationship Id="rId776" Type="http://schemas.openxmlformats.org/officeDocument/2006/relationships/hyperlink" Target="https://zakupivli.pro/gov/tenders/UA-2024-02-06-009098-a" TargetMode="External"/><Relationship Id="rId983" Type="http://schemas.openxmlformats.org/officeDocument/2006/relationships/hyperlink" Target="https://my.zakupivli.pro/remote/dispatcher/state_purchase_view/49992163" TargetMode="External"/><Relationship Id="rId1199" Type="http://schemas.openxmlformats.org/officeDocument/2006/relationships/hyperlink" Target="https://zakupivli.pro/gov/tenders/UA-2024-07-10-008265-a" TargetMode="External"/><Relationship Id="rId2457" Type="http://schemas.openxmlformats.org/officeDocument/2006/relationships/hyperlink" Target="https://zakupivli.pro/gov/tenders/ua-2025-11-17-011923-a" TargetMode="External"/><Relationship Id="rId331" Type="http://schemas.openxmlformats.org/officeDocument/2006/relationships/hyperlink" Target="https://my.zakupki.prom.ua/remote/dispatcher/state_purchase_view/42279435" TargetMode="External"/><Relationship Id="rId429" Type="http://schemas.openxmlformats.org/officeDocument/2006/relationships/hyperlink" Target="https://zakupki.prom.ua/gov/tenders/UA-2023-08-10-003635-a/lot-d5f74a8ffaa04c40bf915cd80a144b4c" TargetMode="External"/><Relationship Id="rId636" Type="http://schemas.openxmlformats.org/officeDocument/2006/relationships/hyperlink" Target="https://zakupivli.pro/gov/tenders/UA-2024-01-23-013208-a" TargetMode="External"/><Relationship Id="rId1059" Type="http://schemas.openxmlformats.org/officeDocument/2006/relationships/hyperlink" Target="https://zakupivli.pro/gov/tenders/UA-2024-04-16-000092-a" TargetMode="External"/><Relationship Id="rId1266" Type="http://schemas.openxmlformats.org/officeDocument/2006/relationships/hyperlink" Target="https://zakupivli.pro/gov/tenders/UA-2024-08-08-010883-a" TargetMode="External"/><Relationship Id="rId1473" Type="http://schemas.openxmlformats.org/officeDocument/2006/relationships/hyperlink" Target="https://my.zakupivli.pro/remote/dispatcher/state_purchase_view/54855962" TargetMode="External"/><Relationship Id="rId2012" Type="http://schemas.openxmlformats.org/officeDocument/2006/relationships/hyperlink" Target="https://my.zakupivli.pro/remote/dispatcher/state_purchase_view/59372454" TargetMode="External"/><Relationship Id="rId2317" Type="http://schemas.openxmlformats.org/officeDocument/2006/relationships/hyperlink" Target="https://zakupivli.pro/gov/tenders/ua-2025-09-23-014253-a" TargetMode="External"/><Relationship Id="rId843" Type="http://schemas.openxmlformats.org/officeDocument/2006/relationships/hyperlink" Target="https://zakupivli.pro/gov/tenders/UA-2024-02-20-010616-a" TargetMode="External"/><Relationship Id="rId1126" Type="http://schemas.openxmlformats.org/officeDocument/2006/relationships/hyperlink" Target="https://zakupivli.pro/gov/tenders/UA-2024-05-27-006967-a" TargetMode="External"/><Relationship Id="rId1680" Type="http://schemas.openxmlformats.org/officeDocument/2006/relationships/hyperlink" Target="https://zakupivli.pro/gov/tenders/ua-2025-01-27-015305-a" TargetMode="External"/><Relationship Id="rId1778" Type="http://schemas.openxmlformats.org/officeDocument/2006/relationships/hyperlink" Target="https://my.zakupivli.pro/remote/dispatcher/state_purchase_view/57447516" TargetMode="External"/><Relationship Id="rId1985" Type="http://schemas.openxmlformats.org/officeDocument/2006/relationships/hyperlink" Target="https://zakupivli.pro/gov/tenders/ua-2025-05-06-012147-a" TargetMode="External"/><Relationship Id="rId2524" Type="http://schemas.openxmlformats.org/officeDocument/2006/relationships/hyperlink" Target="https://zakupivli.pro/gov/tenders/ua-2025-12-16-012591-a" TargetMode="External"/><Relationship Id="rId703" Type="http://schemas.openxmlformats.org/officeDocument/2006/relationships/hyperlink" Target="https://my.zakupivli.pro/remote/dispatcher/state_purchase_view/48872774" TargetMode="External"/><Relationship Id="rId910" Type="http://schemas.openxmlformats.org/officeDocument/2006/relationships/hyperlink" Target="https://zakupivli.pro/gov/tenders/UA-2024-03-04-011096-a/lot-190acbd39713427db880d345f23d4854" TargetMode="External"/><Relationship Id="rId1333" Type="http://schemas.openxmlformats.org/officeDocument/2006/relationships/hyperlink" Target="https://my.zakupivli.pro/remote/dispatcher/state_purchase_view/53313149" TargetMode="External"/><Relationship Id="rId1540" Type="http://schemas.openxmlformats.org/officeDocument/2006/relationships/hyperlink" Target="https://my.zakupivli.pro/remote/dispatcher/state_purchase_view/56008163" TargetMode="External"/><Relationship Id="rId1638" Type="http://schemas.openxmlformats.org/officeDocument/2006/relationships/hyperlink" Target="https://zakupivli.pro/gov/tenders/ua-2025-01-21-013373-a" TargetMode="External"/><Relationship Id="rId1400" Type="http://schemas.openxmlformats.org/officeDocument/2006/relationships/hyperlink" Target="https://zakupivli.pro/gov/tenders/ua-2024-10-29-008170-a" TargetMode="External"/><Relationship Id="rId1845" Type="http://schemas.openxmlformats.org/officeDocument/2006/relationships/hyperlink" Target="https://zakupivli.pro/gov/tenders/ua-2025-02-26-006375-a" TargetMode="External"/><Relationship Id="rId1705" Type="http://schemas.openxmlformats.org/officeDocument/2006/relationships/hyperlink" Target="https://my.zakupivli.pro/remote/dispatcher/state_purchase_view/57010056" TargetMode="External"/><Relationship Id="rId1912" Type="http://schemas.openxmlformats.org/officeDocument/2006/relationships/hyperlink" Target="https://zakupivli.pro/gov/tenders/ua-2025-03-25-007819-a/lot-d029fc1166bb43dfbce5b3417de00213" TargetMode="External"/><Relationship Id="rId286" Type="http://schemas.openxmlformats.org/officeDocument/2006/relationships/hyperlink" Target="https://zakupki.prom.ua/gov/tenders/UA-2023-04-03-010636-a" TargetMode="External"/><Relationship Id="rId493" Type="http://schemas.openxmlformats.org/officeDocument/2006/relationships/hyperlink" Target="https://my.zakupki.prom.ua/remote/dispatcher/state_purchase_view/45549412" TargetMode="External"/><Relationship Id="rId2174" Type="http://schemas.openxmlformats.org/officeDocument/2006/relationships/hyperlink" Target="https://my.zakupivli.pro/remote/dispatcher/state_purchase_view/60616255" TargetMode="External"/><Relationship Id="rId2381" Type="http://schemas.openxmlformats.org/officeDocument/2006/relationships/hyperlink" Target="https://my.zakupivli.pro/remote/dispatcher/state_purchase_view/62852695" TargetMode="External"/><Relationship Id="rId146" Type="http://schemas.openxmlformats.org/officeDocument/2006/relationships/hyperlink" Target="https://my.zakupki.prom.ua/remote/dispatcher/state_purchase_view/41563913" TargetMode="External"/><Relationship Id="rId353" Type="http://schemas.openxmlformats.org/officeDocument/2006/relationships/hyperlink" Target="https://my.zakupki.prom.ua/remote/dispatcher/state_purchase_view/42520847" TargetMode="External"/><Relationship Id="rId560" Type="http://schemas.openxmlformats.org/officeDocument/2006/relationships/hyperlink" Target="https://zakupivli.pro/gov/tenders/UA-2023-12-28-009254-a" TargetMode="External"/><Relationship Id="rId798" Type="http://schemas.openxmlformats.org/officeDocument/2006/relationships/hyperlink" Target="https://my.zakupivli.pro/remote/dispatcher/state_purchase_view/49051879" TargetMode="External"/><Relationship Id="rId1190" Type="http://schemas.openxmlformats.org/officeDocument/2006/relationships/hyperlink" Target="https://my.zakupivli.pro/remote/dispatcher/state_purchase_view/51960186" TargetMode="External"/><Relationship Id="rId2034" Type="http://schemas.openxmlformats.org/officeDocument/2006/relationships/hyperlink" Target="https://zakupivli.pro/gov/tenders/ua-2025-05-23-009263-a" TargetMode="External"/><Relationship Id="rId2241" Type="http://schemas.openxmlformats.org/officeDocument/2006/relationships/hyperlink" Target="https://zakupivli.pro/gov/tenders/ua-2025-08-07-006917-a" TargetMode="External"/><Relationship Id="rId2479" Type="http://schemas.openxmlformats.org/officeDocument/2006/relationships/hyperlink" Target="https://zakupivli.pro/gov/tenders/ua-2025-11-26-004082-a" TargetMode="External"/><Relationship Id="rId213" Type="http://schemas.openxmlformats.org/officeDocument/2006/relationships/hyperlink" Target="https://my.zakupki.prom.ua/remote/dispatcher/state_purchase_view/41648147" TargetMode="External"/><Relationship Id="rId420" Type="http://schemas.openxmlformats.org/officeDocument/2006/relationships/hyperlink" Target="https://my.zakupki.prom.ua/remote/dispatcher/state_purchase_view/44418733" TargetMode="External"/><Relationship Id="rId658" Type="http://schemas.openxmlformats.org/officeDocument/2006/relationships/hyperlink" Target="https://zakupivli.pro/gov/tenders/UA-2024-01-25-003776-a/lot-e4c72f4a0c7d4008abc34fb131552128" TargetMode="External"/><Relationship Id="rId865" Type="http://schemas.openxmlformats.org/officeDocument/2006/relationships/hyperlink" Target="https://zakupivli.pro/gov/tenders/UA-2024-02-22-002895-a" TargetMode="External"/><Relationship Id="rId1050" Type="http://schemas.openxmlformats.org/officeDocument/2006/relationships/hyperlink" Target="https://my.zakupivli.pro/remote/dispatcher/state_purchase_view/50343438" TargetMode="External"/><Relationship Id="rId1288" Type="http://schemas.openxmlformats.org/officeDocument/2006/relationships/hyperlink" Target="https://my.zakupivli.pro/remote/dispatcher/state_purchase_view/52648015" TargetMode="External"/><Relationship Id="rId1495" Type="http://schemas.openxmlformats.org/officeDocument/2006/relationships/hyperlink" Target="https://my.zakupivli.pro/remote/dispatcher/state_purchase_view/55499643" TargetMode="External"/><Relationship Id="rId2101" Type="http://schemas.openxmlformats.org/officeDocument/2006/relationships/hyperlink" Target="https://zakupivli.pro/gov/tenders/ua-2025-06-18-011358-a" TargetMode="External"/><Relationship Id="rId2339" Type="http://schemas.openxmlformats.org/officeDocument/2006/relationships/hyperlink" Target="https://my.zakupivli.pro/remote/dispatcher/state_purchase_view/62380160" TargetMode="External"/><Relationship Id="rId518" Type="http://schemas.openxmlformats.org/officeDocument/2006/relationships/hyperlink" Target="https://zakupivli.pro/gov/tenders/UA-2023-11-17-011056-a/lot-deb817b15f0e45febd04c5bca1c2de4f" TargetMode="External"/><Relationship Id="rId725" Type="http://schemas.openxmlformats.org/officeDocument/2006/relationships/hyperlink" Target="https://zakupivli.pro/gov/tenders/UA-2024-02-02-012435-a" TargetMode="External"/><Relationship Id="rId932" Type="http://schemas.openxmlformats.org/officeDocument/2006/relationships/hyperlink" Target="https://zakupivli.pro/gov/tenders/UA-2024-03-11-000863-a" TargetMode="External"/><Relationship Id="rId1148" Type="http://schemas.openxmlformats.org/officeDocument/2006/relationships/hyperlink" Target="https://my.zakupivli.pro/remote/dispatcher/state_purchase_view/51547469" TargetMode="External"/><Relationship Id="rId1355" Type="http://schemas.openxmlformats.org/officeDocument/2006/relationships/hyperlink" Target="https://my.zakupivli.pro/remote/dispatcher/state_purchase_view/53556554" TargetMode="External"/><Relationship Id="rId1562" Type="http://schemas.openxmlformats.org/officeDocument/2006/relationships/hyperlink" Target="https://my.zakupivli.pro/remote/dispatcher/state_purchase_view/56208279" TargetMode="External"/><Relationship Id="rId2406" Type="http://schemas.openxmlformats.org/officeDocument/2006/relationships/hyperlink" Target="https://my.zakupivli.pro/remote/dispatcher/state_purchase_view/63073781" TargetMode="External"/><Relationship Id="rId1008" Type="http://schemas.openxmlformats.org/officeDocument/2006/relationships/hyperlink" Target="https://my.zakupivli.pro/remote/dispatcher/state_purchase_view/50128451" TargetMode="External"/><Relationship Id="rId1215" Type="http://schemas.openxmlformats.org/officeDocument/2006/relationships/hyperlink" Target="https://my.zakupivli.pro/remote/dispatcher/state_purchase_view/52281767" TargetMode="External"/><Relationship Id="rId1422" Type="http://schemas.openxmlformats.org/officeDocument/2006/relationships/hyperlink" Target="https://zakupivli.pro/gov/tenders/ua-2024-11-01-000272-a" TargetMode="External"/><Relationship Id="rId1867" Type="http://schemas.openxmlformats.org/officeDocument/2006/relationships/hyperlink" Target="https://my.zakupivli.pro/remote/dispatcher/state_purchase_view/58072937" TargetMode="External"/><Relationship Id="rId61" Type="http://schemas.openxmlformats.org/officeDocument/2006/relationships/hyperlink" Target="https://my.zakupki.prom.ua/remote/dispatcher/state_purchase_view/41427101" TargetMode="External"/><Relationship Id="rId1727" Type="http://schemas.openxmlformats.org/officeDocument/2006/relationships/hyperlink" Target="https://my.zakupivli.pro/remote/dispatcher/state_purchase_view/57144174" TargetMode="External"/><Relationship Id="rId1934" Type="http://schemas.openxmlformats.org/officeDocument/2006/relationships/hyperlink" Target="https://zakupivli.pro/gov/tenders/ua-2025-04-07-006839-a" TargetMode="External"/><Relationship Id="rId19" Type="http://schemas.openxmlformats.org/officeDocument/2006/relationships/hyperlink" Target="https://my.zakupki.prom.ua/remote/dispatcher/state_purchase_view/40092152" TargetMode="External"/><Relationship Id="rId2196" Type="http://schemas.openxmlformats.org/officeDocument/2006/relationships/hyperlink" Target="https://zakupivli.pro/gov/tenders/ua-2025-07-24-006216-a" TargetMode="External"/><Relationship Id="rId168" Type="http://schemas.openxmlformats.org/officeDocument/2006/relationships/hyperlink" Target="https://zakupki.prom.ua/gov/tenders/UA-2023-03-15-007154-a/lot-728a008a4f31405da1143481774a265a" TargetMode="External"/><Relationship Id="rId375" Type="http://schemas.openxmlformats.org/officeDocument/2006/relationships/hyperlink" Target="https://my.zakupki.prom.ua/remote/dispatcher/state_purchase_view/43318194" TargetMode="External"/><Relationship Id="rId582" Type="http://schemas.openxmlformats.org/officeDocument/2006/relationships/hyperlink" Target="https://zakupivli.pro/gov/tenders/UA-2024-01-08-000421-a" TargetMode="External"/><Relationship Id="rId2056" Type="http://schemas.openxmlformats.org/officeDocument/2006/relationships/hyperlink" Target="https://my.zakupivli.pro/remote/dispatcher/state_purchase_view/59869236" TargetMode="External"/><Relationship Id="rId2263" Type="http://schemas.openxmlformats.org/officeDocument/2006/relationships/hyperlink" Target="https://zakupivli.pro/gov/tenders/ua-2025-08-18-005825-a" TargetMode="External"/><Relationship Id="rId2470" Type="http://schemas.openxmlformats.org/officeDocument/2006/relationships/hyperlink" Target="https://my.zakupivli.pro/remote/dispatcher/state_purchase_view/63816318" TargetMode="External"/><Relationship Id="rId3" Type="http://schemas.openxmlformats.org/officeDocument/2006/relationships/hyperlink" Target="https://zakupki.prom.ua/gov/tenders/UA-2022-11-04-012540-a/lot-ae7e951f2ab7477ca49e276698923693" TargetMode="External"/><Relationship Id="rId235" Type="http://schemas.openxmlformats.org/officeDocument/2006/relationships/hyperlink" Target="https://my.zakupki.prom.ua/remote/dispatcher/state_purchase_view/41720731" TargetMode="External"/><Relationship Id="rId442" Type="http://schemas.openxmlformats.org/officeDocument/2006/relationships/hyperlink" Target="https://zakupki.prom.ua/gov/tenders/UA-2023-08-24-003436-a" TargetMode="External"/><Relationship Id="rId887" Type="http://schemas.openxmlformats.org/officeDocument/2006/relationships/hyperlink" Target="https://my.zakupivli.pro/remote/dispatcher/state_purchase_view/49472296" TargetMode="External"/><Relationship Id="rId1072" Type="http://schemas.openxmlformats.org/officeDocument/2006/relationships/hyperlink" Target="https://my.zakupivli.pro/remote/dispatcher/state_purchase_view/50748827" TargetMode="External"/><Relationship Id="rId2123" Type="http://schemas.openxmlformats.org/officeDocument/2006/relationships/hyperlink" Target="https://my.zakupivli.pro/remote/dispatcher/state_purchase_view/60237216" TargetMode="External"/><Relationship Id="rId2330" Type="http://schemas.openxmlformats.org/officeDocument/2006/relationships/hyperlink" Target="https://zakupivli.pro/gov/tenders/ua-2025-09-26-008009-a" TargetMode="External"/><Relationship Id="rId302" Type="http://schemas.openxmlformats.org/officeDocument/2006/relationships/hyperlink" Target="https://my.zakupki.prom.ua/remote/dispatcher/state_purchase_view/41779624" TargetMode="External"/><Relationship Id="rId747" Type="http://schemas.openxmlformats.org/officeDocument/2006/relationships/hyperlink" Target="https://zakupivli.pro/gov/tenders/UA-2024-02-02-010994-a/lot-d9f069fdda9a4a64ab4296b89f46d484" TargetMode="External"/><Relationship Id="rId954" Type="http://schemas.openxmlformats.org/officeDocument/2006/relationships/hyperlink" Target="https://my.zakupivli.pro/remote/dispatcher/state_purchase_view/49783236" TargetMode="External"/><Relationship Id="rId1377" Type="http://schemas.openxmlformats.org/officeDocument/2006/relationships/hyperlink" Target="https://zakupivli.pro/gov/tenders/ua-2024-10-14-000539-a" TargetMode="External"/><Relationship Id="rId1584" Type="http://schemas.openxmlformats.org/officeDocument/2006/relationships/hyperlink" Target="https://zakupivli.pro/gov/tenders/ua-2025-01-02-001786-a" TargetMode="External"/><Relationship Id="rId1791" Type="http://schemas.openxmlformats.org/officeDocument/2006/relationships/hyperlink" Target="https://zakupivli.pro/gov/tenders/ua-2025-02-13-013204-a" TargetMode="External"/><Relationship Id="rId2428" Type="http://schemas.openxmlformats.org/officeDocument/2006/relationships/hyperlink" Target="https://my.zakupivli.pro/remote/dispatcher/state_purchase_view/63414449" TargetMode="External"/><Relationship Id="rId83" Type="http://schemas.openxmlformats.org/officeDocument/2006/relationships/hyperlink" Target="https://my.zakupki.prom.ua/remote/dispatcher/state_purchase_view/41235144" TargetMode="External"/><Relationship Id="rId607" Type="http://schemas.openxmlformats.org/officeDocument/2006/relationships/hyperlink" Target="https://my.zakupivli.pro/remote/dispatcher/state_purchase_view/48459128" TargetMode="External"/><Relationship Id="rId814" Type="http://schemas.openxmlformats.org/officeDocument/2006/relationships/hyperlink" Target="https://my.zakupivli.pro/remote/dispatcher/state_purchase_view/49215079" TargetMode="External"/><Relationship Id="rId1237" Type="http://schemas.openxmlformats.org/officeDocument/2006/relationships/hyperlink" Target="https://my.zakupivli.pro/remote/dispatcher/state_purchase_view/52349219" TargetMode="External"/><Relationship Id="rId1444" Type="http://schemas.openxmlformats.org/officeDocument/2006/relationships/hyperlink" Target="https://my.zakupivli.pro/remote/dispatcher/state_purchase_view/54822874" TargetMode="External"/><Relationship Id="rId1651" Type="http://schemas.openxmlformats.org/officeDocument/2006/relationships/hyperlink" Target="https://my.zakupivli.pro/remote/dispatcher/state_purchase_view/56922843" TargetMode="External"/><Relationship Id="rId1889" Type="http://schemas.openxmlformats.org/officeDocument/2006/relationships/hyperlink" Target="https://zakupivli.pro/gov/tenders/ua-2025-03-20-002481-a" TargetMode="External"/><Relationship Id="rId1304" Type="http://schemas.openxmlformats.org/officeDocument/2006/relationships/hyperlink" Target="https://zakupivli.pro/gov/tenders/UA-2024-08-15-004128-a" TargetMode="External"/><Relationship Id="rId1511" Type="http://schemas.openxmlformats.org/officeDocument/2006/relationships/hyperlink" Target="https://zakupivli.pro/gov/tenders/ua-2024-12-04-012135-a" TargetMode="External"/><Relationship Id="rId1749" Type="http://schemas.openxmlformats.org/officeDocument/2006/relationships/hyperlink" Target="https://zakupivli.pro/gov/tenders/ua-2025-02-05-009779-a" TargetMode="External"/><Relationship Id="rId1956" Type="http://schemas.openxmlformats.org/officeDocument/2006/relationships/hyperlink" Target="https://zakupivli.pro/gov/tenders/ua-2025-04-15-002650-a" TargetMode="External"/><Relationship Id="rId1609" Type="http://schemas.openxmlformats.org/officeDocument/2006/relationships/hyperlink" Target="https://zakupivli.pro/gov/tenders/ua-2025-01-14-013229-a/lot-6c40ccac7e5b4631b61b742e9587204f" TargetMode="External"/><Relationship Id="rId1816" Type="http://schemas.openxmlformats.org/officeDocument/2006/relationships/hyperlink" Target="https://zakupivli.pro/gov/tenders/ua-2025-02-20-010663-a" TargetMode="External"/><Relationship Id="rId10" Type="http://schemas.openxmlformats.org/officeDocument/2006/relationships/hyperlink" Target="https://zakupki.prom.ua/gov/tenders/UA-2022-11-17-012395-a" TargetMode="External"/><Relationship Id="rId397" Type="http://schemas.openxmlformats.org/officeDocument/2006/relationships/hyperlink" Target="https://zakupki.prom.ua/gov/tenders/UA-2023-07-13-000492-a" TargetMode="External"/><Relationship Id="rId2078" Type="http://schemas.openxmlformats.org/officeDocument/2006/relationships/hyperlink" Target="https://my.zakupivli.pro/remote/dispatcher/state_purchase_view/60047891" TargetMode="External"/><Relationship Id="rId2285" Type="http://schemas.openxmlformats.org/officeDocument/2006/relationships/hyperlink" Target="https://zakupivli.pro/gov/tenders/ua-2025-09-08-001258-a" TargetMode="External"/><Relationship Id="rId2492" Type="http://schemas.openxmlformats.org/officeDocument/2006/relationships/hyperlink" Target="https://my.zakupivli.pro/remote/dispatcher/state_purchase_view/64232565" TargetMode="External"/><Relationship Id="rId257" Type="http://schemas.openxmlformats.org/officeDocument/2006/relationships/hyperlink" Target="https://my.zakupki.prom.ua/remote/dispatcher/state_purchase_view/41739408" TargetMode="External"/><Relationship Id="rId464" Type="http://schemas.openxmlformats.org/officeDocument/2006/relationships/hyperlink" Target="https://zakupki.prom.ua/gov/tenders/UA-2023-09-12-002759-a" TargetMode="External"/><Relationship Id="rId1094" Type="http://schemas.openxmlformats.org/officeDocument/2006/relationships/hyperlink" Target="https://my.zakupivli.pro/remote/dispatcher/state_purchase_view/50933225" TargetMode="External"/><Relationship Id="rId2145" Type="http://schemas.openxmlformats.org/officeDocument/2006/relationships/hyperlink" Target="https://my.zakupivli.pro/remote/dispatcher/state_purchase_view/60342656" TargetMode="External"/><Relationship Id="rId117" Type="http://schemas.openxmlformats.org/officeDocument/2006/relationships/hyperlink" Target="https://zakupki.prom.ua/gov/tenders/UA-2023-02-20-013513-a" TargetMode="External"/><Relationship Id="rId671" Type="http://schemas.openxmlformats.org/officeDocument/2006/relationships/hyperlink" Target="https://zakupivli.pro/gov/tenders/UA-2024-01-25-013186-a" TargetMode="External"/><Relationship Id="rId769" Type="http://schemas.openxmlformats.org/officeDocument/2006/relationships/hyperlink" Target="https://zakupivli.pro/gov/tenders/UA-2024-02-06-008339-a/lot-b84b63ae65e744d1bfe00a47b63878d2" TargetMode="External"/><Relationship Id="rId976" Type="http://schemas.openxmlformats.org/officeDocument/2006/relationships/hyperlink" Target="https://my.zakupivli.pro/remote/dispatcher/state_purchase_view/49993551" TargetMode="External"/><Relationship Id="rId1399" Type="http://schemas.openxmlformats.org/officeDocument/2006/relationships/hyperlink" Target="https://zakupivli.pro/gov/tenders/ua-2024-10-29-008424-a" TargetMode="External"/><Relationship Id="rId2352" Type="http://schemas.openxmlformats.org/officeDocument/2006/relationships/hyperlink" Target="https://zakupivli.pro/gov/tenders/ua-2025-10-03-007273-a" TargetMode="External"/><Relationship Id="rId324" Type="http://schemas.openxmlformats.org/officeDocument/2006/relationships/hyperlink" Target="https://my.zakupki.prom.ua/remote/dispatcher/state_purchase_view/42166907" TargetMode="External"/><Relationship Id="rId531" Type="http://schemas.openxmlformats.org/officeDocument/2006/relationships/hyperlink" Target="https://my.zakupivli.pro/remote/dispatcher/state_purchase_view/47305506" TargetMode="External"/><Relationship Id="rId629" Type="http://schemas.openxmlformats.org/officeDocument/2006/relationships/hyperlink" Target="https://my.zakupivli.pro/remote/dispatcher/state_purchase_view/48552651" TargetMode="External"/><Relationship Id="rId1161" Type="http://schemas.openxmlformats.org/officeDocument/2006/relationships/hyperlink" Target="https://zakupivli.pro/gov/tenders/UA-2024-06-19-006845-a" TargetMode="External"/><Relationship Id="rId1259" Type="http://schemas.openxmlformats.org/officeDocument/2006/relationships/hyperlink" Target="https://zakupivli.pro/gov/tenders/UA-2024-08-08-003012-a" TargetMode="External"/><Relationship Id="rId1466" Type="http://schemas.openxmlformats.org/officeDocument/2006/relationships/hyperlink" Target="https://zakupivli.pro/gov/tenders/ua-2024-11-14-014016-a" TargetMode="External"/><Relationship Id="rId2005" Type="http://schemas.openxmlformats.org/officeDocument/2006/relationships/hyperlink" Target="https://my.zakupivli.pro/remote/dispatcher/state_purchase_view/59361203" TargetMode="External"/><Relationship Id="rId2212" Type="http://schemas.openxmlformats.org/officeDocument/2006/relationships/hyperlink" Target="https://zakupivli.pro/gov/tenders/ua-2025-07-29-003807-a" TargetMode="External"/><Relationship Id="rId836" Type="http://schemas.openxmlformats.org/officeDocument/2006/relationships/hyperlink" Target="https://my.zakupivli.pro/remote/dispatcher/state_purchase_view/49298239" TargetMode="External"/><Relationship Id="rId1021" Type="http://schemas.openxmlformats.org/officeDocument/2006/relationships/hyperlink" Target="https://zakupivli.pro/gov/tenders/UA-2024-04-03-008285-a" TargetMode="External"/><Relationship Id="rId1119" Type="http://schemas.openxmlformats.org/officeDocument/2006/relationships/hyperlink" Target="https://my.zakupivli.pro/remote/dispatcher/state_purchase_view/51253027" TargetMode="External"/><Relationship Id="rId1673" Type="http://schemas.openxmlformats.org/officeDocument/2006/relationships/hyperlink" Target="https://zakupivli.pro/gov/tenders/ua-2025-01-27-013929-a/lot-c3e5392d9cc84705805a425ed3abf81e" TargetMode="External"/><Relationship Id="rId1880" Type="http://schemas.openxmlformats.org/officeDocument/2006/relationships/hyperlink" Target="https://zakupivli.pro/gov/tenders/ua-2025-03-14-003738-a" TargetMode="External"/><Relationship Id="rId1978" Type="http://schemas.openxmlformats.org/officeDocument/2006/relationships/hyperlink" Target="https://my.zakupivli.pro/remote/dispatcher/state_purchase_view/59210268" TargetMode="External"/><Relationship Id="rId2517" Type="http://schemas.openxmlformats.org/officeDocument/2006/relationships/hyperlink" Target="https://my.zakupivli.pro/remote/dispatcher/state_purchase_view/64507832" TargetMode="External"/><Relationship Id="rId903" Type="http://schemas.openxmlformats.org/officeDocument/2006/relationships/hyperlink" Target="https://my.zakupivli.pro/remote/dispatcher/state_purchase_view/49571405" TargetMode="External"/><Relationship Id="rId1326" Type="http://schemas.openxmlformats.org/officeDocument/2006/relationships/hyperlink" Target="https://my.zakupivli.pro/remote/dispatcher/state_purchase_view/53279231" TargetMode="External"/><Relationship Id="rId1533" Type="http://schemas.openxmlformats.org/officeDocument/2006/relationships/hyperlink" Target="https://my.zakupivli.pro/remote/dispatcher/state_purchase_view/55969608" TargetMode="External"/><Relationship Id="rId1740" Type="http://schemas.openxmlformats.org/officeDocument/2006/relationships/hyperlink" Target="https://my.zakupivli.pro/remote/dispatcher/state_purchase_view/57231734" TargetMode="External"/><Relationship Id="rId32" Type="http://schemas.openxmlformats.org/officeDocument/2006/relationships/hyperlink" Target="https://my.zakupki.prom.ua/remote/dispatcher/state_purchase_view/41563913" TargetMode="External"/><Relationship Id="rId1600" Type="http://schemas.openxmlformats.org/officeDocument/2006/relationships/hyperlink" Target="https://my.zakupivli.pro/remote/dispatcher/state_purchase_view/56394826" TargetMode="External"/><Relationship Id="rId1838" Type="http://schemas.openxmlformats.org/officeDocument/2006/relationships/hyperlink" Target="https://my.zakupivli.pro/remote/dispatcher/state_purchase_view/57734245" TargetMode="External"/><Relationship Id="rId181" Type="http://schemas.openxmlformats.org/officeDocument/2006/relationships/hyperlink" Target="https://zakupki.prom.ua/gov/tenders/UA-2023-03-20-010476-a" TargetMode="External"/><Relationship Id="rId1905" Type="http://schemas.openxmlformats.org/officeDocument/2006/relationships/hyperlink" Target="https://my.zakupivli.pro/remote/dispatcher/state_purchase_view/58330065" TargetMode="External"/><Relationship Id="rId279" Type="http://schemas.openxmlformats.org/officeDocument/2006/relationships/hyperlink" Target="https://my.zakupki.prom.ua/remote/dispatcher/state_purchase_view/41755715" TargetMode="External"/><Relationship Id="rId486" Type="http://schemas.openxmlformats.org/officeDocument/2006/relationships/hyperlink" Target="https://my.zakupki.prom.ua/remote/dispatcher/state_purchase_view/45419703" TargetMode="External"/><Relationship Id="rId693" Type="http://schemas.openxmlformats.org/officeDocument/2006/relationships/hyperlink" Target="https://zakupivli.pro/gov/tenders/UA-2024-01-31-010710-a" TargetMode="External"/><Relationship Id="rId2167" Type="http://schemas.openxmlformats.org/officeDocument/2006/relationships/hyperlink" Target="https://zakupivli.pro/gov/tenders/ua-2025-07-04-008295-a" TargetMode="External"/><Relationship Id="rId2374" Type="http://schemas.openxmlformats.org/officeDocument/2006/relationships/hyperlink" Target="https://my.zakupivli.pro/remote/dispatcher/state_purchase_view/62863476" TargetMode="External"/><Relationship Id="rId139" Type="http://schemas.openxmlformats.org/officeDocument/2006/relationships/hyperlink" Target="https://my.zakupki.prom.ua/remote/dispatcher/state_purchase_view/41607111" TargetMode="External"/><Relationship Id="rId346" Type="http://schemas.openxmlformats.org/officeDocument/2006/relationships/hyperlink" Target="https://zakupki.prom.ua/gov/tenders/UA-2023-04-26-009769-a" TargetMode="External"/><Relationship Id="rId553" Type="http://schemas.openxmlformats.org/officeDocument/2006/relationships/hyperlink" Target="https://my.zakupivli.pro/remote/dispatcher/state_purchase_view/48105790" TargetMode="External"/><Relationship Id="rId760" Type="http://schemas.openxmlformats.org/officeDocument/2006/relationships/hyperlink" Target="https://my.zakupivli.pro/remote/dispatcher/state_purchase_view/48907751" TargetMode="External"/><Relationship Id="rId998" Type="http://schemas.openxmlformats.org/officeDocument/2006/relationships/hyperlink" Target="https://zakupivli.pro/gov/tenders/UA-2024-03-25-000416-a" TargetMode="External"/><Relationship Id="rId1183" Type="http://schemas.openxmlformats.org/officeDocument/2006/relationships/hyperlink" Target="https://zakupivli.pro/gov/tenders/UA-2024-06-25-000445-a" TargetMode="External"/><Relationship Id="rId1390" Type="http://schemas.openxmlformats.org/officeDocument/2006/relationships/hyperlink" Target="https://my.zakupivli.pro/remote/dispatcher/state_purchase_view/54304558" TargetMode="External"/><Relationship Id="rId2027" Type="http://schemas.openxmlformats.org/officeDocument/2006/relationships/hyperlink" Target="https://zakupivli.pro/gov/tenders/ua-2025-05-20-001567-a" TargetMode="External"/><Relationship Id="rId2234" Type="http://schemas.openxmlformats.org/officeDocument/2006/relationships/hyperlink" Target="https://zakupivli.pro/gov/tenders/ua-2025-08-06-002944-a" TargetMode="External"/><Relationship Id="rId2441" Type="http://schemas.openxmlformats.org/officeDocument/2006/relationships/hyperlink" Target="https://my.zakupivli.pro/remote/dispatcher/state_purchase_view/63502354" TargetMode="External"/><Relationship Id="rId206" Type="http://schemas.openxmlformats.org/officeDocument/2006/relationships/hyperlink" Target="https://zakupki.prom.ua/gov/tenders/UA-2023-03-22-004354-a" TargetMode="External"/><Relationship Id="rId413" Type="http://schemas.openxmlformats.org/officeDocument/2006/relationships/hyperlink" Target="https://my.zakupki.prom.ua/remote/dispatcher/state_purchase_view/44535001" TargetMode="External"/><Relationship Id="rId858" Type="http://schemas.openxmlformats.org/officeDocument/2006/relationships/hyperlink" Target="https://zakupivli.pro/gov/tenders/UA-2024-02-21-000366-a" TargetMode="External"/><Relationship Id="rId1043" Type="http://schemas.openxmlformats.org/officeDocument/2006/relationships/hyperlink" Target="https://my.zakupivli.pro/remote/dispatcher/state_purchase_view/50290774" TargetMode="External"/><Relationship Id="rId1488" Type="http://schemas.openxmlformats.org/officeDocument/2006/relationships/hyperlink" Target="https://zakupivli.pro/gov/tenders/ua-2024-11-26-016347-a" TargetMode="External"/><Relationship Id="rId1695" Type="http://schemas.openxmlformats.org/officeDocument/2006/relationships/hyperlink" Target="https://my.zakupivli.pro/remote/dispatcher/state_purchase_view/56987956" TargetMode="External"/><Relationship Id="rId2539" Type="http://schemas.openxmlformats.org/officeDocument/2006/relationships/hyperlink" Target="https://my.zakupivli.pro/remote/dispatcher/state_purchase_view/64948167" TargetMode="External"/><Relationship Id="rId620" Type="http://schemas.openxmlformats.org/officeDocument/2006/relationships/hyperlink" Target="https://zakupivli.pro/gov/tenders/UA-2024-01-18-015585-a/lot-ce8668c9daaa48848c914e219b61d49a" TargetMode="External"/><Relationship Id="rId718" Type="http://schemas.openxmlformats.org/officeDocument/2006/relationships/hyperlink" Target="https://zakupivli.pro/gov/tenders/UA-2024-02-02-012574-a" TargetMode="External"/><Relationship Id="rId925" Type="http://schemas.openxmlformats.org/officeDocument/2006/relationships/hyperlink" Target="https://my.zakupivli.pro/remote/dispatcher/state_purchase_view/49647930" TargetMode="External"/><Relationship Id="rId1250" Type="http://schemas.openxmlformats.org/officeDocument/2006/relationships/hyperlink" Target="https://my.zakupivli.pro/remote/dispatcher/state_purchase_view/52519045" TargetMode="External"/><Relationship Id="rId1348" Type="http://schemas.openxmlformats.org/officeDocument/2006/relationships/hyperlink" Target="https://zakupivli.pro/gov/tenders/ua-2024-09-23-004972-a" TargetMode="External"/><Relationship Id="rId1555" Type="http://schemas.openxmlformats.org/officeDocument/2006/relationships/hyperlink" Target="https://zakupivli.pro/gov/tenders/ua-2024-12-25-010078-a" TargetMode="External"/><Relationship Id="rId1762" Type="http://schemas.openxmlformats.org/officeDocument/2006/relationships/hyperlink" Target="https://my.zakupivli.pro/remote/dispatcher/state_purchase_view/57327334" TargetMode="External"/><Relationship Id="rId2301" Type="http://schemas.openxmlformats.org/officeDocument/2006/relationships/hyperlink" Target="https://my.zakupivli.pro/remote/dispatcher/state_purchase_view/61971794" TargetMode="External"/><Relationship Id="rId1110" Type="http://schemas.openxmlformats.org/officeDocument/2006/relationships/hyperlink" Target="https://my.zakupivli.pro/remote/dispatcher/state_purchase_view/51151129" TargetMode="External"/><Relationship Id="rId1208" Type="http://schemas.openxmlformats.org/officeDocument/2006/relationships/hyperlink" Target="https://my.zakupivli.pro/remote/dispatcher/state_purchase_view/52220424" TargetMode="External"/><Relationship Id="rId1415" Type="http://schemas.openxmlformats.org/officeDocument/2006/relationships/hyperlink" Target="https://my.zakupivli.pro/remote/dispatcher/state_purchase_view/54453220" TargetMode="External"/><Relationship Id="rId54" Type="http://schemas.openxmlformats.org/officeDocument/2006/relationships/hyperlink" Target="https://my.zakupki.prom.ua/remote/dispatcher/state_purchase_view/41434270" TargetMode="External"/><Relationship Id="rId1622" Type="http://schemas.openxmlformats.org/officeDocument/2006/relationships/hyperlink" Target="https://my.zakupivli.pro/remote/dispatcher/state_purchase_view/56624862" TargetMode="External"/><Relationship Id="rId1927" Type="http://schemas.openxmlformats.org/officeDocument/2006/relationships/hyperlink" Target="https://my.zakupivli.pro/remote/dispatcher/state_purchase_view/58589905" TargetMode="External"/><Relationship Id="rId2091" Type="http://schemas.openxmlformats.org/officeDocument/2006/relationships/hyperlink" Target="https://zakupivli.pro/gov/tenders/ua-2025-06-12-001850-a" TargetMode="External"/><Relationship Id="rId2189" Type="http://schemas.openxmlformats.org/officeDocument/2006/relationships/hyperlink" Target="https://zakupivli.pro/gov/tenders/ua-2025-07-22-007419-a" TargetMode="External"/><Relationship Id="rId270" Type="http://schemas.openxmlformats.org/officeDocument/2006/relationships/hyperlink" Target="https://my.zakupki.prom.ua/remote/dispatcher/state_purchase_view/41779624" TargetMode="External"/><Relationship Id="rId2396" Type="http://schemas.openxmlformats.org/officeDocument/2006/relationships/hyperlink" Target="https://zakupivli.pro/gov/tenders/ua-2025-10-23-008056-a" TargetMode="External"/><Relationship Id="rId130" Type="http://schemas.openxmlformats.org/officeDocument/2006/relationships/hyperlink" Target="https://zakupki.prom.ua/gov/tenders/UA-2023-03-02-008425-a" TargetMode="External"/><Relationship Id="rId368" Type="http://schemas.openxmlformats.org/officeDocument/2006/relationships/hyperlink" Target="https://zakupki.prom.ua/gov/tenders/UA-2023-05-30-010582-a" TargetMode="External"/><Relationship Id="rId575" Type="http://schemas.openxmlformats.org/officeDocument/2006/relationships/hyperlink" Target="https://zakupivli.pro/gov/tenders/UA-2024-01-04-005897-a" TargetMode="External"/><Relationship Id="rId782" Type="http://schemas.openxmlformats.org/officeDocument/2006/relationships/hyperlink" Target="https://my.zakupivli.pro/remote/dispatcher/state_purchase_view/49007933" TargetMode="External"/><Relationship Id="rId2049" Type="http://schemas.openxmlformats.org/officeDocument/2006/relationships/hyperlink" Target="https://zakupivli.pro/gov/tenders/ua-2025-05-30-000828-a" TargetMode="External"/><Relationship Id="rId2256" Type="http://schemas.openxmlformats.org/officeDocument/2006/relationships/hyperlink" Target="https://zakupivli.pro/gov/tenders/ua-2025-08-14-002001-a" TargetMode="External"/><Relationship Id="rId2463" Type="http://schemas.openxmlformats.org/officeDocument/2006/relationships/hyperlink" Target="https://zakupivli.pro/gov/tenders/ua-2025-11-19-013423-a/lot-ff30f18ce92a48b58a8bc32e93e78b4d" TargetMode="External"/><Relationship Id="rId228" Type="http://schemas.openxmlformats.org/officeDocument/2006/relationships/hyperlink" Target="https://my.zakupki.prom.ua/remote/dispatcher/state_purchase_view/41677871" TargetMode="External"/><Relationship Id="rId435" Type="http://schemas.openxmlformats.org/officeDocument/2006/relationships/hyperlink" Target="https://my.zakupki.prom.ua/remote/dispatcher/state_purchase_view/44720799" TargetMode="External"/><Relationship Id="rId642" Type="http://schemas.openxmlformats.org/officeDocument/2006/relationships/hyperlink" Target="https://zakupivli.pro/gov/tenders/UA-2024-01-23-002308-a" TargetMode="External"/><Relationship Id="rId1065" Type="http://schemas.openxmlformats.org/officeDocument/2006/relationships/hyperlink" Target="https://zakupivli.pro/gov/tenders/UA-2024-04-18-009207-a" TargetMode="External"/><Relationship Id="rId1272" Type="http://schemas.openxmlformats.org/officeDocument/2006/relationships/hyperlink" Target="https://my.zakupivli.pro/remote/dispatcher/state_purchase_view/52854599" TargetMode="External"/><Relationship Id="rId2116" Type="http://schemas.openxmlformats.org/officeDocument/2006/relationships/hyperlink" Target="https://zakupivli.pro/gov/tenders/ua-2025-06-19-007019-a" TargetMode="External"/><Relationship Id="rId2323" Type="http://schemas.openxmlformats.org/officeDocument/2006/relationships/hyperlink" Target="https://my.zakupivli.pro/remote/dispatcher/state_purchase_view/62218308" TargetMode="External"/><Relationship Id="rId2530" Type="http://schemas.openxmlformats.org/officeDocument/2006/relationships/hyperlink" Target="https://zakupivli.pro/gov/tenders/ua-2025-12-16-001245-a" TargetMode="External"/><Relationship Id="rId502" Type="http://schemas.openxmlformats.org/officeDocument/2006/relationships/hyperlink" Target="https://zakupivli.pro/gov/tenders/UA-2023-10-16-006331-a" TargetMode="External"/><Relationship Id="rId947" Type="http://schemas.openxmlformats.org/officeDocument/2006/relationships/hyperlink" Target="https://zakupivli.pro/gov/tenders/UA-2024-03-12-008106-a" TargetMode="External"/><Relationship Id="rId1132" Type="http://schemas.openxmlformats.org/officeDocument/2006/relationships/hyperlink" Target="https://my.zakupivli.pro/remote/dispatcher/state_purchase_view/51322354" TargetMode="External"/><Relationship Id="rId1577" Type="http://schemas.openxmlformats.org/officeDocument/2006/relationships/hyperlink" Target="https://my.zakupivli.pro/remote/dispatcher/state_purchase_view/56325016" TargetMode="External"/><Relationship Id="rId1784" Type="http://schemas.openxmlformats.org/officeDocument/2006/relationships/hyperlink" Target="https://zakupivli.pro/gov/tenders/ua-2025-02-13-010243-a" TargetMode="External"/><Relationship Id="rId1991" Type="http://schemas.openxmlformats.org/officeDocument/2006/relationships/hyperlink" Target="https://zakupivli.pro/gov/tenders/ua-2025-05-06-008012-a" TargetMode="External"/><Relationship Id="rId76" Type="http://schemas.openxmlformats.org/officeDocument/2006/relationships/hyperlink" Target="https://my.zakupki.prom.ua/remote/dispatcher/state_purchase_view/41329000" TargetMode="External"/><Relationship Id="rId807" Type="http://schemas.openxmlformats.org/officeDocument/2006/relationships/hyperlink" Target="https://my.zakupivli.pro/remote/dispatcher/state_purchase_view/49159395" TargetMode="External"/><Relationship Id="rId1437" Type="http://schemas.openxmlformats.org/officeDocument/2006/relationships/hyperlink" Target="https://zakupivli.pro/gov/tenders/ua-2024-11-08-003305-a" TargetMode="External"/><Relationship Id="rId1644" Type="http://schemas.openxmlformats.org/officeDocument/2006/relationships/hyperlink" Target="https://my.zakupivli.pro/remote/dispatcher/state_purchase_view/56780342" TargetMode="External"/><Relationship Id="rId1851" Type="http://schemas.openxmlformats.org/officeDocument/2006/relationships/hyperlink" Target="https://my.zakupivli.pro/remote/dispatcher/state_purchase_view/57827098" TargetMode="External"/><Relationship Id="rId1504" Type="http://schemas.openxmlformats.org/officeDocument/2006/relationships/hyperlink" Target="https://my.zakupivli.pro/remote/dispatcher/state_purchase_view/55452603" TargetMode="External"/><Relationship Id="rId1711" Type="http://schemas.openxmlformats.org/officeDocument/2006/relationships/hyperlink" Target="https://zakupivli.pro/gov/tenders/ua-2025-01-30-008146-a/lot-1950539852ab49e2a5f68117c24da0f7" TargetMode="External"/><Relationship Id="rId1949" Type="http://schemas.openxmlformats.org/officeDocument/2006/relationships/hyperlink" Target="https://my.zakupivli.pro/remote/dispatcher/state_purchase_view/58741981" TargetMode="External"/><Relationship Id="rId292" Type="http://schemas.openxmlformats.org/officeDocument/2006/relationships/hyperlink" Target="https://zakupki.prom.ua/gov/tenders/UA-2023-04-04-000779-a" TargetMode="External"/><Relationship Id="rId1809" Type="http://schemas.openxmlformats.org/officeDocument/2006/relationships/hyperlink" Target="https://zakupivli.pro/gov/tenders/ua-2025-02-18-000121-a" TargetMode="External"/><Relationship Id="rId597" Type="http://schemas.openxmlformats.org/officeDocument/2006/relationships/hyperlink" Target="https://my.zakupivli.pro/remote/dispatcher/state_purchase_view/48328528" TargetMode="External"/><Relationship Id="rId2180" Type="http://schemas.openxmlformats.org/officeDocument/2006/relationships/hyperlink" Target="https://zakupivli.pro/gov/tenders/ua-2025-07-10-005768-a" TargetMode="External"/><Relationship Id="rId2278" Type="http://schemas.openxmlformats.org/officeDocument/2006/relationships/hyperlink" Target="https://zakupivli.pro/gov/tenders/ua-2025-09-03-000974-a" TargetMode="External"/><Relationship Id="rId2485" Type="http://schemas.openxmlformats.org/officeDocument/2006/relationships/hyperlink" Target="https://my.zakupivli.pro/remote/dispatcher/state_purchase_view/63982783" TargetMode="External"/><Relationship Id="rId152" Type="http://schemas.openxmlformats.org/officeDocument/2006/relationships/hyperlink" Target="https://zakupki.prom.ua/gov/tenders/UA-2023-03-10-000274-a/lot-2a6059df3f9b4417abd02ce9ebfd6dfb" TargetMode="External"/><Relationship Id="rId457" Type="http://schemas.openxmlformats.org/officeDocument/2006/relationships/hyperlink" Target="https://my.zakupki.prom.ua/remote/dispatcher/state_purchase_view/44895251" TargetMode="External"/><Relationship Id="rId1087" Type="http://schemas.openxmlformats.org/officeDocument/2006/relationships/hyperlink" Target="https://my.zakupivli.pro/remote/dispatcher/state_purchase_view/50899716" TargetMode="External"/><Relationship Id="rId1294" Type="http://schemas.openxmlformats.org/officeDocument/2006/relationships/hyperlink" Target="https://zakupivli.pro/gov/tenders/UA-2024-08-21-003975-a" TargetMode="External"/><Relationship Id="rId2040" Type="http://schemas.openxmlformats.org/officeDocument/2006/relationships/hyperlink" Target="https://zakupivli.pro/gov/tenders/ua-2025-05-27-001919-a" TargetMode="External"/><Relationship Id="rId2138" Type="http://schemas.openxmlformats.org/officeDocument/2006/relationships/hyperlink" Target="https://my.zakupivli.pro/remote/dispatcher/state_purchase_view/60293182" TargetMode="External"/><Relationship Id="rId664" Type="http://schemas.openxmlformats.org/officeDocument/2006/relationships/hyperlink" Target="https://my.zakupivli.pro/remote/dispatcher/state_purchase_view/48685781" TargetMode="External"/><Relationship Id="rId871" Type="http://schemas.openxmlformats.org/officeDocument/2006/relationships/hyperlink" Target="https://my.zakupivli.pro/remote/dispatcher/state_purchase_view/49369192" TargetMode="External"/><Relationship Id="rId969" Type="http://schemas.openxmlformats.org/officeDocument/2006/relationships/hyperlink" Target="https://zakupivli.pro/gov/tenders/UA-2024-03-20-005051-a/lot-bfb4068314a54ad6a3d5b6fe0f51989f" TargetMode="External"/><Relationship Id="rId1599" Type="http://schemas.openxmlformats.org/officeDocument/2006/relationships/hyperlink" Target="https://my.zakupivli.pro/remote/dispatcher/state_purchase_view/56394826" TargetMode="External"/><Relationship Id="rId2345" Type="http://schemas.openxmlformats.org/officeDocument/2006/relationships/hyperlink" Target="https://zakupivli.pro/gov/tenders/ua-2025-10-02-012092-a" TargetMode="External"/><Relationship Id="rId317" Type="http://schemas.openxmlformats.org/officeDocument/2006/relationships/hyperlink" Target="https://my.zakupki.prom.ua/remote/dispatcher/state_purchase_view/42015454" TargetMode="External"/><Relationship Id="rId524" Type="http://schemas.openxmlformats.org/officeDocument/2006/relationships/hyperlink" Target="https://zakupivli.pro/gov/tenders/UA-2023-11-28-014870-a" TargetMode="External"/><Relationship Id="rId731" Type="http://schemas.openxmlformats.org/officeDocument/2006/relationships/hyperlink" Target="https://zakupivli.pro/gov/tenders/UA-2024-02-02-011751-a/lot-b065d86a07a347b48df39e1d67f5fe76" TargetMode="External"/><Relationship Id="rId1154" Type="http://schemas.openxmlformats.org/officeDocument/2006/relationships/hyperlink" Target="https://my.zakupivli.pro/remote/dispatcher/state_purchase_view/51625477" TargetMode="External"/><Relationship Id="rId1361" Type="http://schemas.openxmlformats.org/officeDocument/2006/relationships/hyperlink" Target="https://zakupivli.pro/gov/tenders/ua-2024-09-25-000110-a" TargetMode="External"/><Relationship Id="rId1459" Type="http://schemas.openxmlformats.org/officeDocument/2006/relationships/hyperlink" Target="https://zakupivli.pro/gov/tenders/ua-2024-11-14-014524-a" TargetMode="External"/><Relationship Id="rId2205" Type="http://schemas.openxmlformats.org/officeDocument/2006/relationships/hyperlink" Target="https://zakupivli.pro/gov/tenders/ua-2025-07-28-009442-a" TargetMode="External"/><Relationship Id="rId2412" Type="http://schemas.openxmlformats.org/officeDocument/2006/relationships/hyperlink" Target="https://zakupivli.pro/gov/tenders/ua-2025-10-30-000273-a" TargetMode="External"/><Relationship Id="rId98" Type="http://schemas.openxmlformats.org/officeDocument/2006/relationships/hyperlink" Target="https://my.zakupki.prom.ua/remote/dispatcher/state_purchase_view/41115637" TargetMode="External"/><Relationship Id="rId829" Type="http://schemas.openxmlformats.org/officeDocument/2006/relationships/hyperlink" Target="https://my.zakupivli.pro/remote/dispatcher/state_purchase_view/49302173" TargetMode="External"/><Relationship Id="rId1014" Type="http://schemas.openxmlformats.org/officeDocument/2006/relationships/hyperlink" Target="https://zakupivli.pro/gov/tenders/UA-2024-04-01-003767-a" TargetMode="External"/><Relationship Id="rId1221" Type="http://schemas.openxmlformats.org/officeDocument/2006/relationships/hyperlink" Target="https://zakupivli.pro/gov/tenders/UA-2024-07-22-009312-a" TargetMode="External"/><Relationship Id="rId1666" Type="http://schemas.openxmlformats.org/officeDocument/2006/relationships/hyperlink" Target="https://my.zakupivli.pro/remote/dispatcher/state_purchase_view/56943542" TargetMode="External"/><Relationship Id="rId1873" Type="http://schemas.openxmlformats.org/officeDocument/2006/relationships/hyperlink" Target="https://zakupivli.pro/gov/tenders/ua-2025-03-13-002322-a" TargetMode="External"/><Relationship Id="rId1319" Type="http://schemas.openxmlformats.org/officeDocument/2006/relationships/hyperlink" Target="https://my.zakupivli.pro/remote/dispatcher/state_purchase_view/53189619" TargetMode="External"/><Relationship Id="rId1526" Type="http://schemas.openxmlformats.org/officeDocument/2006/relationships/hyperlink" Target="https://zakupivli.pro/gov/tenders/ua-2024-12-17-016908-a/lot-e99018e179d04c2f89fc2b4dc1cc8ca4" TargetMode="External"/><Relationship Id="rId1733" Type="http://schemas.openxmlformats.org/officeDocument/2006/relationships/hyperlink" Target="https://zakupivli.pro/gov/tenders/ua-2025-02-03-010425-a" TargetMode="External"/><Relationship Id="rId1940" Type="http://schemas.openxmlformats.org/officeDocument/2006/relationships/hyperlink" Target="https://my.zakupivli.pro/remote/dispatcher/state_purchase_view/58656841" TargetMode="External"/><Relationship Id="rId25" Type="http://schemas.openxmlformats.org/officeDocument/2006/relationships/hyperlink" Target="https://zakupki.prom.ua/gov/tenders/UA-2023-01-17-001056-a" TargetMode="External"/><Relationship Id="rId1800" Type="http://schemas.openxmlformats.org/officeDocument/2006/relationships/hyperlink" Target="https://zakupivli.pro/gov/tenders/ua-2025-02-14-009461-a" TargetMode="External"/><Relationship Id="rId174" Type="http://schemas.openxmlformats.org/officeDocument/2006/relationships/hyperlink" Target="https://zakupki.prom.ua/gov/tenders/UA-2023-03-15-006488-a/lot-6a799d9d8e5f4b49912b88d0dc720b49" TargetMode="External"/><Relationship Id="rId381" Type="http://schemas.openxmlformats.org/officeDocument/2006/relationships/hyperlink" Target="https://zakupki.prom.ua/gov/tenders/UA-2023-07-05-000234-a" TargetMode="External"/><Relationship Id="rId2062" Type="http://schemas.openxmlformats.org/officeDocument/2006/relationships/hyperlink" Target="https://my.zakupivli.pro/remote/dispatcher/state_purchase_view/59899535" TargetMode="External"/><Relationship Id="rId241" Type="http://schemas.openxmlformats.org/officeDocument/2006/relationships/hyperlink" Target="https://my.zakupki.prom.ua/remote/dispatcher/state_purchase_view/41719575" TargetMode="External"/><Relationship Id="rId479" Type="http://schemas.openxmlformats.org/officeDocument/2006/relationships/hyperlink" Target="https://zakupki.prom.ua/gov/tenders/UA-2023-09-19-007532-a" TargetMode="External"/><Relationship Id="rId686" Type="http://schemas.openxmlformats.org/officeDocument/2006/relationships/hyperlink" Target="https://my.zakupivli.pro/remote/dispatcher/state_purchase_view/48825340" TargetMode="External"/><Relationship Id="rId893" Type="http://schemas.openxmlformats.org/officeDocument/2006/relationships/hyperlink" Target="https://zakupivli.pro/gov/tenders/UA-2024-02-28-002778-a/lot-37e1bfa351064f48b0cc09d606978fcc" TargetMode="External"/><Relationship Id="rId2367" Type="http://schemas.openxmlformats.org/officeDocument/2006/relationships/hyperlink" Target="https://my.zakupivli.pro/remote/dispatcher/state_purchase_view/62834469" TargetMode="External"/><Relationship Id="rId339" Type="http://schemas.openxmlformats.org/officeDocument/2006/relationships/hyperlink" Target="https://zakupki.prom.ua/gov/tenders/UA-2023-04-27-002515-a" TargetMode="External"/><Relationship Id="rId546" Type="http://schemas.openxmlformats.org/officeDocument/2006/relationships/hyperlink" Target="https://my.zakupivli.pro/remote/dispatcher/state_purchase_view/47633281" TargetMode="External"/><Relationship Id="rId753" Type="http://schemas.openxmlformats.org/officeDocument/2006/relationships/hyperlink" Target="https://zakupivli.pro/gov/tenders/UA-2024-02-02-000542-a" TargetMode="External"/><Relationship Id="rId1176" Type="http://schemas.openxmlformats.org/officeDocument/2006/relationships/hyperlink" Target="https://zakupivli.pro/gov/tenders/UA-2024-06-25-002869-a" TargetMode="External"/><Relationship Id="rId1383" Type="http://schemas.openxmlformats.org/officeDocument/2006/relationships/hyperlink" Target="https://my.zakupivli.pro/remote/dispatcher/state_purchase_view/54094443" TargetMode="External"/><Relationship Id="rId2227" Type="http://schemas.openxmlformats.org/officeDocument/2006/relationships/hyperlink" Target="https://my.zakupivli.pro/remote/dispatcher/state_purchase_view/61077928" TargetMode="External"/><Relationship Id="rId2434" Type="http://schemas.openxmlformats.org/officeDocument/2006/relationships/hyperlink" Target="https://zakupivli.pro/gov/tenders/ua-2025-11-12-008120-a" TargetMode="External"/><Relationship Id="rId101" Type="http://schemas.openxmlformats.org/officeDocument/2006/relationships/hyperlink" Target="https://my.zakupki.prom.ua/remote/dispatcher/state_purchase_view/40976345" TargetMode="External"/><Relationship Id="rId406" Type="http://schemas.openxmlformats.org/officeDocument/2006/relationships/hyperlink" Target="https://zakupki.prom.ua/gov/tenders/UA-2023-08-01-001890-a" TargetMode="External"/><Relationship Id="rId960" Type="http://schemas.openxmlformats.org/officeDocument/2006/relationships/hyperlink" Target="https://my.zakupivli.pro/remote/dispatcher/state_purchase_view/49830616" TargetMode="External"/><Relationship Id="rId1036" Type="http://schemas.openxmlformats.org/officeDocument/2006/relationships/hyperlink" Target="https://my.zakupivli.pro/remote/dispatcher/state_purchase_view/50227478" TargetMode="External"/><Relationship Id="rId1243" Type="http://schemas.openxmlformats.org/officeDocument/2006/relationships/hyperlink" Target="https://zakupivli.pro/gov/tenders/UA-2024-07-25-008020-a" TargetMode="External"/><Relationship Id="rId1590" Type="http://schemas.openxmlformats.org/officeDocument/2006/relationships/hyperlink" Target="https://my.zakupivli.pro/remote/dispatcher/state_purchase_view/56341932" TargetMode="External"/><Relationship Id="rId1688" Type="http://schemas.openxmlformats.org/officeDocument/2006/relationships/hyperlink" Target="https://zakupivli.pro/gov/tenders/ua-2025-01-27-016031-a/lot-2a84a17627bb4b1a8f5e179c494cf6b2" TargetMode="External"/><Relationship Id="rId1895" Type="http://schemas.openxmlformats.org/officeDocument/2006/relationships/hyperlink" Target="https://my.zakupivli.pro/remote/dispatcher/state_purchase_view/58281188" TargetMode="External"/><Relationship Id="rId613" Type="http://schemas.openxmlformats.org/officeDocument/2006/relationships/hyperlink" Target="https://my.zakupivli.pro/remote/dispatcher/state_purchase_view/48469762" TargetMode="External"/><Relationship Id="rId820" Type="http://schemas.openxmlformats.org/officeDocument/2006/relationships/hyperlink" Target="https://my.zakupivli.pro/remote/dispatcher/state_purchase_view/49262531" TargetMode="External"/><Relationship Id="rId918" Type="http://schemas.openxmlformats.org/officeDocument/2006/relationships/hyperlink" Target="https://zakupivli.pro/gov/tenders/UA-2024-03-05-011904-a" TargetMode="External"/><Relationship Id="rId1450" Type="http://schemas.openxmlformats.org/officeDocument/2006/relationships/hyperlink" Target="https://my.zakupivli.pro/remote/dispatcher/state_purchase_view/54820687" TargetMode="External"/><Relationship Id="rId1548" Type="http://schemas.openxmlformats.org/officeDocument/2006/relationships/hyperlink" Target="https://my.zakupivli.pro/remote/dispatcher/state_purchase_view/56149918" TargetMode="External"/><Relationship Id="rId1755" Type="http://schemas.openxmlformats.org/officeDocument/2006/relationships/hyperlink" Target="https://zakupivli.pro/gov/tenders/ua-2025-02-06-004155-a/lot-24c427644b5b49478be73c703893dc0d" TargetMode="External"/><Relationship Id="rId2501" Type="http://schemas.openxmlformats.org/officeDocument/2006/relationships/hyperlink" Target="https://zakupivli.pro/gov/tenders/ua-2025-12-10-018076-a" TargetMode="External"/><Relationship Id="rId1103" Type="http://schemas.openxmlformats.org/officeDocument/2006/relationships/hyperlink" Target="https://zakupivli.pro/gov/tenders/UA-2024-05-14-010620-a" TargetMode="External"/><Relationship Id="rId1310" Type="http://schemas.openxmlformats.org/officeDocument/2006/relationships/hyperlink" Target="https://my.zakupivli.pro/remote/dispatcher/state_purchase_view/52989866" TargetMode="External"/><Relationship Id="rId1408" Type="http://schemas.openxmlformats.org/officeDocument/2006/relationships/hyperlink" Target="https://zakupivli.pro/gov/tenders/ua-2024-10-30-006594-a" TargetMode="External"/><Relationship Id="rId1962" Type="http://schemas.openxmlformats.org/officeDocument/2006/relationships/hyperlink" Target="https://zakupivli.pro/gov/tenders/ua-2025-04-18-008450-a/lot-e218fb7fa3bb4b34b9c47b7be8f9531c" TargetMode="External"/><Relationship Id="rId47" Type="http://schemas.openxmlformats.org/officeDocument/2006/relationships/hyperlink" Target="https://my.zakupki.prom.ua/remote/dispatcher/state_purchase_view/41519552" TargetMode="External"/><Relationship Id="rId1615" Type="http://schemas.openxmlformats.org/officeDocument/2006/relationships/hyperlink" Target="https://my.zakupivli.pro/remote/dispatcher/state_purchase_view/56611663" TargetMode="External"/><Relationship Id="rId1822" Type="http://schemas.openxmlformats.org/officeDocument/2006/relationships/hyperlink" Target="https://my.zakupivli.pro/remote/dispatcher/state_purchase_view/57640739" TargetMode="External"/><Relationship Id="rId196" Type="http://schemas.openxmlformats.org/officeDocument/2006/relationships/hyperlink" Target="https://zakupki.prom.ua/gov/tenders/UA-2023-03-21-010868-a/lot-9d814824f2a944cd849df7aaab2f4b40" TargetMode="External"/><Relationship Id="rId2084" Type="http://schemas.openxmlformats.org/officeDocument/2006/relationships/hyperlink" Target="https://zakupivli.pro/gov/tenders/ua-2025-06-12-012234-a/lot-0a0fc49b923f404c943dc4e8936e94dc" TargetMode="External"/><Relationship Id="rId2291" Type="http://schemas.openxmlformats.org/officeDocument/2006/relationships/hyperlink" Target="https://my.zakupivli.pro/remote/dispatcher/state_purchase_view/61839031" TargetMode="External"/><Relationship Id="rId263" Type="http://schemas.openxmlformats.org/officeDocument/2006/relationships/hyperlink" Target="https://zakupki.prom.ua/gov/tenders/UA-2023-03-31-003235-a" TargetMode="External"/><Relationship Id="rId470" Type="http://schemas.openxmlformats.org/officeDocument/2006/relationships/hyperlink" Target="https://my.zakupki.prom.ua/remote/dispatcher/state_purchase_view/44980799" TargetMode="External"/><Relationship Id="rId2151" Type="http://schemas.openxmlformats.org/officeDocument/2006/relationships/hyperlink" Target="https://zakupivli.pro/gov/tenders/ua-2025-07-01-003172-a" TargetMode="External"/><Relationship Id="rId2389" Type="http://schemas.openxmlformats.org/officeDocument/2006/relationships/hyperlink" Target="https://zakupivli.pro/gov/tenders/ua-2025-10-22-000692-a" TargetMode="External"/><Relationship Id="rId123" Type="http://schemas.openxmlformats.org/officeDocument/2006/relationships/hyperlink" Target="https://zakupki.prom.ua/gov/tenders/UA-2023-02-27-009421-a" TargetMode="External"/><Relationship Id="rId330" Type="http://schemas.openxmlformats.org/officeDocument/2006/relationships/hyperlink" Target="https://my.zakupki.prom.ua/remote/dispatcher/state_purchase_view/42376032" TargetMode="External"/><Relationship Id="rId568" Type="http://schemas.openxmlformats.org/officeDocument/2006/relationships/hyperlink" Target="https://my.zakupivli.pro/remote/dispatcher/state_purchase_view/48113034" TargetMode="External"/><Relationship Id="rId775" Type="http://schemas.openxmlformats.org/officeDocument/2006/relationships/hyperlink" Target="https://my.zakupivli.pro/remote/dispatcher/state_purchase_view/48971877" TargetMode="External"/><Relationship Id="rId982" Type="http://schemas.openxmlformats.org/officeDocument/2006/relationships/hyperlink" Target="https://my.zakupivli.pro/remote/dispatcher/state_purchase_view/49992857" TargetMode="External"/><Relationship Id="rId1198" Type="http://schemas.openxmlformats.org/officeDocument/2006/relationships/hyperlink" Target="https://my.zakupivli.pro/remote/dispatcher/state_purchase_view/52095853" TargetMode="External"/><Relationship Id="rId2011" Type="http://schemas.openxmlformats.org/officeDocument/2006/relationships/hyperlink" Target="https://my.zakupivli.pro/remote/dispatcher/state_purchase_view/59372454" TargetMode="External"/><Relationship Id="rId2249" Type="http://schemas.openxmlformats.org/officeDocument/2006/relationships/hyperlink" Target="https://my.zakupivli.pro/remote/dispatcher/state_purchase_view/61268850" TargetMode="External"/><Relationship Id="rId2456" Type="http://schemas.openxmlformats.org/officeDocument/2006/relationships/hyperlink" Target="https://zakupivli.pro/gov/tenders/ua-2025-11-17-012049-a" TargetMode="External"/><Relationship Id="rId428" Type="http://schemas.openxmlformats.org/officeDocument/2006/relationships/hyperlink" Target="https://zakupki.prom.ua/gov/tenders/UA-2023-08-10-003836-a/lot-698949e70bbb4cda9c996c907d8d8ab4" TargetMode="External"/><Relationship Id="rId635" Type="http://schemas.openxmlformats.org/officeDocument/2006/relationships/hyperlink" Target="https://my.zakupivli.pro/remote/dispatcher/state_purchase_view/48603959" TargetMode="External"/><Relationship Id="rId842" Type="http://schemas.openxmlformats.org/officeDocument/2006/relationships/hyperlink" Target="https://zakupivli.pro/gov/tenders/UA-2024-02-20-010626-a" TargetMode="External"/><Relationship Id="rId1058" Type="http://schemas.openxmlformats.org/officeDocument/2006/relationships/hyperlink" Target="https://my.zakupivli.pro/remote/dispatcher/state_purchase_view/50434062" TargetMode="External"/><Relationship Id="rId1265" Type="http://schemas.openxmlformats.org/officeDocument/2006/relationships/hyperlink" Target="https://my.zakupivli.pro/remote/dispatcher/state_purchase_view/52605472" TargetMode="External"/><Relationship Id="rId1472" Type="http://schemas.openxmlformats.org/officeDocument/2006/relationships/hyperlink" Target="https://my.zakupivli.pro/remote/dispatcher/state_purchase_view/54856228" TargetMode="External"/><Relationship Id="rId2109" Type="http://schemas.openxmlformats.org/officeDocument/2006/relationships/hyperlink" Target="https://my.zakupivli.pro/remote/dispatcher/state_purchase_view/60215472" TargetMode="External"/><Relationship Id="rId2316" Type="http://schemas.openxmlformats.org/officeDocument/2006/relationships/hyperlink" Target="https://my.zakupivli.pro/remote/dispatcher/state_purchase_view/62151404" TargetMode="External"/><Relationship Id="rId2523" Type="http://schemas.openxmlformats.org/officeDocument/2006/relationships/hyperlink" Target="https://zakupivli.pro/gov/tenders/ua-2025-12-16-013055-a" TargetMode="External"/><Relationship Id="rId702" Type="http://schemas.openxmlformats.org/officeDocument/2006/relationships/hyperlink" Target="https://zakupivli.pro/gov/tenders/UA-2024-02-01-013588-a" TargetMode="External"/><Relationship Id="rId1125" Type="http://schemas.openxmlformats.org/officeDocument/2006/relationships/hyperlink" Target="https://zakupivli.pro/gov/tenders/UA-2024-05-27-011689-a" TargetMode="External"/><Relationship Id="rId1332" Type="http://schemas.openxmlformats.org/officeDocument/2006/relationships/hyperlink" Target="https://my.zakupivli.pro/remote/dispatcher/state_purchase_view/53311753" TargetMode="External"/><Relationship Id="rId1777" Type="http://schemas.openxmlformats.org/officeDocument/2006/relationships/hyperlink" Target="https://zakupivli.pro/gov/tenders/ua-2025-02-12-008425-a" TargetMode="External"/><Relationship Id="rId1984" Type="http://schemas.openxmlformats.org/officeDocument/2006/relationships/hyperlink" Target="https://zakupivli.pro/gov/tenders/ua-2025-05-06-012412-a" TargetMode="External"/><Relationship Id="rId69" Type="http://schemas.openxmlformats.org/officeDocument/2006/relationships/hyperlink" Target="https://my.zakupki.prom.ua/remote/dispatcher/state_purchase_view/41385730" TargetMode="External"/><Relationship Id="rId1637" Type="http://schemas.openxmlformats.org/officeDocument/2006/relationships/hyperlink" Target="https://zakupivli.pro/gov/tenders/ua-2025-01-21-014078-a/lot-8e9785c165fc4832b117a5b31bbb9abc" TargetMode="External"/><Relationship Id="rId1844" Type="http://schemas.openxmlformats.org/officeDocument/2006/relationships/hyperlink" Target="https://zakupivli.pro/gov/tenders/ua-2025-02-26-008765-a" TargetMode="External"/><Relationship Id="rId1704" Type="http://schemas.openxmlformats.org/officeDocument/2006/relationships/hyperlink" Target="https://my.zakupivli.pro/remote/dispatcher/state_purchase_view/57010056" TargetMode="External"/><Relationship Id="rId285" Type="http://schemas.openxmlformats.org/officeDocument/2006/relationships/hyperlink" Target="https://zakupki.prom.ua/gov/tenders/UA-2023-04-03-010561-a" TargetMode="External"/><Relationship Id="rId1911" Type="http://schemas.openxmlformats.org/officeDocument/2006/relationships/hyperlink" Target="https://zakupivli.pro/gov/tenders/ua-2025-03-27-003821-a" TargetMode="External"/><Relationship Id="rId492" Type="http://schemas.openxmlformats.org/officeDocument/2006/relationships/hyperlink" Target="https://zakupki.prom.ua/gov/tenders/UA-2023-09-27-007155-a" TargetMode="External"/><Relationship Id="rId797" Type="http://schemas.openxmlformats.org/officeDocument/2006/relationships/hyperlink" Target="https://zakupivli.pro/gov/tenders/UA-2024-02-08-001670-a" TargetMode="External"/><Relationship Id="rId2173" Type="http://schemas.openxmlformats.org/officeDocument/2006/relationships/hyperlink" Target="https://my.zakupivli.pro/remote/dispatcher/state_purchase_view/60616351" TargetMode="External"/><Relationship Id="rId2380" Type="http://schemas.openxmlformats.org/officeDocument/2006/relationships/hyperlink" Target="https://my.zakupivli.pro/remote/dispatcher/state_purchase_view/62853247" TargetMode="External"/><Relationship Id="rId2478" Type="http://schemas.openxmlformats.org/officeDocument/2006/relationships/hyperlink" Target="https://zakupivli.pro/gov/tenders/ua-2025-11-26-004190-a" TargetMode="External"/><Relationship Id="rId145" Type="http://schemas.openxmlformats.org/officeDocument/2006/relationships/hyperlink" Target="https://my.zakupki.prom.ua/remote/dispatcher/state_purchase_view/41605144" TargetMode="External"/><Relationship Id="rId352" Type="http://schemas.openxmlformats.org/officeDocument/2006/relationships/hyperlink" Target="https://my.zakupki.prom.ua/remote/dispatcher/state_purchase_view/42551980" TargetMode="External"/><Relationship Id="rId1287" Type="http://schemas.openxmlformats.org/officeDocument/2006/relationships/hyperlink" Target="https://my.zakupivli.pro/remote/dispatcher/state_purchase_view/52684518" TargetMode="External"/><Relationship Id="rId2033" Type="http://schemas.openxmlformats.org/officeDocument/2006/relationships/hyperlink" Target="https://my.zakupivli.pro/remote/dispatcher/state_purchase_view/59641745" TargetMode="External"/><Relationship Id="rId2240" Type="http://schemas.openxmlformats.org/officeDocument/2006/relationships/hyperlink" Target="https://zakupivli.pro/gov/tenders/ua-2025-08-07-007040-a" TargetMode="External"/><Relationship Id="rId212" Type="http://schemas.openxmlformats.org/officeDocument/2006/relationships/hyperlink" Target="https://my.zakupki.prom.ua/remote/dispatcher/state_purchase_view/41648944" TargetMode="External"/><Relationship Id="rId657" Type="http://schemas.openxmlformats.org/officeDocument/2006/relationships/hyperlink" Target="https://my.zakupivli.pro/remote/dispatcher/state_purchase_view/48664390" TargetMode="External"/><Relationship Id="rId864" Type="http://schemas.openxmlformats.org/officeDocument/2006/relationships/hyperlink" Target="https://my.zakupivli.pro/remote/dispatcher/state_purchase_view/49344568" TargetMode="External"/><Relationship Id="rId1494" Type="http://schemas.openxmlformats.org/officeDocument/2006/relationships/hyperlink" Target="https://my.zakupivli.pro/remote/dispatcher/state_purchase_view/55499913" TargetMode="External"/><Relationship Id="rId1799" Type="http://schemas.openxmlformats.org/officeDocument/2006/relationships/hyperlink" Target="https://zakupivli.pro/gov/tenders/ua-2025-02-14-010906-a/lot-93e17c31d80c4bed8bbf8cdcf89249b6" TargetMode="External"/><Relationship Id="rId2100" Type="http://schemas.openxmlformats.org/officeDocument/2006/relationships/hyperlink" Target="https://my.zakupivli.pro/remote/dispatcher/state_purchase_view/60168545" TargetMode="External"/><Relationship Id="rId2338" Type="http://schemas.openxmlformats.org/officeDocument/2006/relationships/hyperlink" Target="https://zakupivli.pro/gov/tenders/ua-2025-10-01-000433-a" TargetMode="External"/><Relationship Id="rId2545" Type="http://schemas.openxmlformats.org/officeDocument/2006/relationships/printerSettings" Target="../printerSettings/printerSettings1.bin"/><Relationship Id="rId517" Type="http://schemas.openxmlformats.org/officeDocument/2006/relationships/hyperlink" Target="https://my.zakupivli.pro/remote/dispatcher/state_purchase_view/46767750" TargetMode="External"/><Relationship Id="rId724" Type="http://schemas.openxmlformats.org/officeDocument/2006/relationships/hyperlink" Target="https://zakupivli.pro/gov/tenders/UA-2024-02-02-012435-a" TargetMode="External"/><Relationship Id="rId931" Type="http://schemas.openxmlformats.org/officeDocument/2006/relationships/hyperlink" Target="https://my.zakupivli.pro/remote/dispatcher/state_purchase_view/49688999" TargetMode="External"/><Relationship Id="rId1147" Type="http://schemas.openxmlformats.org/officeDocument/2006/relationships/hyperlink" Target="https://zakupivli.pro/gov/tenders/UA-2024-06-10-003597-a" TargetMode="External"/><Relationship Id="rId1354" Type="http://schemas.openxmlformats.org/officeDocument/2006/relationships/hyperlink" Target="https://my.zakupivli.pro/remote/dispatcher/state_purchase_view/53556779" TargetMode="External"/><Relationship Id="rId1561" Type="http://schemas.openxmlformats.org/officeDocument/2006/relationships/hyperlink" Target="https://my.zakupivli.pro/remote/dispatcher/state_purchase_view/56211568" TargetMode="External"/><Relationship Id="rId2405" Type="http://schemas.openxmlformats.org/officeDocument/2006/relationships/hyperlink" Target="https://my.zakupivli.pro/remote/dispatcher/state_purchase_view/63073923" TargetMode="External"/><Relationship Id="rId60" Type="http://schemas.openxmlformats.org/officeDocument/2006/relationships/hyperlink" Target="https://my.zakupki.prom.ua/remote/dispatcher/state_purchase_view/41427498" TargetMode="External"/><Relationship Id="rId1007" Type="http://schemas.openxmlformats.org/officeDocument/2006/relationships/hyperlink" Target="https://my.zakupivli.pro/remote/dispatcher/state_purchase_view/50128934" TargetMode="External"/><Relationship Id="rId1214" Type="http://schemas.openxmlformats.org/officeDocument/2006/relationships/hyperlink" Target="https://my.zakupivli.pro/remote/dispatcher/state_purchase_view/52281063" TargetMode="External"/><Relationship Id="rId1421" Type="http://schemas.openxmlformats.org/officeDocument/2006/relationships/hyperlink" Target="https://zakupivli.pro/gov/tenders/ua-2024-11-01-000327-a" TargetMode="External"/><Relationship Id="rId1659" Type="http://schemas.openxmlformats.org/officeDocument/2006/relationships/hyperlink" Target="https://zakupivli.pro/gov/tenders/ua-2025-01-27-012573-a/lot-c1ffa8a86b97469f9acfff5201e327d4" TargetMode="External"/><Relationship Id="rId1866" Type="http://schemas.openxmlformats.org/officeDocument/2006/relationships/hyperlink" Target="https://my.zakupivli.pro/remote/dispatcher/state_purchase_view/58076884" TargetMode="External"/><Relationship Id="rId1519" Type="http://schemas.openxmlformats.org/officeDocument/2006/relationships/hyperlink" Target="https://my.zakupivli.pro/remote/dispatcher/state_purchase_view/55863477" TargetMode="External"/><Relationship Id="rId1726" Type="http://schemas.openxmlformats.org/officeDocument/2006/relationships/hyperlink" Target="https://my.zakupivli.pro/remote/dispatcher/state_purchase_view/57145030" TargetMode="External"/><Relationship Id="rId1933" Type="http://schemas.openxmlformats.org/officeDocument/2006/relationships/hyperlink" Target="https://zakupivli.pro/gov/tenders/ua-2025-04-07-010912-a" TargetMode="External"/><Relationship Id="rId18" Type="http://schemas.openxmlformats.org/officeDocument/2006/relationships/hyperlink" Target="https://my.zakupki.prom.ua/remote/dispatcher/state_purchase_view/40092155" TargetMode="External"/><Relationship Id="rId2195" Type="http://schemas.openxmlformats.org/officeDocument/2006/relationships/hyperlink" Target="https://my.zakupivli.pro/remote/dispatcher/state_purchase_view/60891328" TargetMode="External"/><Relationship Id="rId167" Type="http://schemas.openxmlformats.org/officeDocument/2006/relationships/hyperlink" Target="https://zakupki.prom.ua/gov/tenders/UA-2023-03-15-007191-a/lot-4989704647284c6a92bafc66d29718dc" TargetMode="External"/><Relationship Id="rId374" Type="http://schemas.openxmlformats.org/officeDocument/2006/relationships/hyperlink" Target="https://my.zakupki.prom.ua/remote/dispatcher/state_purchase_view/43318378" TargetMode="External"/><Relationship Id="rId581" Type="http://schemas.openxmlformats.org/officeDocument/2006/relationships/hyperlink" Target="https://zakupivli.pro/gov/tenders/UA-2024-01-08-000709-a" TargetMode="External"/><Relationship Id="rId2055" Type="http://schemas.openxmlformats.org/officeDocument/2006/relationships/hyperlink" Target="https://zakupivli.pro/gov/tenders/ua-2025-06-04-003192-a" TargetMode="External"/><Relationship Id="rId2262" Type="http://schemas.openxmlformats.org/officeDocument/2006/relationships/hyperlink" Target="https://zakupivli.pro/gov/tenders/ua-2025-08-18-006435-a" TargetMode="External"/><Relationship Id="rId234" Type="http://schemas.openxmlformats.org/officeDocument/2006/relationships/hyperlink" Target="https://zakupki.prom.ua/gov/tenders/UA-2023-03-30-000296-a" TargetMode="External"/><Relationship Id="rId679" Type="http://schemas.openxmlformats.org/officeDocument/2006/relationships/hyperlink" Target="https://my.zakupivli.pro/remote/dispatcher/state_purchase_view/48824354" TargetMode="External"/><Relationship Id="rId886" Type="http://schemas.openxmlformats.org/officeDocument/2006/relationships/hyperlink" Target="https://my.zakupivli.pro/remote/dispatcher/state_purchase_view/49472296" TargetMode="External"/><Relationship Id="rId2" Type="http://schemas.openxmlformats.org/officeDocument/2006/relationships/hyperlink" Target="https://zakupki.prom.ua/gov/tenders/UA-2022-11-10-012027-a/lot-626beb3cc1624e79b6b15d716e2ee75b" TargetMode="External"/><Relationship Id="rId441" Type="http://schemas.openxmlformats.org/officeDocument/2006/relationships/hyperlink" Target="https://zakupki.prom.ua/gov/tenders/UA-2023-08-23-004657-a" TargetMode="External"/><Relationship Id="rId539" Type="http://schemas.openxmlformats.org/officeDocument/2006/relationships/hyperlink" Target="https://my.zakupivli.pro/remote/dispatcher/state_purchase_view/47358944" TargetMode="External"/><Relationship Id="rId746" Type="http://schemas.openxmlformats.org/officeDocument/2006/relationships/hyperlink" Target="https://my.zakupivli.pro/remote/dispatcher/state_purchase_view/48903036" TargetMode="External"/><Relationship Id="rId1071" Type="http://schemas.openxmlformats.org/officeDocument/2006/relationships/hyperlink" Target="https://zakupivli.pro/gov/tenders/UA-2024-04-26-001577-a" TargetMode="External"/><Relationship Id="rId1169" Type="http://schemas.openxmlformats.org/officeDocument/2006/relationships/hyperlink" Target="https://my.zakupivli.pro/remote/dispatcher/state_purchase_view/51820402" TargetMode="External"/><Relationship Id="rId1376" Type="http://schemas.openxmlformats.org/officeDocument/2006/relationships/hyperlink" Target="https://zakupivli.pro/gov/tenders/ua-2024-10-14-011744-a" TargetMode="External"/><Relationship Id="rId1583" Type="http://schemas.openxmlformats.org/officeDocument/2006/relationships/hyperlink" Target="https://zakupivli.pro/gov/tenders/ua-2025-01-02-003891-a" TargetMode="External"/><Relationship Id="rId2122" Type="http://schemas.openxmlformats.org/officeDocument/2006/relationships/hyperlink" Target="https://my.zakupivli.pro/remote/dispatcher/state_purchase_view/60237438" TargetMode="External"/><Relationship Id="rId2427" Type="http://schemas.openxmlformats.org/officeDocument/2006/relationships/hyperlink" Target="https://my.zakupivli.pro/remote/dispatcher/state_purchase_view/63414761" TargetMode="External"/><Relationship Id="rId301" Type="http://schemas.openxmlformats.org/officeDocument/2006/relationships/hyperlink" Target="https://my.zakupki.prom.ua/remote/dispatcher/state_purchase_view/41780303" TargetMode="External"/><Relationship Id="rId953" Type="http://schemas.openxmlformats.org/officeDocument/2006/relationships/hyperlink" Target="https://my.zakupivli.pro/remote/dispatcher/state_purchase_view/49788870" TargetMode="External"/><Relationship Id="rId1029" Type="http://schemas.openxmlformats.org/officeDocument/2006/relationships/hyperlink" Target="https://zakupivli.pro/gov/tenders/UA-2024-04-03-011648-a" TargetMode="External"/><Relationship Id="rId1236" Type="http://schemas.openxmlformats.org/officeDocument/2006/relationships/hyperlink" Target="https://my.zakupivli.pro/remote/dispatcher/state_purchase_view/52344173" TargetMode="External"/><Relationship Id="rId1790" Type="http://schemas.openxmlformats.org/officeDocument/2006/relationships/hyperlink" Target="https://my.zakupivli.pro/remote/dispatcher/state_purchase_view/57453868" TargetMode="External"/><Relationship Id="rId1888" Type="http://schemas.openxmlformats.org/officeDocument/2006/relationships/hyperlink" Target="https://my.zakupivli.pro/remote/dispatcher/state_purchase_view/58221122" TargetMode="External"/><Relationship Id="rId82" Type="http://schemas.openxmlformats.org/officeDocument/2006/relationships/hyperlink" Target="https://my.zakupki.prom.ua/remote/dispatcher/state_purchase_view/41328638" TargetMode="External"/><Relationship Id="rId606" Type="http://schemas.openxmlformats.org/officeDocument/2006/relationships/hyperlink" Target="https://zakupivli.pro/gov/tenders/UA-2024-01-18-003325-a/lot-fc53341c8b354448953712f1b371711c" TargetMode="External"/><Relationship Id="rId813" Type="http://schemas.openxmlformats.org/officeDocument/2006/relationships/hyperlink" Target="https://zakupivli.pro/gov/tenders/UA-2024-02-14-000270-a" TargetMode="External"/><Relationship Id="rId1443" Type="http://schemas.openxmlformats.org/officeDocument/2006/relationships/hyperlink" Target="https://zakupivli.pro/gov/tenders/ua-2024-11-12-010311-a" TargetMode="External"/><Relationship Id="rId1650" Type="http://schemas.openxmlformats.org/officeDocument/2006/relationships/hyperlink" Target="https://my.zakupivli.pro/remote/dispatcher/state_purchase_view/56925415" TargetMode="External"/><Relationship Id="rId1748" Type="http://schemas.openxmlformats.org/officeDocument/2006/relationships/hyperlink" Target="https://zakupivli.pro/gov/tenders/ua-2025-02-05-010881-a" TargetMode="External"/><Relationship Id="rId1303" Type="http://schemas.openxmlformats.org/officeDocument/2006/relationships/hyperlink" Target="https://zakupivli.pro/gov/tenders/UA-2024-08-15-004257-a" TargetMode="External"/><Relationship Id="rId1510" Type="http://schemas.openxmlformats.org/officeDocument/2006/relationships/hyperlink" Target="https://zakupivli.pro/gov/tenders/ua-2024-12-05-015239-a/lot-1187ee375879455ba98b9232d0729d74" TargetMode="External"/><Relationship Id="rId1955" Type="http://schemas.openxmlformats.org/officeDocument/2006/relationships/hyperlink" Target="https://zakupivli.pro/gov/tenders/ua-2025-04-15-012229-a/lot-6b3747526fcb4336a7a087d1d3302ae7" TargetMode="External"/><Relationship Id="rId1608" Type="http://schemas.openxmlformats.org/officeDocument/2006/relationships/hyperlink" Target="https://my.zakupivli.pro/remote/dispatcher/state_purchase_view/56511166" TargetMode="External"/><Relationship Id="rId1815" Type="http://schemas.openxmlformats.org/officeDocument/2006/relationships/hyperlink" Target="https://my.zakupivli.pro/remote/dispatcher/state_purchase_view/57590825" TargetMode="External"/><Relationship Id="rId189" Type="http://schemas.openxmlformats.org/officeDocument/2006/relationships/hyperlink" Target="https://zakupki.prom.ua/gov/tenders/UA-2023-03-20-010049-a" TargetMode="External"/><Relationship Id="rId396" Type="http://schemas.openxmlformats.org/officeDocument/2006/relationships/hyperlink" Target="https://my.zakupki.prom.ua/remote/dispatcher/state_purchase_view/43867505" TargetMode="External"/><Relationship Id="rId2077" Type="http://schemas.openxmlformats.org/officeDocument/2006/relationships/hyperlink" Target="https://my.zakupivli.pro/remote/dispatcher/state_purchase_view/60062964" TargetMode="External"/><Relationship Id="rId2284" Type="http://schemas.openxmlformats.org/officeDocument/2006/relationships/hyperlink" Target="https://my.zakupivli.pro/remote/dispatcher/state_purchase_view/61767574" TargetMode="External"/><Relationship Id="rId2491" Type="http://schemas.openxmlformats.org/officeDocument/2006/relationships/hyperlink" Target="https://my.zakupivli.pro/remote/dispatcher/state_purchase_view/64232946" TargetMode="External"/><Relationship Id="rId256" Type="http://schemas.openxmlformats.org/officeDocument/2006/relationships/hyperlink" Target="https://my.zakupki.prom.ua/remote/dispatcher/state_purchase_view/41740483" TargetMode="External"/><Relationship Id="rId463" Type="http://schemas.openxmlformats.org/officeDocument/2006/relationships/hyperlink" Target="https://my.zakupki.prom.ua/remote/dispatcher/state_purchase_view/45099204" TargetMode="External"/><Relationship Id="rId670" Type="http://schemas.openxmlformats.org/officeDocument/2006/relationships/hyperlink" Target="https://zakupivli.pro/gov/tenders/UA-2024-01-25-013302-a" TargetMode="External"/><Relationship Id="rId1093" Type="http://schemas.openxmlformats.org/officeDocument/2006/relationships/hyperlink" Target="https://my.zakupivli.pro/remote/dispatcher/state_purchase_view/50934484" TargetMode="External"/><Relationship Id="rId2144" Type="http://schemas.openxmlformats.org/officeDocument/2006/relationships/hyperlink" Target="https://zakupivli.pro/gov/tenders/ua-2025-06-24-000119-a" TargetMode="External"/><Relationship Id="rId2351" Type="http://schemas.openxmlformats.org/officeDocument/2006/relationships/hyperlink" Target="https://my.zakupivli.pro/remote/dispatcher/state_purchase_view/62399033" TargetMode="External"/><Relationship Id="rId116" Type="http://schemas.openxmlformats.org/officeDocument/2006/relationships/hyperlink" Target="https://zakupki.prom.ua/gov/tenders/UA-2023-02-16-004517-a" TargetMode="External"/><Relationship Id="rId323" Type="http://schemas.openxmlformats.org/officeDocument/2006/relationships/hyperlink" Target="https://my.zakupki.prom.ua/remote/dispatcher/state_purchase_view/42175373" TargetMode="External"/><Relationship Id="rId530" Type="http://schemas.openxmlformats.org/officeDocument/2006/relationships/hyperlink" Target="https://zakupivli.pro/gov/tenders/UA-2023-12-01-005369-a" TargetMode="External"/><Relationship Id="rId768" Type="http://schemas.openxmlformats.org/officeDocument/2006/relationships/hyperlink" Target="https://my.zakupivli.pro/remote/dispatcher/state_purchase_view/48969987" TargetMode="External"/><Relationship Id="rId975" Type="http://schemas.openxmlformats.org/officeDocument/2006/relationships/hyperlink" Target="https://zakupivli.pro/gov/tenders/UA-2024-03-25-008156-a" TargetMode="External"/><Relationship Id="rId1160" Type="http://schemas.openxmlformats.org/officeDocument/2006/relationships/hyperlink" Target="https://my.zakupivli.pro/remote/dispatcher/state_purchase_view/51723896" TargetMode="External"/><Relationship Id="rId1398" Type="http://schemas.openxmlformats.org/officeDocument/2006/relationships/hyperlink" Target="https://zakupivli.pro/gov/tenders/ua-2024-10-29-008676-a" TargetMode="External"/><Relationship Id="rId2004" Type="http://schemas.openxmlformats.org/officeDocument/2006/relationships/hyperlink" Target="https://zakupivli.pro/gov/tenders/ua-2025-05-09-011607-a" TargetMode="External"/><Relationship Id="rId2211" Type="http://schemas.openxmlformats.org/officeDocument/2006/relationships/hyperlink" Target="https://zakupivli.pro/gov/tenders/ua-2025-07-29-008026-a" TargetMode="External"/><Relationship Id="rId2449" Type="http://schemas.openxmlformats.org/officeDocument/2006/relationships/hyperlink" Target="https://zakupivli.pro/gov/tenders/ua-2025-11-14-013137-a" TargetMode="External"/><Relationship Id="rId628" Type="http://schemas.openxmlformats.org/officeDocument/2006/relationships/hyperlink" Target="https://my.zakupivli.pro/remote/dispatcher/state_purchase_view/48555711" TargetMode="External"/><Relationship Id="rId835" Type="http://schemas.openxmlformats.org/officeDocument/2006/relationships/hyperlink" Target="https://my.zakupivli.pro/remote/dispatcher/state_purchase_view/49299258" TargetMode="External"/><Relationship Id="rId1258" Type="http://schemas.openxmlformats.org/officeDocument/2006/relationships/hyperlink" Target="https://my.zakupivli.pro/remote/dispatcher/state_purchase_view/52589055" TargetMode="External"/><Relationship Id="rId1465" Type="http://schemas.openxmlformats.org/officeDocument/2006/relationships/hyperlink" Target="https://zakupivli.pro/gov/tenders/ua-2024-11-14-014034-a" TargetMode="External"/><Relationship Id="rId1672" Type="http://schemas.openxmlformats.org/officeDocument/2006/relationships/hyperlink" Target="https://zakupivli.pro/gov/tenders/ua-2025-01-27-014006-a/lot-c9f5e8c54e174ee9b5281df26e296368" TargetMode="External"/><Relationship Id="rId2309" Type="http://schemas.openxmlformats.org/officeDocument/2006/relationships/hyperlink" Target="https://zakupivli.pro/gov/tenders/ua-2025-09-17-012496-a" TargetMode="External"/><Relationship Id="rId2516" Type="http://schemas.openxmlformats.org/officeDocument/2006/relationships/hyperlink" Target="https://my.zakupivli.pro/remote/dispatcher/state_purchase_view/64524354" TargetMode="External"/><Relationship Id="rId1020" Type="http://schemas.openxmlformats.org/officeDocument/2006/relationships/hyperlink" Target="https://my.zakupivli.pro/remote/dispatcher/state_purchase_view/50182890" TargetMode="External"/><Relationship Id="rId1118" Type="http://schemas.openxmlformats.org/officeDocument/2006/relationships/hyperlink" Target="https://my.zakupivli.pro/remote/dispatcher/state_purchase_view/51263635" TargetMode="External"/><Relationship Id="rId1325" Type="http://schemas.openxmlformats.org/officeDocument/2006/relationships/hyperlink" Target="https://zakupivli.pro/gov/tenders/ua-2024-09-11-004952-a/lot-b56fa9551a6146e0901282ea176993f9" TargetMode="External"/><Relationship Id="rId1532" Type="http://schemas.openxmlformats.org/officeDocument/2006/relationships/hyperlink" Target="https://my.zakupivli.pro/remote/dispatcher/state_purchase_view/55973222" TargetMode="External"/><Relationship Id="rId1977" Type="http://schemas.openxmlformats.org/officeDocument/2006/relationships/hyperlink" Target="https://my.zakupivli.pro/remote/dispatcher/state_purchase_view/59211123" TargetMode="External"/><Relationship Id="rId902" Type="http://schemas.openxmlformats.org/officeDocument/2006/relationships/hyperlink" Target="https://my.zakupivli.pro/remote/dispatcher/state_purchase_view/49571405" TargetMode="External"/><Relationship Id="rId1837" Type="http://schemas.openxmlformats.org/officeDocument/2006/relationships/hyperlink" Target="https://my.zakupivli.pro/remote/dispatcher/state_purchase_view/57734768" TargetMode="External"/><Relationship Id="rId31" Type="http://schemas.openxmlformats.org/officeDocument/2006/relationships/hyperlink" Target="https://my.zakupki.prom.ua/remote/dispatcher/state_purchase_view/41576956" TargetMode="External"/><Relationship Id="rId2099" Type="http://schemas.openxmlformats.org/officeDocument/2006/relationships/hyperlink" Target="https://my.zakupivli.pro/remote/dispatcher/state_purchase_view/60193024" TargetMode="External"/><Relationship Id="rId180" Type="http://schemas.openxmlformats.org/officeDocument/2006/relationships/hyperlink" Target="https://zakupki.prom.ua/gov/tenders/UA-2023-03-20-010574-a" TargetMode="External"/><Relationship Id="rId278" Type="http://schemas.openxmlformats.org/officeDocument/2006/relationships/hyperlink" Target="https://my.zakupki.prom.ua/remote/dispatcher/state_purchase_view/41776493" TargetMode="External"/><Relationship Id="rId1904" Type="http://schemas.openxmlformats.org/officeDocument/2006/relationships/hyperlink" Target="https://my.zakupivli.pro/remote/dispatcher/state_purchase_view/58383433" TargetMode="External"/><Relationship Id="rId485" Type="http://schemas.openxmlformats.org/officeDocument/2006/relationships/hyperlink" Target="https://zakupki.prom.ua/gov/tenders/UA-2023-09-25-008707-a" TargetMode="External"/><Relationship Id="rId692" Type="http://schemas.openxmlformats.org/officeDocument/2006/relationships/hyperlink" Target="https://my.zakupivli.pro/remote/dispatcher/state_purchase_view/48832012" TargetMode="External"/><Relationship Id="rId2166" Type="http://schemas.openxmlformats.org/officeDocument/2006/relationships/hyperlink" Target="https://zakupivli.pro/gov/tenders/ua-2025-07-04-008474-a" TargetMode="External"/><Relationship Id="rId2373" Type="http://schemas.openxmlformats.org/officeDocument/2006/relationships/hyperlink" Target="https://my.zakupivli.pro/remote/dispatcher/state_purchase_view/62863987" TargetMode="External"/><Relationship Id="rId138" Type="http://schemas.openxmlformats.org/officeDocument/2006/relationships/hyperlink" Target="https://zakupki.prom.ua/gov/tenders/UA-2023-03-06-002433-a/lot-5fe42ead7fb142018db2387de04aa587" TargetMode="External"/><Relationship Id="rId345" Type="http://schemas.openxmlformats.org/officeDocument/2006/relationships/hyperlink" Target="https://zakupki.prom.ua/gov/tenders/UA-2023-05-04-011709-a" TargetMode="External"/><Relationship Id="rId552" Type="http://schemas.openxmlformats.org/officeDocument/2006/relationships/hyperlink" Target="https://zakupivli.pro/gov/tenders/UA-2023-12-28-007824-a" TargetMode="External"/><Relationship Id="rId997" Type="http://schemas.openxmlformats.org/officeDocument/2006/relationships/hyperlink" Target="https://zakupivli.pro/gov/tenders/UA-2024-03-25-000494-a" TargetMode="External"/><Relationship Id="rId1182" Type="http://schemas.openxmlformats.org/officeDocument/2006/relationships/hyperlink" Target="https://zakupivli.pro/gov/tenders/UA-2024-06-25-000508-a" TargetMode="External"/><Relationship Id="rId2026" Type="http://schemas.openxmlformats.org/officeDocument/2006/relationships/hyperlink" Target="https://zakupivli.pro/gov/tenders/ua-2025-05-20-009372-a/lot-a2407ef306b440eb8a6028369464803b" TargetMode="External"/><Relationship Id="rId2233" Type="http://schemas.openxmlformats.org/officeDocument/2006/relationships/hyperlink" Target="https://zakupivli.pro/gov/tenders/ua-2025-08-06-006805-a" TargetMode="External"/><Relationship Id="rId2440" Type="http://schemas.openxmlformats.org/officeDocument/2006/relationships/hyperlink" Target="https://my.zakupivli.pro/remote/dispatcher/state_purchase_view/63502755" TargetMode="External"/><Relationship Id="rId205" Type="http://schemas.openxmlformats.org/officeDocument/2006/relationships/hyperlink" Target="https://zakupki.prom.ua/gov/tenders/UA-2023-03-23-010247-a" TargetMode="External"/><Relationship Id="rId412" Type="http://schemas.openxmlformats.org/officeDocument/2006/relationships/hyperlink" Target="https://my.zakupki.prom.ua/remote/dispatcher/state_purchase_view/44539346" TargetMode="External"/><Relationship Id="rId857" Type="http://schemas.openxmlformats.org/officeDocument/2006/relationships/hyperlink" Target="https://zakupivli.pro/gov/tenders/UA-2024-02-21-000550-a" TargetMode="External"/><Relationship Id="rId1042" Type="http://schemas.openxmlformats.org/officeDocument/2006/relationships/hyperlink" Target="https://my.zakupivli.pro/remote/dispatcher/state_purchase_view/50291280" TargetMode="External"/><Relationship Id="rId1487" Type="http://schemas.openxmlformats.org/officeDocument/2006/relationships/hyperlink" Target="https://my.zakupivli.pro/remote/dispatcher/state_purchase_view/55139944" TargetMode="External"/><Relationship Id="rId1694" Type="http://schemas.openxmlformats.org/officeDocument/2006/relationships/hyperlink" Target="https://my.zakupivli.pro/remote/dispatcher/state_purchase_view/56991092" TargetMode="External"/><Relationship Id="rId2300" Type="http://schemas.openxmlformats.org/officeDocument/2006/relationships/hyperlink" Target="https://my.zakupivli.pro/remote/dispatcher/state_purchase_view/61992341" TargetMode="External"/><Relationship Id="rId2538" Type="http://schemas.openxmlformats.org/officeDocument/2006/relationships/hyperlink" Target="https://zakupivli.pro/gov/tenders/ua-2025-12-23-005940-a" TargetMode="External"/><Relationship Id="rId717" Type="http://schemas.openxmlformats.org/officeDocument/2006/relationships/hyperlink" Target="https://zakupivli.pro/gov/tenders/UA-2024-02-02-012574-a" TargetMode="External"/><Relationship Id="rId924" Type="http://schemas.openxmlformats.org/officeDocument/2006/relationships/hyperlink" Target="https://my.zakupivli.pro/remote/dispatcher/state_purchase_view/49656895" TargetMode="External"/><Relationship Id="rId1347" Type="http://schemas.openxmlformats.org/officeDocument/2006/relationships/hyperlink" Target="https://zakupivli.pro/gov/tenders/ua-2024-09-23-009602-a" TargetMode="External"/><Relationship Id="rId1554" Type="http://schemas.openxmlformats.org/officeDocument/2006/relationships/hyperlink" Target="https://my.zakupivli.pro/remote/dispatcher/state_purchase_view/56156900" TargetMode="External"/><Relationship Id="rId1761" Type="http://schemas.openxmlformats.org/officeDocument/2006/relationships/hyperlink" Target="https://zakupivli.pro/gov/tenders/ua-2025-02-07-001208-a" TargetMode="External"/><Relationship Id="rId1999" Type="http://schemas.openxmlformats.org/officeDocument/2006/relationships/hyperlink" Target="https://zakupivli.pro/gov/tenders/ua-2025-05-08-001478-a" TargetMode="External"/><Relationship Id="rId53" Type="http://schemas.openxmlformats.org/officeDocument/2006/relationships/hyperlink" Target="https://my.zakupki.prom.ua/remote/dispatcher/state_purchase_view/41435209" TargetMode="External"/><Relationship Id="rId1207" Type="http://schemas.openxmlformats.org/officeDocument/2006/relationships/hyperlink" Target="https://zakupivli.pro/gov/tenders/UA-2024-07-16-006910-a" TargetMode="External"/><Relationship Id="rId1414" Type="http://schemas.openxmlformats.org/officeDocument/2006/relationships/hyperlink" Target="https://my.zakupivli.pro/remote/dispatcher/state_purchase_view/54453325" TargetMode="External"/><Relationship Id="rId1621" Type="http://schemas.openxmlformats.org/officeDocument/2006/relationships/hyperlink" Target="https://zakupivli.pro/gov/tenders/ua-2025-01-16-005354-a" TargetMode="External"/><Relationship Id="rId1859" Type="http://schemas.openxmlformats.org/officeDocument/2006/relationships/hyperlink" Target="https://zakupivli.pro/gov/tenders/ua-2025-03-05-002451-a" TargetMode="External"/><Relationship Id="rId1719" Type="http://schemas.openxmlformats.org/officeDocument/2006/relationships/hyperlink" Target="https://zakupivli.pro/gov/tenders/ua-2025-01-31-008018-a" TargetMode="External"/><Relationship Id="rId1926" Type="http://schemas.openxmlformats.org/officeDocument/2006/relationships/hyperlink" Target="https://my.zakupivli.pro/remote/dispatcher/state_purchase_view/58599183" TargetMode="External"/><Relationship Id="rId2090" Type="http://schemas.openxmlformats.org/officeDocument/2006/relationships/hyperlink" Target="https://zakupivli.pro/gov/tenders/ua-2025-06-12-008425-a" TargetMode="External"/><Relationship Id="rId2188" Type="http://schemas.openxmlformats.org/officeDocument/2006/relationships/hyperlink" Target="https://zakupivli.pro/gov/tenders/ua-2025-07-22-007428-a" TargetMode="External"/><Relationship Id="rId2395" Type="http://schemas.openxmlformats.org/officeDocument/2006/relationships/hyperlink" Target="https://zakupivli.pro/gov/tenders/ua-2025-10-23-009263-a" TargetMode="External"/><Relationship Id="rId367" Type="http://schemas.openxmlformats.org/officeDocument/2006/relationships/hyperlink" Target="https://my.zakupki.prom.ua/remote/dispatcher/state_purchase_view/42937572" TargetMode="External"/><Relationship Id="rId574" Type="http://schemas.openxmlformats.org/officeDocument/2006/relationships/hyperlink" Target="https://my.zakupivli.pro/remote/dispatcher/state_purchase_view/48184528" TargetMode="External"/><Relationship Id="rId2048" Type="http://schemas.openxmlformats.org/officeDocument/2006/relationships/hyperlink" Target="https://zakupivli.pro/gov/tenders/ua-2025-05-30-000908-a" TargetMode="External"/><Relationship Id="rId2255" Type="http://schemas.openxmlformats.org/officeDocument/2006/relationships/hyperlink" Target="https://zakupivli.pro/gov/tenders/ua-2025-08-14-009960-a" TargetMode="External"/><Relationship Id="rId227" Type="http://schemas.openxmlformats.org/officeDocument/2006/relationships/hyperlink" Target="https://my.zakupki.prom.ua/remote/dispatcher/state_purchase_view/41678983" TargetMode="External"/><Relationship Id="rId781" Type="http://schemas.openxmlformats.org/officeDocument/2006/relationships/hyperlink" Target="https://zakupivli.pro/gov/tenders/UA-2024-02-06-009098-a" TargetMode="External"/><Relationship Id="rId879" Type="http://schemas.openxmlformats.org/officeDocument/2006/relationships/hyperlink" Target="https://zakupivli.pro/gov/tenders/UA-2024-02-23-001573-a" TargetMode="External"/><Relationship Id="rId2462" Type="http://schemas.openxmlformats.org/officeDocument/2006/relationships/hyperlink" Target="https://my.zakupivli.pro/remote/dispatcher/state_purchase_view/63612349" TargetMode="External"/><Relationship Id="rId434" Type="http://schemas.openxmlformats.org/officeDocument/2006/relationships/hyperlink" Target="https://my.zakupki.prom.ua/remote/dispatcher/state_purchase_view/44727318" TargetMode="External"/><Relationship Id="rId641" Type="http://schemas.openxmlformats.org/officeDocument/2006/relationships/hyperlink" Target="https://my.zakupivli.pro/remote/dispatcher/state_purchase_view/48579121" TargetMode="External"/><Relationship Id="rId739" Type="http://schemas.openxmlformats.org/officeDocument/2006/relationships/hyperlink" Target="https://zakupivli.pro/gov/tenders/UA-2024-02-02-011459-a" TargetMode="External"/><Relationship Id="rId1064" Type="http://schemas.openxmlformats.org/officeDocument/2006/relationships/hyperlink" Target="https://zakupivli.pro/gov/tenders/UA-2024-04-18-011880-a" TargetMode="External"/><Relationship Id="rId1271" Type="http://schemas.openxmlformats.org/officeDocument/2006/relationships/hyperlink" Target="https://my.zakupivli.pro/remote/dispatcher/state_purchase_view/52855277" TargetMode="External"/><Relationship Id="rId1369" Type="http://schemas.openxmlformats.org/officeDocument/2006/relationships/hyperlink" Target="https://my.zakupivli.pro/remote/dispatcher/state_purchase_view/53763004" TargetMode="External"/><Relationship Id="rId1576" Type="http://schemas.openxmlformats.org/officeDocument/2006/relationships/hyperlink" Target="https://my.zakupivli.pro/remote/dispatcher/state_purchase_view/56333751" TargetMode="External"/><Relationship Id="rId2115" Type="http://schemas.openxmlformats.org/officeDocument/2006/relationships/hyperlink" Target="https://zakupivli.pro/gov/tenders/ua-2025-06-19-007061-a" TargetMode="External"/><Relationship Id="rId2322" Type="http://schemas.openxmlformats.org/officeDocument/2006/relationships/hyperlink" Target="https://my.zakupivli.pro/remote/dispatcher/state_purchase_view/62233167" TargetMode="External"/><Relationship Id="rId501" Type="http://schemas.openxmlformats.org/officeDocument/2006/relationships/hyperlink" Target="https://my.zakupivli.pro/remote/dispatcher/state_purchase_view/45900809" TargetMode="External"/><Relationship Id="rId946" Type="http://schemas.openxmlformats.org/officeDocument/2006/relationships/hyperlink" Target="https://zakupivli.pro/gov/tenders/UA-2024-03-12-008416-a" TargetMode="External"/><Relationship Id="rId1131" Type="http://schemas.openxmlformats.org/officeDocument/2006/relationships/hyperlink" Target="https://zakupivli.pro/gov/tenders/UA-2024-05-27-006049-a" TargetMode="External"/><Relationship Id="rId1229" Type="http://schemas.openxmlformats.org/officeDocument/2006/relationships/hyperlink" Target="https://my.zakupivli.pro/remote/dispatcher/state_purchase_view/52333680" TargetMode="External"/><Relationship Id="rId1783" Type="http://schemas.openxmlformats.org/officeDocument/2006/relationships/hyperlink" Target="https://my.zakupivli.pro/remote/dispatcher/state_purchase_view/57435375" TargetMode="External"/><Relationship Id="rId1990" Type="http://schemas.openxmlformats.org/officeDocument/2006/relationships/hyperlink" Target="https://zakupivli.pro/gov/tenders/ua-2025-05-06-009789-a" TargetMode="External"/><Relationship Id="rId75" Type="http://schemas.openxmlformats.org/officeDocument/2006/relationships/hyperlink" Target="https://my.zakupki.prom.ua/remote/dispatcher/state_purchase_view/41329517" TargetMode="External"/><Relationship Id="rId806" Type="http://schemas.openxmlformats.org/officeDocument/2006/relationships/hyperlink" Target="https://my.zakupivli.pro/remote/dispatcher/state_purchase_view/49159801" TargetMode="External"/><Relationship Id="rId1436" Type="http://schemas.openxmlformats.org/officeDocument/2006/relationships/hyperlink" Target="https://my.zakupivli.pro/remote/dispatcher/state_purchase_view/54634822" TargetMode="External"/><Relationship Id="rId1643" Type="http://schemas.openxmlformats.org/officeDocument/2006/relationships/hyperlink" Target="https://my.zakupivli.pro/remote/dispatcher/state_purchase_view/56797832" TargetMode="External"/><Relationship Id="rId1850" Type="http://schemas.openxmlformats.org/officeDocument/2006/relationships/hyperlink" Target="https://my.zakupivli.pro/remote/dispatcher/state_purchase_view/57827963" TargetMode="External"/><Relationship Id="rId1503" Type="http://schemas.openxmlformats.org/officeDocument/2006/relationships/hyperlink" Target="https://my.zakupivli.pro/remote/dispatcher/state_purchase_view/55454423" TargetMode="External"/><Relationship Id="rId1710" Type="http://schemas.openxmlformats.org/officeDocument/2006/relationships/hyperlink" Target="https://zakupivli.pro/gov/tenders/ua-2025-01-30-008146-a/lot-619468b0d6ca413494bc08d5599e3b3c" TargetMode="External"/><Relationship Id="rId1948" Type="http://schemas.openxmlformats.org/officeDocument/2006/relationships/hyperlink" Target="https://zakupivli.pro/gov/tenders/ua-2025-04-10-002695-a/lot-b3f191b3dc114ff1aa834120dc268e21" TargetMode="External"/><Relationship Id="rId291" Type="http://schemas.openxmlformats.org/officeDocument/2006/relationships/hyperlink" Target="https://zakupki.prom.ua/gov/tenders/UA-2023-04-04-000680-a" TargetMode="External"/><Relationship Id="rId1808" Type="http://schemas.openxmlformats.org/officeDocument/2006/relationships/hyperlink" Target="https://zakupivli.pro/gov/tenders/ua-2025-02-18-000134-a" TargetMode="External"/><Relationship Id="rId151" Type="http://schemas.openxmlformats.org/officeDocument/2006/relationships/hyperlink" Target="https://zakupki.prom.ua/gov/tenders/UA-2023-03-10-000295-a/lot-02b958a89c154bf1b3160cc4bb435f6b" TargetMode="External"/><Relationship Id="rId389" Type="http://schemas.openxmlformats.org/officeDocument/2006/relationships/hyperlink" Target="https://my.zakupki.prom.ua/remote/dispatcher/state_purchase_view/44182725" TargetMode="External"/><Relationship Id="rId596" Type="http://schemas.openxmlformats.org/officeDocument/2006/relationships/hyperlink" Target="https://my.zakupivli.pro/remote/dispatcher/state_purchase_view/48328503" TargetMode="External"/><Relationship Id="rId2277" Type="http://schemas.openxmlformats.org/officeDocument/2006/relationships/hyperlink" Target="https://zakupivli.pro/gov/tenders/ua-2025-09-03-007395-a" TargetMode="External"/><Relationship Id="rId2484" Type="http://schemas.openxmlformats.org/officeDocument/2006/relationships/hyperlink" Target="https://zakupivli.pro/gov/tenders/ua-2025-12-01-000468-a" TargetMode="External"/><Relationship Id="rId249" Type="http://schemas.openxmlformats.org/officeDocument/2006/relationships/hyperlink" Target="https://zakupki.prom.ua/gov/tenders/UA-2023-03-30-002824-a" TargetMode="External"/><Relationship Id="rId456" Type="http://schemas.openxmlformats.org/officeDocument/2006/relationships/hyperlink" Target="https://zakupki.prom.ua/gov/tenders/UA-2023-09-01-009213-a/lot-90484c7cd7804a2ebcb0d1ddd4096d53" TargetMode="External"/><Relationship Id="rId663" Type="http://schemas.openxmlformats.org/officeDocument/2006/relationships/hyperlink" Target="https://my.zakupivli.pro/remote/dispatcher/state_purchase_view/48686004" TargetMode="External"/><Relationship Id="rId870" Type="http://schemas.openxmlformats.org/officeDocument/2006/relationships/hyperlink" Target="https://my.zakupivli.pro/remote/dispatcher/state_purchase_view/49369718" TargetMode="External"/><Relationship Id="rId1086" Type="http://schemas.openxmlformats.org/officeDocument/2006/relationships/hyperlink" Target="https://my.zakupivli.pro/remote/dispatcher/state_purchase_view/50900302" TargetMode="External"/><Relationship Id="rId1293" Type="http://schemas.openxmlformats.org/officeDocument/2006/relationships/hyperlink" Target="https://zakupivli.pro/gov/tenders/UA-2024-08-21-003135-a" TargetMode="External"/><Relationship Id="rId2137" Type="http://schemas.openxmlformats.org/officeDocument/2006/relationships/hyperlink" Target="https://my.zakupivli.pro/remote/dispatcher/state_purchase_view/60293316" TargetMode="External"/><Relationship Id="rId2344" Type="http://schemas.openxmlformats.org/officeDocument/2006/relationships/hyperlink" Target="https://zakupivli.pro/gov/tenders/ua-2025-10-02-012266-a" TargetMode="External"/><Relationship Id="rId109" Type="http://schemas.openxmlformats.org/officeDocument/2006/relationships/hyperlink" Target="https://my.zakupki.prom.ua/remote/dispatcher/state_purchase_view/40817379" TargetMode="External"/><Relationship Id="rId316" Type="http://schemas.openxmlformats.org/officeDocument/2006/relationships/hyperlink" Target="https://my.zakupki.prom.ua/remote/dispatcher/state_purchase_view/42099519" TargetMode="External"/><Relationship Id="rId523" Type="http://schemas.openxmlformats.org/officeDocument/2006/relationships/hyperlink" Target="https://my.zakupivli.pro/remote/dispatcher/state_purchase_view/47068707" TargetMode="External"/><Relationship Id="rId968" Type="http://schemas.openxmlformats.org/officeDocument/2006/relationships/hyperlink" Target="https://my.zakupivli.pro/remote/dispatcher/state_purchase_view/49910924" TargetMode="External"/><Relationship Id="rId1153" Type="http://schemas.openxmlformats.org/officeDocument/2006/relationships/hyperlink" Target="https://zakupivli.pro/gov/tenders/UA-2024-06-13-011394-a" TargetMode="External"/><Relationship Id="rId1598" Type="http://schemas.openxmlformats.org/officeDocument/2006/relationships/hyperlink" Target="https://my.zakupivli.pro/remote/dispatcher/state_purchase_view/56409739" TargetMode="External"/><Relationship Id="rId2204" Type="http://schemas.openxmlformats.org/officeDocument/2006/relationships/hyperlink" Target="https://zakupivli.pro/gov/tenders/ua-2025-07-28-009575-a" TargetMode="External"/><Relationship Id="rId97" Type="http://schemas.openxmlformats.org/officeDocument/2006/relationships/hyperlink" Target="https://my.zakupki.prom.ua/remote/dispatcher/state_purchase_view/41188280" TargetMode="External"/><Relationship Id="rId730" Type="http://schemas.openxmlformats.org/officeDocument/2006/relationships/hyperlink" Target="https://my.zakupivli.pro/remote/dispatcher/state_purchase_view/48904634" TargetMode="External"/><Relationship Id="rId828" Type="http://schemas.openxmlformats.org/officeDocument/2006/relationships/hyperlink" Target="https://my.zakupivli.pro/remote/dispatcher/state_purchase_view/49302519" TargetMode="External"/><Relationship Id="rId1013" Type="http://schemas.openxmlformats.org/officeDocument/2006/relationships/hyperlink" Target="https://zakupivli.pro/gov/tenders/UA-2024-04-01-003935-a" TargetMode="External"/><Relationship Id="rId1360" Type="http://schemas.openxmlformats.org/officeDocument/2006/relationships/hyperlink" Target="https://zakupivli.pro/gov/tenders/ua-2024-09-25-000210-a" TargetMode="External"/><Relationship Id="rId1458" Type="http://schemas.openxmlformats.org/officeDocument/2006/relationships/hyperlink" Target="https://zakupivli.pro/gov/tenders/ua-2024-11-14-014888-a" TargetMode="External"/><Relationship Id="rId1665" Type="http://schemas.openxmlformats.org/officeDocument/2006/relationships/hyperlink" Target="https://zakupivli.pro/gov/tenders/ua-2025-01-27-013156-a/lot-334269c96a704ae083d20b7c3fb063e2" TargetMode="External"/><Relationship Id="rId1872" Type="http://schemas.openxmlformats.org/officeDocument/2006/relationships/hyperlink" Target="https://zakupivli.pro/gov/tenders/ua-2025-03-13-007768-a/lot-718bb28a98ec44afa8afcda3a1ae6132" TargetMode="External"/><Relationship Id="rId2411" Type="http://schemas.openxmlformats.org/officeDocument/2006/relationships/hyperlink" Target="https://zakupivli.pro/gov/tenders/ua-2025-10-30-000525-a" TargetMode="External"/><Relationship Id="rId2509" Type="http://schemas.openxmlformats.org/officeDocument/2006/relationships/hyperlink" Target="https://my.zakupivli.pro/remote/dispatcher/state_purchase_view/64539076" TargetMode="External"/><Relationship Id="rId1220" Type="http://schemas.openxmlformats.org/officeDocument/2006/relationships/hyperlink" Target="https://zakupivli.pro/gov/tenders/UA-2024-07-22-009143-a" TargetMode="External"/><Relationship Id="rId1318" Type="http://schemas.openxmlformats.org/officeDocument/2006/relationships/hyperlink" Target="https://my.zakupivli.pro/remote/dispatcher/state_purchase_view/53177341" TargetMode="External"/><Relationship Id="rId1525" Type="http://schemas.openxmlformats.org/officeDocument/2006/relationships/hyperlink" Target="https://zakupivli.pro/gov/tenders/ua-2024-12-17-016908-a/lot-3e531e5cd5e8429a83f954cc68e1da17" TargetMode="External"/><Relationship Id="rId1732" Type="http://schemas.openxmlformats.org/officeDocument/2006/relationships/hyperlink" Target="https://zakupivli.pro/gov/tenders/ua-2025-02-03-010811-a" TargetMode="External"/><Relationship Id="rId24" Type="http://schemas.openxmlformats.org/officeDocument/2006/relationships/hyperlink" Target="https://zakupki.prom.ua/gov/tenders/UA-2023-01-17-001062-a" TargetMode="External"/><Relationship Id="rId2299" Type="http://schemas.openxmlformats.org/officeDocument/2006/relationships/hyperlink" Target="https://my.zakupivli.pro/remote/dispatcher/state_purchase_view/61992375" TargetMode="External"/><Relationship Id="rId173" Type="http://schemas.openxmlformats.org/officeDocument/2006/relationships/hyperlink" Target="https://zakupki.prom.ua/gov/tenders/UA-2023-03-15-006562-a/lot-0df6e11bb770462db58865984ae4609f" TargetMode="External"/><Relationship Id="rId380" Type="http://schemas.openxmlformats.org/officeDocument/2006/relationships/hyperlink" Target="https://zakupki.prom.ua/gov/tenders/UA-2023-07-04-003089-a" TargetMode="External"/><Relationship Id="rId2061" Type="http://schemas.openxmlformats.org/officeDocument/2006/relationships/hyperlink" Target="https://my.zakupivli.pro/remote/dispatcher/state_purchase_view/59899840" TargetMode="External"/><Relationship Id="rId240" Type="http://schemas.openxmlformats.org/officeDocument/2006/relationships/hyperlink" Target="https://my.zakupki.prom.ua/remote/dispatcher/state_purchase_view/41719753" TargetMode="External"/><Relationship Id="rId478" Type="http://schemas.openxmlformats.org/officeDocument/2006/relationships/hyperlink" Target="https://my.zakupki.prom.ua/remote/dispatcher/state_purchase_view/45277635" TargetMode="External"/><Relationship Id="rId685" Type="http://schemas.openxmlformats.org/officeDocument/2006/relationships/hyperlink" Target="https://my.zakupivli.pro/remote/dispatcher/state_purchase_view/48826096" TargetMode="External"/><Relationship Id="rId892" Type="http://schemas.openxmlformats.org/officeDocument/2006/relationships/hyperlink" Target="https://zakupivli.pro/gov/tenders/UA-2024-02-28-002778-a/lot-f4dc81e09cff47aa8c6415c77d0e35e7" TargetMode="External"/><Relationship Id="rId2159" Type="http://schemas.openxmlformats.org/officeDocument/2006/relationships/hyperlink" Target="https://zakupivli.pro/gov/tenders/ua-2025-07-04-006460-a" TargetMode="External"/><Relationship Id="rId2366" Type="http://schemas.openxmlformats.org/officeDocument/2006/relationships/hyperlink" Target="https://zakupivli.pro/gov/tenders/ua-2025-10-17-010591-a/lot-7cad97ab85ea4df3a4cce546b4de91cc" TargetMode="External"/><Relationship Id="rId100" Type="http://schemas.openxmlformats.org/officeDocument/2006/relationships/hyperlink" Target="https://my.zakupki.prom.ua/remote/dispatcher/state_purchase_view/41034280" TargetMode="External"/><Relationship Id="rId338" Type="http://schemas.openxmlformats.org/officeDocument/2006/relationships/hyperlink" Target="https://zakupki.prom.ua/gov/tenders/UA-2023-04-27-002191-a" TargetMode="External"/><Relationship Id="rId545" Type="http://schemas.openxmlformats.org/officeDocument/2006/relationships/hyperlink" Target="https://my.zakupivli.pro/remote/dispatcher/state_purchase_view/47633281" TargetMode="External"/><Relationship Id="rId752" Type="http://schemas.openxmlformats.org/officeDocument/2006/relationships/hyperlink" Target="https://zakupivli.pro/gov/tenders/UA-2024-02-02-000824-a" TargetMode="External"/><Relationship Id="rId1175" Type="http://schemas.openxmlformats.org/officeDocument/2006/relationships/hyperlink" Target="https://my.zakupivli.pro/remote/dispatcher/state_purchase_view/51816944" TargetMode="External"/><Relationship Id="rId1382" Type="http://schemas.openxmlformats.org/officeDocument/2006/relationships/hyperlink" Target="https://my.zakupivli.pro/remote/dispatcher/state_purchase_view/54094640" TargetMode="External"/><Relationship Id="rId2019" Type="http://schemas.openxmlformats.org/officeDocument/2006/relationships/hyperlink" Target="https://zakupivli.pro/gov/tenders/ua-2025-05-16-000256-a" TargetMode="External"/><Relationship Id="rId2226" Type="http://schemas.openxmlformats.org/officeDocument/2006/relationships/hyperlink" Target="https://zakupivli.pro/gov/tenders/ua-2025-08-01-005922-a" TargetMode="External"/><Relationship Id="rId2433" Type="http://schemas.openxmlformats.org/officeDocument/2006/relationships/hyperlink" Target="https://zakupivli.pro/gov/tenders/ua-2025-11-12-008233-a" TargetMode="External"/><Relationship Id="rId405" Type="http://schemas.openxmlformats.org/officeDocument/2006/relationships/hyperlink" Target="https://zakupki.prom.ua/gov/tenders/UA-2023-07-27-007812-a" TargetMode="External"/><Relationship Id="rId612" Type="http://schemas.openxmlformats.org/officeDocument/2006/relationships/hyperlink" Target="https://zakupivli.pro/gov/tenders/UA-2024-01-18-004549-a/lot-35b11790e83540b5b10175e6e83338b7" TargetMode="External"/><Relationship Id="rId1035" Type="http://schemas.openxmlformats.org/officeDocument/2006/relationships/hyperlink" Target="https://zakupivli.pro/gov/tenders/UA-2024-04-04-007798-a" TargetMode="External"/><Relationship Id="rId1242" Type="http://schemas.openxmlformats.org/officeDocument/2006/relationships/hyperlink" Target="https://zakupivli.pro/gov/tenders/UA-2024-07-25-005997-a/lot-718bcc6bbbbf473d87faab00b57b3872" TargetMode="External"/><Relationship Id="rId1687" Type="http://schemas.openxmlformats.org/officeDocument/2006/relationships/hyperlink" Target="https://my.zakupivli.pro/remote/dispatcher/state_purchase_view/56948698" TargetMode="External"/><Relationship Id="rId1894" Type="http://schemas.openxmlformats.org/officeDocument/2006/relationships/hyperlink" Target="https://my.zakupivli.pro/remote/dispatcher/state_purchase_view/58282171" TargetMode="External"/><Relationship Id="rId2500" Type="http://schemas.openxmlformats.org/officeDocument/2006/relationships/hyperlink" Target="https://my.zakupivli.pro/remote/dispatcher/state_purchase_view/64309003" TargetMode="External"/><Relationship Id="rId917" Type="http://schemas.openxmlformats.org/officeDocument/2006/relationships/hyperlink" Target="https://zakupivli.pro/gov/tenders/UA-2024-03-05-012187-a" TargetMode="External"/><Relationship Id="rId1102" Type="http://schemas.openxmlformats.org/officeDocument/2006/relationships/hyperlink" Target="https://my.zakupivli.pro/remote/dispatcher/state_purchase_view/50999556" TargetMode="External"/><Relationship Id="rId1547" Type="http://schemas.openxmlformats.org/officeDocument/2006/relationships/hyperlink" Target="https://zakupivli.pro/gov/tenders/ua-2024-12-23-005679-a" TargetMode="External"/><Relationship Id="rId1754" Type="http://schemas.openxmlformats.org/officeDocument/2006/relationships/hyperlink" Target="https://my.zakupivli.pro/remote/dispatcher/state_purchase_view/57248238" TargetMode="External"/><Relationship Id="rId1961" Type="http://schemas.openxmlformats.org/officeDocument/2006/relationships/hyperlink" Target="https://my.zakupivli.pro/remote/dispatcher/state_purchase_view/58876022" TargetMode="External"/><Relationship Id="rId46" Type="http://schemas.openxmlformats.org/officeDocument/2006/relationships/hyperlink" Target="https://my.zakupki.prom.ua/remote/dispatcher/state_purchase_view/41519653" TargetMode="External"/><Relationship Id="rId1407" Type="http://schemas.openxmlformats.org/officeDocument/2006/relationships/hyperlink" Target="https://zakupivli.pro/gov/tenders/ua-2024-10-30-007410-a" TargetMode="External"/><Relationship Id="rId1614" Type="http://schemas.openxmlformats.org/officeDocument/2006/relationships/hyperlink" Target="https://my.zakupivli.pro/remote/dispatcher/state_purchase_view/56621501" TargetMode="External"/><Relationship Id="rId1821" Type="http://schemas.openxmlformats.org/officeDocument/2006/relationships/hyperlink" Target="https://zakupivli.pro/gov/tenders/ua-2025-02-20-001195-a/lot-0d3368cde5af4256b3fb8ca0e6a2fd32" TargetMode="External"/><Relationship Id="rId195" Type="http://schemas.openxmlformats.org/officeDocument/2006/relationships/hyperlink" Target="https://zakupki.prom.ua/gov/tenders/UA-2023-03-21-011539-a/lot-80249b19db9144f998b08b5945f2f216" TargetMode="External"/><Relationship Id="rId1919" Type="http://schemas.openxmlformats.org/officeDocument/2006/relationships/hyperlink" Target="https://zakupivli.pro/gov/tenders/ua-2025-04-03-005470-a" TargetMode="External"/><Relationship Id="rId2083" Type="http://schemas.openxmlformats.org/officeDocument/2006/relationships/hyperlink" Target="https://my.zakupivli.pro/remote/dispatcher/state_purchase_view/60044037" TargetMode="External"/><Relationship Id="rId2290" Type="http://schemas.openxmlformats.org/officeDocument/2006/relationships/hyperlink" Target="https://zakupivli.pro/gov/tenders/ua-2025-09-09-009803-a" TargetMode="External"/><Relationship Id="rId2388" Type="http://schemas.openxmlformats.org/officeDocument/2006/relationships/hyperlink" Target="https://zakupivli.pro/gov/tenders/ua-2025-10-22-000889-a" TargetMode="External"/><Relationship Id="rId262" Type="http://schemas.openxmlformats.org/officeDocument/2006/relationships/hyperlink" Target="https://zakupki.prom.ua/gov/tenders/UA-2023-03-31-003446-a" TargetMode="External"/><Relationship Id="rId567" Type="http://schemas.openxmlformats.org/officeDocument/2006/relationships/hyperlink" Target="https://my.zakupivli.pro/remote/dispatcher/state_purchase_view/48114851" TargetMode="External"/><Relationship Id="rId1197" Type="http://schemas.openxmlformats.org/officeDocument/2006/relationships/hyperlink" Target="https://zakupivli.pro/gov/tenders/UA-2024-07-08-006915-a" TargetMode="External"/><Relationship Id="rId2150" Type="http://schemas.openxmlformats.org/officeDocument/2006/relationships/hyperlink" Target="https://zakupivli.pro/gov/tenders/ua-2025-06-25-007384-a" TargetMode="External"/><Relationship Id="rId2248" Type="http://schemas.openxmlformats.org/officeDocument/2006/relationships/hyperlink" Target="https://my.zakupivli.pro/remote/dispatcher/state_purchase_view/61268878" TargetMode="External"/><Relationship Id="rId122" Type="http://schemas.openxmlformats.org/officeDocument/2006/relationships/hyperlink" Target="https://zakupki.prom.ua/gov/tenders/UA-2023-02-24-003521-a/lot-70199d51c2624e4ead41842be2f5db6a" TargetMode="External"/><Relationship Id="rId774" Type="http://schemas.openxmlformats.org/officeDocument/2006/relationships/hyperlink" Target="https://my.zakupivli.pro/remote/dispatcher/state_purchase_view/48971877" TargetMode="External"/><Relationship Id="rId981" Type="http://schemas.openxmlformats.org/officeDocument/2006/relationships/hyperlink" Target="https://zakupivli.pro/gov/tenders/UA-2024-03-25-001382-a" TargetMode="External"/><Relationship Id="rId1057" Type="http://schemas.openxmlformats.org/officeDocument/2006/relationships/hyperlink" Target="https://zakupivli.pro/gov/tenders/UA-2024-04-12-009467-a" TargetMode="External"/><Relationship Id="rId2010" Type="http://schemas.openxmlformats.org/officeDocument/2006/relationships/hyperlink" Target="https://zakupivli.pro/gov/tenders/ua-2025-05-12-008899-a" TargetMode="External"/><Relationship Id="rId2455" Type="http://schemas.openxmlformats.org/officeDocument/2006/relationships/hyperlink" Target="https://zakupivli.pro/gov/tenders/ua-2025-11-17-012096-a" TargetMode="External"/><Relationship Id="rId427" Type="http://schemas.openxmlformats.org/officeDocument/2006/relationships/hyperlink" Target="https://zakupki.prom.ua/gov/tenders/UA-2023-08-10-004148-a/lot-60095470beea46aa904181de3a644481" TargetMode="External"/><Relationship Id="rId634" Type="http://schemas.openxmlformats.org/officeDocument/2006/relationships/hyperlink" Target="https://zakupivli.pro/gov/tenders/UA-2024-01-22-007945-a" TargetMode="External"/><Relationship Id="rId841" Type="http://schemas.openxmlformats.org/officeDocument/2006/relationships/hyperlink" Target="https://zakupivli.pro/gov/tenders/UA-2024-02-20-011051-a" TargetMode="External"/><Relationship Id="rId1264" Type="http://schemas.openxmlformats.org/officeDocument/2006/relationships/hyperlink" Target="https://my.zakupivli.pro/remote/dispatcher/state_purchase_view/52605307" TargetMode="External"/><Relationship Id="rId1471" Type="http://schemas.openxmlformats.org/officeDocument/2006/relationships/hyperlink" Target="https://my.zakupivli.pro/remote/dispatcher/state_purchase_view/54856641" TargetMode="External"/><Relationship Id="rId1569" Type="http://schemas.openxmlformats.org/officeDocument/2006/relationships/hyperlink" Target="https://zakupivli.pro/gov/tenders/ua-2024-12-26-007271-a" TargetMode="External"/><Relationship Id="rId2108" Type="http://schemas.openxmlformats.org/officeDocument/2006/relationships/hyperlink" Target="https://my.zakupivli.pro/remote/dispatcher/state_purchase_view/60215677" TargetMode="External"/><Relationship Id="rId2315" Type="http://schemas.openxmlformats.org/officeDocument/2006/relationships/hyperlink" Target="https://my.zakupivli.pro/remote/dispatcher/state_purchase_view/62151427" TargetMode="External"/><Relationship Id="rId2522" Type="http://schemas.openxmlformats.org/officeDocument/2006/relationships/hyperlink" Target="https://zakupivli.pro/gov/tenders/ua-2025-12-16-014109-a" TargetMode="External"/><Relationship Id="rId701" Type="http://schemas.openxmlformats.org/officeDocument/2006/relationships/hyperlink" Target="https://zakupivli.pro/gov/tenders/UA-2024-02-01-013588-a" TargetMode="External"/><Relationship Id="rId939" Type="http://schemas.openxmlformats.org/officeDocument/2006/relationships/hyperlink" Target="https://my.zakupivli.pro/remote/dispatcher/state_purchase_view/49736995" TargetMode="External"/><Relationship Id="rId1124" Type="http://schemas.openxmlformats.org/officeDocument/2006/relationships/hyperlink" Target="https://my.zakupivli.pro/remote/dispatcher/state_purchase_view/51250880" TargetMode="External"/><Relationship Id="rId1331" Type="http://schemas.openxmlformats.org/officeDocument/2006/relationships/hyperlink" Target="https://my.zakupivli.pro/remote/dispatcher/state_purchase_view/53297243" TargetMode="External"/><Relationship Id="rId1776" Type="http://schemas.openxmlformats.org/officeDocument/2006/relationships/hyperlink" Target="https://zakupivli.pro/gov/tenders/ua-2025-02-11-012151-a/lot-1f4d63afd42e4d30a8010bebe549fcab" TargetMode="External"/><Relationship Id="rId1983" Type="http://schemas.openxmlformats.org/officeDocument/2006/relationships/hyperlink" Target="https://my.zakupivli.pro/remote/dispatcher/state_purchase_view/59203411" TargetMode="External"/><Relationship Id="rId68" Type="http://schemas.openxmlformats.org/officeDocument/2006/relationships/hyperlink" Target="https://my.zakupki.prom.ua/remote/dispatcher/state_purchase_view/41401307" TargetMode="External"/><Relationship Id="rId1429" Type="http://schemas.openxmlformats.org/officeDocument/2006/relationships/hyperlink" Target="https://zakupivli.pro/gov/tenders/ua-2024-11-06-015235-a/lot-d69c8c45ec2f4c0fa5a82cd614829419" TargetMode="External"/><Relationship Id="rId1636" Type="http://schemas.openxmlformats.org/officeDocument/2006/relationships/hyperlink" Target="https://zakupivli.pro/gov/tenders/ua-2025-01-21-018552-a/lot-e49d6d865e6546d0964a02a5429b1c96" TargetMode="External"/><Relationship Id="rId1843" Type="http://schemas.openxmlformats.org/officeDocument/2006/relationships/hyperlink" Target="https://zakupivli.pro/gov/tenders/ua-2025-02-26-009008-a" TargetMode="External"/><Relationship Id="rId1703" Type="http://schemas.openxmlformats.org/officeDocument/2006/relationships/hyperlink" Target="https://my.zakupivli.pro/remote/dispatcher/state_purchase_view/57062513" TargetMode="External"/><Relationship Id="rId1910" Type="http://schemas.openxmlformats.org/officeDocument/2006/relationships/hyperlink" Target="https://zakupivli.pro/gov/tenders/ua-2025-03-27-007442-a/lot-cf460c0176b34ffb81814b741250f1bb" TargetMode="External"/><Relationship Id="rId284" Type="http://schemas.openxmlformats.org/officeDocument/2006/relationships/hyperlink" Target="https://zakupki.prom.ua/gov/tenders/UA-2023-04-03-010551-a" TargetMode="External"/><Relationship Id="rId491" Type="http://schemas.openxmlformats.org/officeDocument/2006/relationships/hyperlink" Target="https://my.zakupki.prom.ua/remote/dispatcher/state_purchase_view/45483418" TargetMode="External"/><Relationship Id="rId2172" Type="http://schemas.openxmlformats.org/officeDocument/2006/relationships/hyperlink" Target="https://zakupivli.pro/gov/tenders/ua-2025-07-09-000174-a/lot-449d5256fc8f43a6a12357b015f502c2" TargetMode="External"/><Relationship Id="rId144" Type="http://schemas.openxmlformats.org/officeDocument/2006/relationships/hyperlink" Target="https://my.zakupki.prom.ua/remote/dispatcher/state_purchase_view/41605571" TargetMode="External"/><Relationship Id="rId589" Type="http://schemas.openxmlformats.org/officeDocument/2006/relationships/hyperlink" Target="https://my.zakupivli.pro/remote/dispatcher/state_purchase_view/48292143" TargetMode="External"/><Relationship Id="rId796" Type="http://schemas.openxmlformats.org/officeDocument/2006/relationships/hyperlink" Target="https://zakupivli.pro/gov/tenders/UA-2024-02-08-001861-a" TargetMode="External"/><Relationship Id="rId2477" Type="http://schemas.openxmlformats.org/officeDocument/2006/relationships/hyperlink" Target="https://zakupivli.pro/gov/tenders/ua-2025-11-26-004231-a" TargetMode="External"/><Relationship Id="rId351" Type="http://schemas.openxmlformats.org/officeDocument/2006/relationships/hyperlink" Target="https://my.zakupki.prom.ua/remote/dispatcher/state_purchase_view/42556155" TargetMode="External"/><Relationship Id="rId449" Type="http://schemas.openxmlformats.org/officeDocument/2006/relationships/hyperlink" Target="https://zakupki.prom.ua/gov/tenders/UA-2023-08-29-004307-a/lot-29de64d61f3c4a659508a7ed55f85965" TargetMode="External"/><Relationship Id="rId656" Type="http://schemas.openxmlformats.org/officeDocument/2006/relationships/hyperlink" Target="https://zakupivli.pro/gov/tenders/UA-2024-01-24-009975-a/lot-004106e949e24df4a3df0d3e17208f6d" TargetMode="External"/><Relationship Id="rId863" Type="http://schemas.openxmlformats.org/officeDocument/2006/relationships/hyperlink" Target="https://my.zakupivli.pro/remote/dispatcher/state_purchase_view/49345061" TargetMode="External"/><Relationship Id="rId1079" Type="http://schemas.openxmlformats.org/officeDocument/2006/relationships/hyperlink" Target="https://zakupivli.pro/gov/tenders/UA-2024-05-06-000775-a" TargetMode="External"/><Relationship Id="rId1286" Type="http://schemas.openxmlformats.org/officeDocument/2006/relationships/hyperlink" Target="https://my.zakupivli.pro/remote/dispatcher/state_purchase_view/52706129" TargetMode="External"/><Relationship Id="rId1493" Type="http://schemas.openxmlformats.org/officeDocument/2006/relationships/hyperlink" Target="https://zakupivli.pro/gov/tenders/ua-2024-11-27-005230-a" TargetMode="External"/><Relationship Id="rId2032" Type="http://schemas.openxmlformats.org/officeDocument/2006/relationships/hyperlink" Target="https://zakupivli.pro/gov/tenders/ua-2025-05-22-003797-a" TargetMode="External"/><Relationship Id="rId2337" Type="http://schemas.openxmlformats.org/officeDocument/2006/relationships/hyperlink" Target="https://my.zakupivli.pro/remote/dispatcher/state_purchase_view/62325380" TargetMode="External"/><Relationship Id="rId2544" Type="http://schemas.openxmlformats.org/officeDocument/2006/relationships/hyperlink" Target="https://zakupivli.pro/gov/tenders/ua-2025-12-30-003216-a/lot-9bd4202deaf34e4999c044e480736b30" TargetMode="External"/><Relationship Id="rId211" Type="http://schemas.openxmlformats.org/officeDocument/2006/relationships/hyperlink" Target="https://my.zakupki.prom.ua/remote/dispatcher/state_purchase_view/41649991" TargetMode="External"/><Relationship Id="rId309" Type="http://schemas.openxmlformats.org/officeDocument/2006/relationships/hyperlink" Target="https://zakupki.prom.ua/gov/tenders/UA-2023-04-04-000133-a" TargetMode="External"/><Relationship Id="rId516" Type="http://schemas.openxmlformats.org/officeDocument/2006/relationships/hyperlink" Target="https://zakupivli.pro/gov/tenders/UA-2023-11-09-002876-a" TargetMode="External"/><Relationship Id="rId1146" Type="http://schemas.openxmlformats.org/officeDocument/2006/relationships/hyperlink" Target="https://zakupivli.pro/gov/tenders/UA-2024-06-10-003519-a" TargetMode="External"/><Relationship Id="rId1798" Type="http://schemas.openxmlformats.org/officeDocument/2006/relationships/hyperlink" Target="https://my.zakupivli.pro/remote/dispatcher/state_purchase_view/57469944" TargetMode="External"/><Relationship Id="rId723" Type="http://schemas.openxmlformats.org/officeDocument/2006/relationships/hyperlink" Target="https://my.zakupivli.pro/remote/dispatcher/state_purchase_view/48906057" TargetMode="External"/><Relationship Id="rId930" Type="http://schemas.openxmlformats.org/officeDocument/2006/relationships/hyperlink" Target="https://my.zakupivli.pro/remote/dispatcher/state_purchase_view/49689165" TargetMode="External"/><Relationship Id="rId1006" Type="http://schemas.openxmlformats.org/officeDocument/2006/relationships/hyperlink" Target="https://my.zakupivli.pro/remote/dispatcher/state_purchase_view/50131614" TargetMode="External"/><Relationship Id="rId1353" Type="http://schemas.openxmlformats.org/officeDocument/2006/relationships/hyperlink" Target="https://my.zakupivli.pro/remote/dispatcher/state_purchase_view/53577857" TargetMode="External"/><Relationship Id="rId1560" Type="http://schemas.openxmlformats.org/officeDocument/2006/relationships/hyperlink" Target="https://my.zakupivli.pro/remote/dispatcher/state_purchase_view/56211568" TargetMode="External"/><Relationship Id="rId1658" Type="http://schemas.openxmlformats.org/officeDocument/2006/relationships/hyperlink" Target="https://my.zakupivli.pro/remote/dispatcher/state_purchase_view/56940479" TargetMode="External"/><Relationship Id="rId1865" Type="http://schemas.openxmlformats.org/officeDocument/2006/relationships/hyperlink" Target="https://zakupivli.pro/gov/tenders/ua-2025-03-10-004948-a" TargetMode="External"/><Relationship Id="rId2404" Type="http://schemas.openxmlformats.org/officeDocument/2006/relationships/hyperlink" Target="https://my.zakupivli.pro/remote/dispatcher/state_purchase_view/63074278" TargetMode="External"/><Relationship Id="rId1213" Type="http://schemas.openxmlformats.org/officeDocument/2006/relationships/hyperlink" Target="https://my.zakupivli.pro/remote/dispatcher/state_purchase_view/52266655" TargetMode="External"/><Relationship Id="rId1420" Type="http://schemas.openxmlformats.org/officeDocument/2006/relationships/hyperlink" Target="https://zakupivli.pro/gov/tenders/ua-2024-11-01-000488-a" TargetMode="External"/><Relationship Id="rId1518" Type="http://schemas.openxmlformats.org/officeDocument/2006/relationships/hyperlink" Target="https://my.zakupivli.pro/remote/dispatcher/state_purchase_view/55872274" TargetMode="External"/><Relationship Id="rId1725" Type="http://schemas.openxmlformats.org/officeDocument/2006/relationships/hyperlink" Target="https://zakupivli.pro/gov/tenders/ua-2025-01-31-000377-a/lot-634ee94893dc45c28c4e9ce2ec0e4acb" TargetMode="External"/><Relationship Id="rId1932" Type="http://schemas.openxmlformats.org/officeDocument/2006/relationships/hyperlink" Target="https://zakupivli.pro/gov/tenders/ua-2025-04-07-011056-a" TargetMode="External"/><Relationship Id="rId17" Type="http://schemas.openxmlformats.org/officeDocument/2006/relationships/hyperlink" Target="https://my.zakupki.prom.ua/remote/dispatcher/state_purchase_view/39730352" TargetMode="External"/><Relationship Id="rId2194" Type="http://schemas.openxmlformats.org/officeDocument/2006/relationships/hyperlink" Target="https://my.zakupivli.pro/remote/dispatcher/state_purchase_view/60904007" TargetMode="External"/><Relationship Id="rId166" Type="http://schemas.openxmlformats.org/officeDocument/2006/relationships/hyperlink" Target="https://zakupki.prom.ua/gov/tenders/UA-2023-03-15-007484-a/lot-edc6c3a5c9f143a0941996a3cc36cef8" TargetMode="External"/><Relationship Id="rId373" Type="http://schemas.openxmlformats.org/officeDocument/2006/relationships/hyperlink" Target="https://my.zakupki.prom.ua/remote/dispatcher/state_purchase_view/43318727" TargetMode="External"/><Relationship Id="rId580" Type="http://schemas.openxmlformats.org/officeDocument/2006/relationships/hyperlink" Target="https://zakupivli.pro/gov/tenders/UA-2024-01-08-000900-a" TargetMode="External"/><Relationship Id="rId2054" Type="http://schemas.openxmlformats.org/officeDocument/2006/relationships/hyperlink" Target="https://zakupivli.pro/gov/tenders/ua-2025-06-03-009568-a" TargetMode="External"/><Relationship Id="rId2261" Type="http://schemas.openxmlformats.org/officeDocument/2006/relationships/hyperlink" Target="https://my.zakupivli.pro/remote/dispatcher/state_purchase_view/61345643" TargetMode="External"/><Relationship Id="rId2499" Type="http://schemas.openxmlformats.org/officeDocument/2006/relationships/hyperlink" Target="https://my.zakupivli.pro/remote/dispatcher/state_purchase_view/64324031" TargetMode="External"/><Relationship Id="rId1" Type="http://schemas.openxmlformats.org/officeDocument/2006/relationships/hyperlink" Target="https://zakupki.prom.ua/gov/tenders/UA-2022-11-08-012151-a/lot-9ee039b896a54960858560f927dd3687" TargetMode="External"/><Relationship Id="rId233" Type="http://schemas.openxmlformats.org/officeDocument/2006/relationships/hyperlink" Target="https://zakupki.prom.ua/gov/tenders/UA-2023-03-28-006365-a" TargetMode="External"/><Relationship Id="rId440" Type="http://schemas.openxmlformats.org/officeDocument/2006/relationships/hyperlink" Target="https://zakupki.prom.ua/gov/tenders/UA-2023-08-23-006676-a" TargetMode="External"/><Relationship Id="rId678" Type="http://schemas.openxmlformats.org/officeDocument/2006/relationships/hyperlink" Target="https://zakupivli.pro/gov/tenders/UA-2024-01-31-007241-a" TargetMode="External"/><Relationship Id="rId885" Type="http://schemas.openxmlformats.org/officeDocument/2006/relationships/hyperlink" Target="https://zakupivli.pro/gov/tenders/UA-2024-02-27-004245-a/lot-ffe8bed0f0154fb4b699b7235090558c" TargetMode="External"/><Relationship Id="rId1070" Type="http://schemas.openxmlformats.org/officeDocument/2006/relationships/hyperlink" Target="https://my.zakupivli.pro/remote/dispatcher/state_purchase_view/50678782" TargetMode="External"/><Relationship Id="rId2121" Type="http://schemas.openxmlformats.org/officeDocument/2006/relationships/hyperlink" Target="https://my.zakupivli.pro/remote/dispatcher/state_purchase_view/60237708" TargetMode="External"/><Relationship Id="rId2359" Type="http://schemas.openxmlformats.org/officeDocument/2006/relationships/hyperlink" Target="https://my.zakupivli.pro/remote/dispatcher/state_purchase_view/62631986" TargetMode="External"/><Relationship Id="rId300" Type="http://schemas.openxmlformats.org/officeDocument/2006/relationships/hyperlink" Target="https://my.zakupki.prom.ua/remote/dispatcher/state_purchase_view/41780913" TargetMode="External"/><Relationship Id="rId538" Type="http://schemas.openxmlformats.org/officeDocument/2006/relationships/hyperlink" Target="https://zakupivli.pro/gov/tenders/UA-2023-12-07-000379-a" TargetMode="External"/><Relationship Id="rId745" Type="http://schemas.openxmlformats.org/officeDocument/2006/relationships/hyperlink" Target="https://zakupivli.pro/gov/tenders/UA-2024-02-02-011124-a/lot-f08f3bbfaee243ae8b9e01cf1d2d9c5b" TargetMode="External"/><Relationship Id="rId952" Type="http://schemas.openxmlformats.org/officeDocument/2006/relationships/hyperlink" Target="https://my.zakupivli.pro/remote/dispatcher/state_purchase_view/49800155" TargetMode="External"/><Relationship Id="rId1168" Type="http://schemas.openxmlformats.org/officeDocument/2006/relationships/hyperlink" Target="https://my.zakupivli.pro/remote/dispatcher/state_purchase_view/51822469" TargetMode="External"/><Relationship Id="rId1375" Type="http://schemas.openxmlformats.org/officeDocument/2006/relationships/hyperlink" Target="https://my.zakupivli.pro/remote/dispatcher/state_purchase_view/53959780" TargetMode="External"/><Relationship Id="rId1582" Type="http://schemas.openxmlformats.org/officeDocument/2006/relationships/hyperlink" Target="https://zakupivli.pro/gov/tenders/ua-2025-01-03-000294-a" TargetMode="External"/><Relationship Id="rId2219" Type="http://schemas.openxmlformats.org/officeDocument/2006/relationships/hyperlink" Target="https://zakupivli.pro/gov/tenders/ua-2025-07-30-009195-a" TargetMode="External"/><Relationship Id="rId2426" Type="http://schemas.openxmlformats.org/officeDocument/2006/relationships/hyperlink" Target="https://my.zakupivli.pro/remote/dispatcher/state_purchase_view/63415282" TargetMode="External"/><Relationship Id="rId81" Type="http://schemas.openxmlformats.org/officeDocument/2006/relationships/hyperlink" Target="https://my.zakupki.prom.ua/remote/dispatcher/state_purchase_view/41328752" TargetMode="External"/><Relationship Id="rId605" Type="http://schemas.openxmlformats.org/officeDocument/2006/relationships/hyperlink" Target="https://my.zakupivli.pro/remote/dispatcher/state_purchase_view/48458403" TargetMode="External"/><Relationship Id="rId812" Type="http://schemas.openxmlformats.org/officeDocument/2006/relationships/hyperlink" Target="https://zakupivli.pro/gov/tenders/UA-2024-02-14-000408-a" TargetMode="External"/><Relationship Id="rId1028" Type="http://schemas.openxmlformats.org/officeDocument/2006/relationships/hyperlink" Target="https://my.zakupivli.pro/remote/dispatcher/state_purchase_view/50199730" TargetMode="External"/><Relationship Id="rId1235" Type="http://schemas.openxmlformats.org/officeDocument/2006/relationships/hyperlink" Target="https://my.zakupivli.pro/remote/dispatcher/state_purchase_view/52343625" TargetMode="External"/><Relationship Id="rId1442" Type="http://schemas.openxmlformats.org/officeDocument/2006/relationships/hyperlink" Target="https://zakupivli.pro/gov/tenders/ua-2024-11-12-010433-a" TargetMode="External"/><Relationship Id="rId1887" Type="http://schemas.openxmlformats.org/officeDocument/2006/relationships/hyperlink" Target="https://zakupivli.pro/gov/tenders/ua-2025-03-19-007714-a/lot-8c517341ff314607bccbe31b72bfd47b" TargetMode="External"/><Relationship Id="rId1302" Type="http://schemas.openxmlformats.org/officeDocument/2006/relationships/hyperlink" Target="https://zakupivli.pro/gov/tenders/UA-2024-08-16-008563-a/lot-45de53746c6340e5bb1629753e326403" TargetMode="External"/><Relationship Id="rId1747" Type="http://schemas.openxmlformats.org/officeDocument/2006/relationships/hyperlink" Target="https://zakupivli.pro/gov/tenders/ua-2025-02-05-014871-a" TargetMode="External"/><Relationship Id="rId1954" Type="http://schemas.openxmlformats.org/officeDocument/2006/relationships/hyperlink" Target="https://zakupivli.pro/gov/tenders/ua-2025-04-15-012874-a/lot-037bfe7693d2404097b959e850de27f4" TargetMode="External"/><Relationship Id="rId39" Type="http://schemas.openxmlformats.org/officeDocument/2006/relationships/hyperlink" Target="https://my.zakupki.prom.ua/remote/dispatcher/state_purchase_view/41520444" TargetMode="External"/><Relationship Id="rId1607" Type="http://schemas.openxmlformats.org/officeDocument/2006/relationships/hyperlink" Target="https://my.zakupivli.pro/remote/dispatcher/state_purchase_view/56511166" TargetMode="External"/><Relationship Id="rId1814" Type="http://schemas.openxmlformats.org/officeDocument/2006/relationships/hyperlink" Target="https://my.zakupivli.pro/remote/dispatcher/state_purchase_view/57593579" TargetMode="External"/><Relationship Id="rId188" Type="http://schemas.openxmlformats.org/officeDocument/2006/relationships/hyperlink" Target="https://zakupki.prom.ua/gov/tenders/UA-2023-03-20-010114-a" TargetMode="External"/><Relationship Id="rId395" Type="http://schemas.openxmlformats.org/officeDocument/2006/relationships/hyperlink" Target="https://my.zakupki.prom.ua/remote/dispatcher/state_purchase_view/43867505" TargetMode="External"/><Relationship Id="rId2076" Type="http://schemas.openxmlformats.org/officeDocument/2006/relationships/hyperlink" Target="https://my.zakupivli.pro/remote/dispatcher/state_purchase_view/60063461" TargetMode="External"/><Relationship Id="rId2283" Type="http://schemas.openxmlformats.org/officeDocument/2006/relationships/hyperlink" Target="https://my.zakupivli.pro/remote/dispatcher/state_purchase_view/61768919" TargetMode="External"/><Relationship Id="rId2490" Type="http://schemas.openxmlformats.org/officeDocument/2006/relationships/hyperlink" Target="https://my.zakupivli.pro/remote/dispatcher/state_purchase_view/64232970" TargetMode="External"/><Relationship Id="rId255" Type="http://schemas.openxmlformats.org/officeDocument/2006/relationships/hyperlink" Target="https://my.zakupki.prom.ua/remote/dispatcher/state_purchase_view/41740883" TargetMode="External"/><Relationship Id="rId462" Type="http://schemas.openxmlformats.org/officeDocument/2006/relationships/hyperlink" Target="https://my.zakupki.prom.ua/remote/dispatcher/state_purchase_view/45101986" TargetMode="External"/><Relationship Id="rId1092" Type="http://schemas.openxmlformats.org/officeDocument/2006/relationships/hyperlink" Target="https://my.zakupivli.pro/remote/dispatcher/state_purchase_view/50941180" TargetMode="External"/><Relationship Id="rId1397" Type="http://schemas.openxmlformats.org/officeDocument/2006/relationships/hyperlink" Target="https://my.zakupivli.pro/remote/dispatcher/state_purchase_view/54362853" TargetMode="External"/><Relationship Id="rId2143" Type="http://schemas.openxmlformats.org/officeDocument/2006/relationships/hyperlink" Target="https://zakupivli.pro/gov/tenders/ua-2025-06-24-000229-a" TargetMode="External"/><Relationship Id="rId2350" Type="http://schemas.openxmlformats.org/officeDocument/2006/relationships/hyperlink" Target="https://my.zakupivli.pro/remote/dispatcher/state_purchase_view/62399381" TargetMode="External"/><Relationship Id="rId115" Type="http://schemas.openxmlformats.org/officeDocument/2006/relationships/hyperlink" Target="https://zakupki.prom.ua/gov/tenders/UA-2023-02-15-003851-a" TargetMode="External"/><Relationship Id="rId322" Type="http://schemas.openxmlformats.org/officeDocument/2006/relationships/hyperlink" Target="https://my.zakupki.prom.ua/remote/dispatcher/state_purchase_view/42175596" TargetMode="External"/><Relationship Id="rId767" Type="http://schemas.openxmlformats.org/officeDocument/2006/relationships/hyperlink" Target="https://zakupivli.pro/gov/tenders/UA-2024-02-02-013046-a" TargetMode="External"/><Relationship Id="rId974" Type="http://schemas.openxmlformats.org/officeDocument/2006/relationships/hyperlink" Target="https://zakupivli.pro/gov/tenders/UA-2024-03-25-008603-a" TargetMode="External"/><Relationship Id="rId2003" Type="http://schemas.openxmlformats.org/officeDocument/2006/relationships/hyperlink" Target="https://my.zakupivli.pro/remote/dispatcher/state_purchase_view/59328070" TargetMode="External"/><Relationship Id="rId2210" Type="http://schemas.openxmlformats.org/officeDocument/2006/relationships/hyperlink" Target="https://my.zakupivli.pro/remote/dispatcher/state_purchase_view/60969813" TargetMode="External"/><Relationship Id="rId2448" Type="http://schemas.openxmlformats.org/officeDocument/2006/relationships/hyperlink" Target="https://zakupivli.pro/gov/tenders/ua-2025-11-14-013195-a" TargetMode="External"/><Relationship Id="rId627" Type="http://schemas.openxmlformats.org/officeDocument/2006/relationships/hyperlink" Target="https://my.zakupivli.pro/remote/dispatcher/state_purchase_view/48567018" TargetMode="External"/><Relationship Id="rId834" Type="http://schemas.openxmlformats.org/officeDocument/2006/relationships/hyperlink" Target="https://my.zakupivli.pro/remote/dispatcher/state_purchase_view/49299714" TargetMode="External"/><Relationship Id="rId1257" Type="http://schemas.openxmlformats.org/officeDocument/2006/relationships/hyperlink" Target="https://my.zakupivli.pro/remote/dispatcher/state_purchase_view/52587767" TargetMode="External"/><Relationship Id="rId1464" Type="http://schemas.openxmlformats.org/officeDocument/2006/relationships/hyperlink" Target="https://zakupivli.pro/gov/tenders/ua-2024-11-14-014124-a" TargetMode="External"/><Relationship Id="rId1671" Type="http://schemas.openxmlformats.org/officeDocument/2006/relationships/hyperlink" Target="https://my.zakupivli.pro/remote/dispatcher/state_purchase_view/56944415" TargetMode="External"/><Relationship Id="rId2308" Type="http://schemas.openxmlformats.org/officeDocument/2006/relationships/hyperlink" Target="https://my.zakupivli.pro/remote/dispatcher/state_purchase_view/62023565" TargetMode="External"/><Relationship Id="rId2515" Type="http://schemas.openxmlformats.org/officeDocument/2006/relationships/hyperlink" Target="https://my.zakupivli.pro/remote/dispatcher/state_purchase_view/64532447" TargetMode="External"/><Relationship Id="rId901" Type="http://schemas.openxmlformats.org/officeDocument/2006/relationships/hyperlink" Target="https://my.zakupivli.pro/remote/dispatcher/state_purchase_view/49571405" TargetMode="External"/><Relationship Id="rId1117" Type="http://schemas.openxmlformats.org/officeDocument/2006/relationships/hyperlink" Target="https://zakupivli.pro/gov/tenders/UA-2024-05-23-000094-a" TargetMode="External"/><Relationship Id="rId1324" Type="http://schemas.openxmlformats.org/officeDocument/2006/relationships/hyperlink" Target="https://my.zakupivli.pro/remote/dispatcher/state_purchase_view/53237037" TargetMode="External"/><Relationship Id="rId1531" Type="http://schemas.openxmlformats.org/officeDocument/2006/relationships/hyperlink" Target="https://my.zakupivli.pro/remote/dispatcher/state_purchase_view/55973222" TargetMode="External"/><Relationship Id="rId1769" Type="http://schemas.openxmlformats.org/officeDocument/2006/relationships/hyperlink" Target="https://my.zakupivli.pro/remote/dispatcher/state_purchase_view/57380194" TargetMode="External"/><Relationship Id="rId1976" Type="http://schemas.openxmlformats.org/officeDocument/2006/relationships/hyperlink" Target="https://my.zakupivli.pro/remote/dispatcher/state_purchase_view/59213415" TargetMode="External"/><Relationship Id="rId30" Type="http://schemas.openxmlformats.org/officeDocument/2006/relationships/hyperlink" Target="https://my.zakupki.prom.ua/remote/dispatcher/state_purchase_view/40518990" TargetMode="External"/><Relationship Id="rId1629" Type="http://schemas.openxmlformats.org/officeDocument/2006/relationships/hyperlink" Target="https://my.zakupivli.pro/remote/dispatcher/state_purchase_view/56767093" TargetMode="External"/><Relationship Id="rId1836" Type="http://schemas.openxmlformats.org/officeDocument/2006/relationships/hyperlink" Target="https://my.zakupivli.pro/remote/dispatcher/state_purchase_view/57738530" TargetMode="External"/><Relationship Id="rId1903" Type="http://schemas.openxmlformats.org/officeDocument/2006/relationships/hyperlink" Target="https://my.zakupivli.pro/remote/dispatcher/state_purchase_view/58391456" TargetMode="External"/><Relationship Id="rId2098" Type="http://schemas.openxmlformats.org/officeDocument/2006/relationships/hyperlink" Target="https://my.zakupivli.pro/remote/dispatcher/state_purchase_view/60193349" TargetMode="External"/><Relationship Id="rId277" Type="http://schemas.openxmlformats.org/officeDocument/2006/relationships/hyperlink" Target="https://my.zakupki.prom.ua/remote/dispatcher/state_purchase_view/41776988" TargetMode="External"/><Relationship Id="rId484" Type="http://schemas.openxmlformats.org/officeDocument/2006/relationships/hyperlink" Target="https://zakupki.prom.ua/gov/plans/UA-P-2023-09-22-000194-b" TargetMode="External"/><Relationship Id="rId2165" Type="http://schemas.openxmlformats.org/officeDocument/2006/relationships/hyperlink" Target="https://my.zakupivli.pro/remote/dispatcher/state_purchase_view/60539705" TargetMode="External"/><Relationship Id="rId137" Type="http://schemas.openxmlformats.org/officeDocument/2006/relationships/hyperlink" Target="https://zakupki.prom.ua/gov/tenders/UA-2023-03-06-002447-a/lot-3a8d621a9b3540369fac9ecbfa26297d" TargetMode="External"/><Relationship Id="rId344" Type="http://schemas.openxmlformats.org/officeDocument/2006/relationships/hyperlink" Target="https://zakupki.prom.ua/gov/tenders/UA-2023-05-04-010968-a" TargetMode="External"/><Relationship Id="rId691" Type="http://schemas.openxmlformats.org/officeDocument/2006/relationships/hyperlink" Target="https://my.zakupivli.pro/remote/dispatcher/state_purchase_view/48832012" TargetMode="External"/><Relationship Id="rId789" Type="http://schemas.openxmlformats.org/officeDocument/2006/relationships/hyperlink" Target="https://my.zakupivli.pro/remote/dispatcher/state_purchase_view/49027323" TargetMode="External"/><Relationship Id="rId996" Type="http://schemas.openxmlformats.org/officeDocument/2006/relationships/hyperlink" Target="https://my.zakupivli.pro/remote/dispatcher/state_purchase_view/49990340" TargetMode="External"/><Relationship Id="rId2025" Type="http://schemas.openxmlformats.org/officeDocument/2006/relationships/hyperlink" Target="https://my.zakupivli.pro/remote/dispatcher/state_purchase_view/59525958" TargetMode="External"/><Relationship Id="rId2372" Type="http://schemas.openxmlformats.org/officeDocument/2006/relationships/hyperlink" Target="https://zakupivli.pro/gov/tenders/ua-2025-10-21-008894-a" TargetMode="External"/><Relationship Id="rId551" Type="http://schemas.openxmlformats.org/officeDocument/2006/relationships/hyperlink" Target="https://my.zakupivli.pro/remote/dispatcher/state_purchase_view/48103321" TargetMode="External"/><Relationship Id="rId649" Type="http://schemas.openxmlformats.org/officeDocument/2006/relationships/hyperlink" Target="https://my.zakupivli.pro/remote/dispatcher/state_purchase_view/48638355" TargetMode="External"/><Relationship Id="rId856" Type="http://schemas.openxmlformats.org/officeDocument/2006/relationships/hyperlink" Target="https://my.zakupivli.pro/remote/dispatcher/state_purchase_view/49312342" TargetMode="External"/><Relationship Id="rId1181" Type="http://schemas.openxmlformats.org/officeDocument/2006/relationships/hyperlink" Target="https://zakupivli.pro/gov/tenders/UA-2024-06-25-000567-a" TargetMode="External"/><Relationship Id="rId1279" Type="http://schemas.openxmlformats.org/officeDocument/2006/relationships/hyperlink" Target="https://my.zakupivli.pro/remote/dispatcher/state_purchase_view/52749428" TargetMode="External"/><Relationship Id="rId1486" Type="http://schemas.openxmlformats.org/officeDocument/2006/relationships/hyperlink" Target="https://my.zakupivli.pro/remote/dispatcher/state_purchase_view/55155829" TargetMode="External"/><Relationship Id="rId2232" Type="http://schemas.openxmlformats.org/officeDocument/2006/relationships/hyperlink" Target="https://zakupivli.pro/gov/tenders/ua-2025-08-06-006869-a" TargetMode="External"/><Relationship Id="rId2537" Type="http://schemas.openxmlformats.org/officeDocument/2006/relationships/hyperlink" Target="https://my.zakupivli.pro/remote/dispatcher/state_purchase_view/64820212" TargetMode="External"/><Relationship Id="rId204" Type="http://schemas.openxmlformats.org/officeDocument/2006/relationships/hyperlink" Target="https://zakupki.prom.ua/gov/tenders/UA-2023-03-23-010434-a" TargetMode="External"/><Relationship Id="rId411" Type="http://schemas.openxmlformats.org/officeDocument/2006/relationships/hyperlink" Target="https://zakupki.prom.ua/gov/tenders/UA-2023-08-01-000893-a/lot-746cdfb4e2ef4d19877b6e765de0c497" TargetMode="External"/><Relationship Id="rId509" Type="http://schemas.openxmlformats.org/officeDocument/2006/relationships/hyperlink" Target="https://my.zakupivli.pro/remote/dispatcher/state_purchase_view/46171200" TargetMode="External"/><Relationship Id="rId1041" Type="http://schemas.openxmlformats.org/officeDocument/2006/relationships/hyperlink" Target="https://my.zakupivli.pro/remote/dispatcher/state_purchase_view/50293396" TargetMode="External"/><Relationship Id="rId1139" Type="http://schemas.openxmlformats.org/officeDocument/2006/relationships/hyperlink" Target="https://zakupivli.pro/gov/tenders/UA-2024-05-31-006948-a" TargetMode="External"/><Relationship Id="rId1346" Type="http://schemas.openxmlformats.org/officeDocument/2006/relationships/hyperlink" Target="https://my.zakupivli.pro/remote/dispatcher/state_purchase_view/53490995" TargetMode="External"/><Relationship Id="rId1693" Type="http://schemas.openxmlformats.org/officeDocument/2006/relationships/hyperlink" Target="https://zakupivli.pro/gov/tenders/ua-2025-01-27-016390-a/lot-bce7f642a8d543b19c64fef566732ced" TargetMode="External"/><Relationship Id="rId1998" Type="http://schemas.openxmlformats.org/officeDocument/2006/relationships/hyperlink" Target="https://my.zakupivli.pro/remote/dispatcher/state_purchase_view/59271695" TargetMode="External"/><Relationship Id="rId716" Type="http://schemas.openxmlformats.org/officeDocument/2006/relationships/hyperlink" Target="https://zakupivli.pro/gov/tenders/UA-2024-02-02-012574-a" TargetMode="External"/><Relationship Id="rId923" Type="http://schemas.openxmlformats.org/officeDocument/2006/relationships/hyperlink" Target="https://zakupivli.pro/gov/tenders/UA-2024-03-06-001512-a" TargetMode="External"/><Relationship Id="rId1553" Type="http://schemas.openxmlformats.org/officeDocument/2006/relationships/hyperlink" Target="https://my.zakupivli.pro/remote/dispatcher/state_purchase_view/56157266" TargetMode="External"/><Relationship Id="rId1760" Type="http://schemas.openxmlformats.org/officeDocument/2006/relationships/hyperlink" Target="https://zakupivli.pro/gov/tenders/ua-2025-02-07-007901-a" TargetMode="External"/><Relationship Id="rId1858" Type="http://schemas.openxmlformats.org/officeDocument/2006/relationships/hyperlink" Target="https://zakupivli.pro/gov/tenders/ua-2025-03-05-003221-a/lot-7ac74d20a64546aa9c2f00b03b7918b9" TargetMode="External"/><Relationship Id="rId52" Type="http://schemas.openxmlformats.org/officeDocument/2006/relationships/hyperlink" Target="https://my.zakupki.prom.ua/remote/dispatcher/state_purchase_view/41510975" TargetMode="External"/><Relationship Id="rId1206" Type="http://schemas.openxmlformats.org/officeDocument/2006/relationships/hyperlink" Target="https://my.zakupivli.pro/remote/dispatcher/state_purchase_view/52186008" TargetMode="External"/><Relationship Id="rId1413" Type="http://schemas.openxmlformats.org/officeDocument/2006/relationships/hyperlink" Target="https://my.zakupivli.pro/remote/dispatcher/state_purchase_view/54453684" TargetMode="External"/><Relationship Id="rId1620" Type="http://schemas.openxmlformats.org/officeDocument/2006/relationships/hyperlink" Target="https://zakupivli.pro/gov/tenders/ua-2025-01-16-005603-a" TargetMode="External"/><Relationship Id="rId1718" Type="http://schemas.openxmlformats.org/officeDocument/2006/relationships/hyperlink" Target="https://my.zakupivli.pro/remote/dispatcher/state_purchase_view/57084914" TargetMode="External"/><Relationship Id="rId1925" Type="http://schemas.openxmlformats.org/officeDocument/2006/relationships/hyperlink" Target="https://my.zakupivli.pro/remote/dispatcher/state_purchase_view/58599401" TargetMode="External"/><Relationship Id="rId299" Type="http://schemas.openxmlformats.org/officeDocument/2006/relationships/hyperlink" Target="https://my.zakupki.prom.ua/remote/dispatcher/state_purchase_view/41781166" TargetMode="External"/><Relationship Id="rId2187" Type="http://schemas.openxmlformats.org/officeDocument/2006/relationships/hyperlink" Target="https://my.zakupivli.pro/remote/dispatcher/state_purchase_view/60852937" TargetMode="External"/><Relationship Id="rId2394" Type="http://schemas.openxmlformats.org/officeDocument/2006/relationships/hyperlink" Target="https://zakupivli.pro/gov/tenders/ua-2025-10-23-009386-a" TargetMode="External"/><Relationship Id="rId159" Type="http://schemas.openxmlformats.org/officeDocument/2006/relationships/hyperlink" Target="https://zakupki.prom.ua/gov/tenders/UA-2023-03-14-007942-a" TargetMode="External"/><Relationship Id="rId366" Type="http://schemas.openxmlformats.org/officeDocument/2006/relationships/hyperlink" Target="https://my.zakupki.prom.ua/remote/dispatcher/state_purchase_view/43050145" TargetMode="External"/><Relationship Id="rId573" Type="http://schemas.openxmlformats.org/officeDocument/2006/relationships/hyperlink" Target="https://my.zakupivli.pro/remote/dispatcher/state_purchase_view/48185148" TargetMode="External"/><Relationship Id="rId780" Type="http://schemas.openxmlformats.org/officeDocument/2006/relationships/hyperlink" Target="https://zakupivli.pro/gov/tenders/UA-2024-02-06-009098-a" TargetMode="External"/><Relationship Id="rId2047" Type="http://schemas.openxmlformats.org/officeDocument/2006/relationships/hyperlink" Target="https://zakupivli.pro/gov/tenders/ua-2025-05-30-006154-a" TargetMode="External"/><Relationship Id="rId2254" Type="http://schemas.openxmlformats.org/officeDocument/2006/relationships/hyperlink" Target="https://my.zakupivli.pro/remote/dispatcher/state_purchase_view/61285293" TargetMode="External"/><Relationship Id="rId2461" Type="http://schemas.openxmlformats.org/officeDocument/2006/relationships/hyperlink" Target="https://my.zakupivli.pro/remote/dispatcher/state_purchase_view/63612742" TargetMode="External"/><Relationship Id="rId226" Type="http://schemas.openxmlformats.org/officeDocument/2006/relationships/hyperlink" Target="https://zakupki.prom.ua/gov/tenders/UA-2023-03-28-005807-a" TargetMode="External"/><Relationship Id="rId433" Type="http://schemas.openxmlformats.org/officeDocument/2006/relationships/hyperlink" Target="https://zakupki.prom.ua/gov/tenders/UA-2023-08-15-005675-a/lot-e037d4ca0fec46879f3d99f83852f7e2" TargetMode="External"/><Relationship Id="rId878" Type="http://schemas.openxmlformats.org/officeDocument/2006/relationships/hyperlink" Target="https://zakupivli.pro/gov/tenders/UA-2024-02-23-002262-a" TargetMode="External"/><Relationship Id="rId1063" Type="http://schemas.openxmlformats.org/officeDocument/2006/relationships/hyperlink" Target="https://zakupivli.pro/gov/tenders/UA-2024-04-18-012162-a/lot-0e3b9723f71d48d78613891998020cd8" TargetMode="External"/><Relationship Id="rId1270" Type="http://schemas.openxmlformats.org/officeDocument/2006/relationships/hyperlink" Target="https://my.zakupivli.pro/remote/dispatcher/state_purchase_view/52855486" TargetMode="External"/><Relationship Id="rId2114" Type="http://schemas.openxmlformats.org/officeDocument/2006/relationships/hyperlink" Target="https://zakupivli.pro/gov/tenders/ua-2025-06-19-007122-a" TargetMode="External"/><Relationship Id="rId640" Type="http://schemas.openxmlformats.org/officeDocument/2006/relationships/hyperlink" Target="https://my.zakupivli.pro/remote/dispatcher/state_purchase_view/48579121" TargetMode="External"/><Relationship Id="rId738" Type="http://schemas.openxmlformats.org/officeDocument/2006/relationships/hyperlink" Target="https://zakupivli.pro/gov/tenders/UA-2024-02-02-011459-a" TargetMode="External"/><Relationship Id="rId945" Type="http://schemas.openxmlformats.org/officeDocument/2006/relationships/hyperlink" Target="https://zakupivli.pro/gov/tenders/UA-2024-03-12-008558-a" TargetMode="External"/><Relationship Id="rId1368" Type="http://schemas.openxmlformats.org/officeDocument/2006/relationships/hyperlink" Target="https://my.zakupivli.pro/remote/dispatcher/state_purchase_view/53763368" TargetMode="External"/><Relationship Id="rId1575" Type="http://schemas.openxmlformats.org/officeDocument/2006/relationships/hyperlink" Target="https://my.zakupivli.pro/remote/dispatcher/state_purchase_view/56334419" TargetMode="External"/><Relationship Id="rId1782" Type="http://schemas.openxmlformats.org/officeDocument/2006/relationships/hyperlink" Target="https://my.zakupivli.pro/remote/dispatcher/state_purchase_view/57441860" TargetMode="External"/><Relationship Id="rId2321" Type="http://schemas.openxmlformats.org/officeDocument/2006/relationships/hyperlink" Target="https://my.zakupivli.pro/remote/dispatcher/state_purchase_view/62233171" TargetMode="External"/><Relationship Id="rId2419" Type="http://schemas.openxmlformats.org/officeDocument/2006/relationships/hyperlink" Target="https://my.zakupivli.pro/remote/dispatcher/state_purchase_view/63231111" TargetMode="External"/><Relationship Id="rId74" Type="http://schemas.openxmlformats.org/officeDocument/2006/relationships/hyperlink" Target="https://my.zakupki.prom.ua/remote/dispatcher/state_purchase_view/41336632" TargetMode="External"/><Relationship Id="rId500" Type="http://schemas.openxmlformats.org/officeDocument/2006/relationships/hyperlink" Target="https://zakupivli.pro/gov/tenders/UA-2023-10-10-013153-a" TargetMode="External"/><Relationship Id="rId805" Type="http://schemas.openxmlformats.org/officeDocument/2006/relationships/hyperlink" Target="https://zakupivli.pro/gov/tenders/UA-2024-02-08-013211-a/lot-11eae538e2d8458fb9212bf62078e3d5" TargetMode="External"/><Relationship Id="rId1130" Type="http://schemas.openxmlformats.org/officeDocument/2006/relationships/hyperlink" Target="https://zakupivli.pro/gov/tenders/UA-2024-05-27-006163-a" TargetMode="External"/><Relationship Id="rId1228" Type="http://schemas.openxmlformats.org/officeDocument/2006/relationships/hyperlink" Target="https://my.zakupivli.pro/remote/dispatcher/state_purchase_view/52315339" TargetMode="External"/><Relationship Id="rId1435" Type="http://schemas.openxmlformats.org/officeDocument/2006/relationships/hyperlink" Target="https://my.zakupivli.pro/remote/dispatcher/state_purchase_view/54640544" TargetMode="External"/><Relationship Id="rId1642" Type="http://schemas.openxmlformats.org/officeDocument/2006/relationships/hyperlink" Target="https://my.zakupivli.pro/remote/dispatcher/state_purchase_view/56811498" TargetMode="External"/><Relationship Id="rId1947" Type="http://schemas.openxmlformats.org/officeDocument/2006/relationships/hyperlink" Target="https://my.zakupivli.pro/remote/dispatcher/state_purchase_view/58679096" TargetMode="External"/><Relationship Id="rId1502" Type="http://schemas.openxmlformats.org/officeDocument/2006/relationships/hyperlink" Target="https://my.zakupivli.pro/remote/dispatcher/state_purchase_view/55492800" TargetMode="External"/><Relationship Id="rId1807" Type="http://schemas.openxmlformats.org/officeDocument/2006/relationships/hyperlink" Target="https://my.zakupivli.pro/remote/dispatcher/state_purchase_view/57524423" TargetMode="External"/><Relationship Id="rId290" Type="http://schemas.openxmlformats.org/officeDocument/2006/relationships/hyperlink" Target="https://zakupki.prom.ua/gov/tenders/UA-2023-04-04-000406-a" TargetMode="External"/><Relationship Id="rId388" Type="http://schemas.openxmlformats.org/officeDocument/2006/relationships/hyperlink" Target="https://my.zakupki.prom.ua/remote/dispatcher/state_purchase_view/44182962" TargetMode="External"/><Relationship Id="rId2069" Type="http://schemas.openxmlformats.org/officeDocument/2006/relationships/hyperlink" Target="https://zakupivli.pro/gov/tenders/ua-2025-06-06-006809-a" TargetMode="External"/><Relationship Id="rId150" Type="http://schemas.openxmlformats.org/officeDocument/2006/relationships/hyperlink" Target="https://zakupki.prom.ua/gov/tenders/UA-2023-03-10-000312-a/lot-689cc8606a08419eb717148a960b8e1c" TargetMode="External"/><Relationship Id="rId595" Type="http://schemas.openxmlformats.org/officeDocument/2006/relationships/hyperlink" Target="https://zakupivli.pro/gov/tenders/UA-2024-01-13-000371-a" TargetMode="External"/><Relationship Id="rId2276" Type="http://schemas.openxmlformats.org/officeDocument/2006/relationships/hyperlink" Target="https://my.zakupivli.pro/remote/dispatcher/state_purchase_view/61669257" TargetMode="External"/><Relationship Id="rId2483" Type="http://schemas.openxmlformats.org/officeDocument/2006/relationships/hyperlink" Target="https://my.zakupivli.pro/remote/dispatcher/state_purchase_view/63938966" TargetMode="External"/><Relationship Id="rId248" Type="http://schemas.openxmlformats.org/officeDocument/2006/relationships/hyperlink" Target="https://zakupki.prom.ua/gov/tenders/UA-2023-03-30-002930-a" TargetMode="External"/><Relationship Id="rId455" Type="http://schemas.openxmlformats.org/officeDocument/2006/relationships/hyperlink" Target="https://zakupki.prom.ua/gov/tenders/UA-2023-08-31-001699-a" TargetMode="External"/><Relationship Id="rId662" Type="http://schemas.openxmlformats.org/officeDocument/2006/relationships/hyperlink" Target="https://my.zakupivli.pro/remote/dispatcher/state_purchase_view/48686589" TargetMode="External"/><Relationship Id="rId1085" Type="http://schemas.openxmlformats.org/officeDocument/2006/relationships/hyperlink" Target="https://zakupivli.pro/gov/tenders/UA-2024-05-08-000784-a" TargetMode="External"/><Relationship Id="rId1292" Type="http://schemas.openxmlformats.org/officeDocument/2006/relationships/hyperlink" Target="https://zakupivli.pro/gov/tenders/UA-2024-08-22-003941-a" TargetMode="External"/><Relationship Id="rId2136" Type="http://schemas.openxmlformats.org/officeDocument/2006/relationships/hyperlink" Target="https://my.zakupivli.pro/remote/dispatcher/state_purchase_view/60293760" TargetMode="External"/><Relationship Id="rId2343" Type="http://schemas.openxmlformats.org/officeDocument/2006/relationships/hyperlink" Target="https://my.zakupivli.pro/remote/dispatcher/state_purchase_view/62378982" TargetMode="External"/><Relationship Id="rId108" Type="http://schemas.openxmlformats.org/officeDocument/2006/relationships/hyperlink" Target="https://my.zakupki.prom.ua/remote/dispatcher/state_purchase_view/40865081" TargetMode="External"/><Relationship Id="rId315" Type="http://schemas.openxmlformats.org/officeDocument/2006/relationships/hyperlink" Target="https://zakupki.prom.ua/gov/tenders/UA-2023-04-07-001645-a/lot-5e7b108dfd3a4c3c94c9a7185a2cf0c2" TargetMode="External"/><Relationship Id="rId522" Type="http://schemas.openxmlformats.org/officeDocument/2006/relationships/hyperlink" Target="https://zakupivli.pro/gov/tenders/UA-2023-11-28-012959-a" TargetMode="External"/><Relationship Id="rId967" Type="http://schemas.openxmlformats.org/officeDocument/2006/relationships/hyperlink" Target="https://zakupivli.pro/gov/tenders/UA-2024-03-18-007381-a" TargetMode="External"/><Relationship Id="rId1152" Type="http://schemas.openxmlformats.org/officeDocument/2006/relationships/hyperlink" Target="https://my.zakupivli.pro/remote/dispatcher/state_purchase_view/51621292" TargetMode="External"/><Relationship Id="rId1597" Type="http://schemas.openxmlformats.org/officeDocument/2006/relationships/hyperlink" Target="https://zakupivli.pro/gov/tenders/ua-2025-01-07-003941-a/lot-b62fd9b22d1245d9a8b4c094ea7037e6" TargetMode="External"/><Relationship Id="rId2203" Type="http://schemas.openxmlformats.org/officeDocument/2006/relationships/hyperlink" Target="https://my.zakupivli.pro/remote/dispatcher/state_purchase_view/60961667" TargetMode="External"/><Relationship Id="rId2410" Type="http://schemas.openxmlformats.org/officeDocument/2006/relationships/hyperlink" Target="https://zakupivli.pro/gov/tenders/ua-2025-10-30-000554-a" TargetMode="External"/><Relationship Id="rId96" Type="http://schemas.openxmlformats.org/officeDocument/2006/relationships/hyperlink" Target="https://my.zakupki.prom.ua/remote/dispatcher/state_purchase_view/41189546" TargetMode="External"/><Relationship Id="rId827" Type="http://schemas.openxmlformats.org/officeDocument/2006/relationships/hyperlink" Target="https://my.zakupivli.pro/remote/dispatcher/state_purchase_view/49303427" TargetMode="External"/><Relationship Id="rId1012" Type="http://schemas.openxmlformats.org/officeDocument/2006/relationships/hyperlink" Target="https://zakupivli.pro/gov/tenders/UA-2024-04-01-005080-a" TargetMode="External"/><Relationship Id="rId1457" Type="http://schemas.openxmlformats.org/officeDocument/2006/relationships/hyperlink" Target="https://zakupivli.pro/gov/tenders/ua-2024-11-14-015224-a" TargetMode="External"/><Relationship Id="rId1664" Type="http://schemas.openxmlformats.org/officeDocument/2006/relationships/hyperlink" Target="https://zakupivli.pro/gov/tenders/ua-2025-01-27-013389-a/lot-24b32a68a0114d39b27e6c59ff10b19f" TargetMode="External"/><Relationship Id="rId1871" Type="http://schemas.openxmlformats.org/officeDocument/2006/relationships/hyperlink" Target="https://zakupivli.pro/gov/tenders/ua-2025-03-13-009703-a" TargetMode="External"/><Relationship Id="rId2508" Type="http://schemas.openxmlformats.org/officeDocument/2006/relationships/hyperlink" Target="https://my.zakupivli.pro/remote/dispatcher/state_purchase_view/64539743" TargetMode="External"/><Relationship Id="rId1317" Type="http://schemas.openxmlformats.org/officeDocument/2006/relationships/hyperlink" Target="https://zakupivli.pro/gov/tenders/UA-2024-09-06-000103-a" TargetMode="External"/><Relationship Id="rId1524" Type="http://schemas.openxmlformats.org/officeDocument/2006/relationships/hyperlink" Target="https://zakupivli.pro/gov/tenders/ua-2024-12-17-020706-a/lot-c9c271d6a6ab49e8b5d1d79964e6819d" TargetMode="External"/><Relationship Id="rId1731" Type="http://schemas.openxmlformats.org/officeDocument/2006/relationships/hyperlink" Target="https://my.zakupivli.pro/remote/dispatcher/state_purchase_view/57121076" TargetMode="External"/><Relationship Id="rId1969" Type="http://schemas.openxmlformats.org/officeDocument/2006/relationships/hyperlink" Target="https://zakupivli.pro/gov/tenders/ua-2025-04-30-002643-a" TargetMode="External"/><Relationship Id="rId23" Type="http://schemas.openxmlformats.org/officeDocument/2006/relationships/hyperlink" Target="https://zakupki.prom.ua/gov/tenders/UA-2023-01-17-001173-a" TargetMode="External"/><Relationship Id="rId1829" Type="http://schemas.openxmlformats.org/officeDocument/2006/relationships/hyperlink" Target="https://zakupivli.pro/gov/tenders/ua-2025-02-21-001736-a" TargetMode="External"/><Relationship Id="rId2298" Type="http://schemas.openxmlformats.org/officeDocument/2006/relationships/hyperlink" Target="https://zakupivli.pro/gov/tenders/ua-2025-09-12-011145-a" TargetMode="External"/><Relationship Id="rId172" Type="http://schemas.openxmlformats.org/officeDocument/2006/relationships/hyperlink" Target="https://zakupki.prom.ua/gov/tenders/UA-2023-03-15-006643-a/lot-180bdd35deb848879dd33002934b78b7" TargetMode="External"/><Relationship Id="rId477" Type="http://schemas.openxmlformats.org/officeDocument/2006/relationships/hyperlink" Target="https://zakupki.prom.ua/gov/tenders/UA-2023-09-18-004898-a" TargetMode="External"/><Relationship Id="rId684" Type="http://schemas.openxmlformats.org/officeDocument/2006/relationships/hyperlink" Target="https://zakupivli.pro/gov/tenders/UA-2024-01-31-007699-a" TargetMode="External"/><Relationship Id="rId2060" Type="http://schemas.openxmlformats.org/officeDocument/2006/relationships/hyperlink" Target="https://my.zakupivli.pro/remote/dispatcher/state_purchase_view/59900219" TargetMode="External"/><Relationship Id="rId2158" Type="http://schemas.openxmlformats.org/officeDocument/2006/relationships/hyperlink" Target="https://my.zakupivli.pro/remote/dispatcher/state_purchase_view/60534949" TargetMode="External"/><Relationship Id="rId2365" Type="http://schemas.openxmlformats.org/officeDocument/2006/relationships/hyperlink" Target="https://zakupivli.pro/gov/tenders/ua-2025-10-17-012120-a" TargetMode="External"/><Relationship Id="rId337" Type="http://schemas.openxmlformats.org/officeDocument/2006/relationships/hyperlink" Target="https://zakupki.prom.ua/gov/tenders/UA-2023-04-27-001496-a" TargetMode="External"/><Relationship Id="rId891" Type="http://schemas.openxmlformats.org/officeDocument/2006/relationships/hyperlink" Target="https://zakupivli.pro/gov/tenders/UA-2024-02-28-002778-a/lot-7e7d7871dd1d422facc0d678d34387f7" TargetMode="External"/><Relationship Id="rId989" Type="http://schemas.openxmlformats.org/officeDocument/2006/relationships/hyperlink" Target="https://zakupivli.pro/gov/tenders/UA-2024-03-25-000827-a" TargetMode="External"/><Relationship Id="rId2018" Type="http://schemas.openxmlformats.org/officeDocument/2006/relationships/hyperlink" Target="https://zakupivli.pro/gov/tenders/ua-2025-05-16-000275-a" TargetMode="External"/><Relationship Id="rId544" Type="http://schemas.openxmlformats.org/officeDocument/2006/relationships/hyperlink" Target="https://zakupivli.pro/gov/tenders/UA-2023-12-21-014486-a/lot-02a54ebb58694dfb9f557643406e227e" TargetMode="External"/><Relationship Id="rId751" Type="http://schemas.openxmlformats.org/officeDocument/2006/relationships/hyperlink" Target="https://zakupivli.pro/gov/tenders/UA-2024-02-02-012790-a" TargetMode="External"/><Relationship Id="rId849" Type="http://schemas.openxmlformats.org/officeDocument/2006/relationships/hyperlink" Target="https://zakupivli.pro/gov/tenders/UA-2024-02-20-009222-a" TargetMode="External"/><Relationship Id="rId1174" Type="http://schemas.openxmlformats.org/officeDocument/2006/relationships/hyperlink" Target="https://my.zakupivli.pro/remote/dispatcher/state_purchase_view/51817090" TargetMode="External"/><Relationship Id="rId1381" Type="http://schemas.openxmlformats.org/officeDocument/2006/relationships/hyperlink" Target="https://my.zakupivli.pro/remote/dispatcher/state_purchase_view/54094727" TargetMode="External"/><Relationship Id="rId1479" Type="http://schemas.openxmlformats.org/officeDocument/2006/relationships/hyperlink" Target="https://zakupivli.pro/gov/tenders/ua-2024-11-15-003479-a/lot-11880c4fa9ad415190f2e963dc3ffcfd" TargetMode="External"/><Relationship Id="rId1686" Type="http://schemas.openxmlformats.org/officeDocument/2006/relationships/hyperlink" Target="https://my.zakupivli.pro/remote/dispatcher/state_purchase_view/56948967" TargetMode="External"/><Relationship Id="rId2225" Type="http://schemas.openxmlformats.org/officeDocument/2006/relationships/hyperlink" Target="https://zakupivli.pro/gov/tenders/ua-2025-08-01-006413-a" TargetMode="External"/><Relationship Id="rId2432" Type="http://schemas.openxmlformats.org/officeDocument/2006/relationships/hyperlink" Target="https://zakupivli.pro/gov/tenders/ua-2025-11-12-008473-a" TargetMode="External"/><Relationship Id="rId404" Type="http://schemas.openxmlformats.org/officeDocument/2006/relationships/hyperlink" Target="https://zakupki.prom.ua/gov/tenders/UA-2023-07-27-007665-a" TargetMode="External"/><Relationship Id="rId611" Type="http://schemas.openxmlformats.org/officeDocument/2006/relationships/hyperlink" Target="https://my.zakupivli.pro/remote/dispatcher/state_purchase_view/48461006" TargetMode="External"/><Relationship Id="rId1034" Type="http://schemas.openxmlformats.org/officeDocument/2006/relationships/hyperlink" Target="https://my.zakupivli.pro/remote/dispatcher/state_purchase_view/50221480" TargetMode="External"/><Relationship Id="rId1241" Type="http://schemas.openxmlformats.org/officeDocument/2006/relationships/hyperlink" Target="https://zakupivli.pro/gov/tenders/UA-2024-07-25-003656-a" TargetMode="External"/><Relationship Id="rId1339" Type="http://schemas.openxmlformats.org/officeDocument/2006/relationships/hyperlink" Target="https://my.zakupivli.pro/remote/dispatcher/state_purchase_view/53451774" TargetMode="External"/><Relationship Id="rId1893" Type="http://schemas.openxmlformats.org/officeDocument/2006/relationships/hyperlink" Target="https://my.zakupivli.pro/remote/dispatcher/state_purchase_view/58282446" TargetMode="External"/><Relationship Id="rId709" Type="http://schemas.openxmlformats.org/officeDocument/2006/relationships/hyperlink" Target="https://my.zakupivli.pro/remote/dispatcher/state_purchase_view/48907505" TargetMode="External"/><Relationship Id="rId916" Type="http://schemas.openxmlformats.org/officeDocument/2006/relationships/hyperlink" Target="https://my.zakupivli.pro/remote/dispatcher/state_purchase_view/49581286" TargetMode="External"/><Relationship Id="rId1101" Type="http://schemas.openxmlformats.org/officeDocument/2006/relationships/hyperlink" Target="https://zakupivli.pro/gov/tenders/UA-2024-05-13-000046-a" TargetMode="External"/><Relationship Id="rId1546" Type="http://schemas.openxmlformats.org/officeDocument/2006/relationships/hyperlink" Target="https://zakupivli.pro/gov/tenders/ua-2024-12-23-011949-a/lot-9f8ce52257bd4588893567d880c0eefb" TargetMode="External"/><Relationship Id="rId1753" Type="http://schemas.openxmlformats.org/officeDocument/2006/relationships/hyperlink" Target="https://zakupivli.pro/gov/tenders/ua-2025-02-05-002451-a/lot-cdef295c5eb14b61baed22f44fad4796" TargetMode="External"/><Relationship Id="rId1960" Type="http://schemas.openxmlformats.org/officeDocument/2006/relationships/hyperlink" Target="https://zakupivli.pro/gov/tenders/ua-2025-04-17-010179-a" TargetMode="External"/><Relationship Id="rId45" Type="http://schemas.openxmlformats.org/officeDocument/2006/relationships/hyperlink" Target="https://my.zakupki.prom.ua/remote/dispatcher/state_purchase_view/41519753" TargetMode="External"/><Relationship Id="rId1406" Type="http://schemas.openxmlformats.org/officeDocument/2006/relationships/hyperlink" Target="https://zakupivli.pro/gov/tenders/ua-2024-10-30-007644-a" TargetMode="External"/><Relationship Id="rId1613" Type="http://schemas.openxmlformats.org/officeDocument/2006/relationships/hyperlink" Target="https://zakupivli.pro/gov/tenders/ua-2025-01-14-003223-a/lot-ceb60723e7cf47e0a6baf1ad44570098" TargetMode="External"/><Relationship Id="rId1820" Type="http://schemas.openxmlformats.org/officeDocument/2006/relationships/hyperlink" Target="https://zakupivli.pro/gov/tenders/ua-2025-02-20-002410-a/lot-30d758f496b443a298ed49fde3b279b3" TargetMode="External"/><Relationship Id="rId194" Type="http://schemas.openxmlformats.org/officeDocument/2006/relationships/hyperlink" Target="https://zakupki.prom.ua/gov/tenders/UA-2023-03-20-006270-a" TargetMode="External"/><Relationship Id="rId1918" Type="http://schemas.openxmlformats.org/officeDocument/2006/relationships/hyperlink" Target="https://my.zakupivli.pro/remote/dispatcher/state_purchase_view/58476155" TargetMode="External"/><Relationship Id="rId2082" Type="http://schemas.openxmlformats.org/officeDocument/2006/relationships/hyperlink" Target="https://my.zakupivli.pro/remote/dispatcher/state_purchase_view/60044361" TargetMode="External"/><Relationship Id="rId261" Type="http://schemas.openxmlformats.org/officeDocument/2006/relationships/hyperlink" Target="https://zakupki.prom.ua/gov/tenders/UA-2023-03-31-004318-a" TargetMode="External"/><Relationship Id="rId499" Type="http://schemas.openxmlformats.org/officeDocument/2006/relationships/hyperlink" Target="https://my.zakupivli.pro/remote/dispatcher/state_purchase_view/45776105" TargetMode="External"/><Relationship Id="rId2387" Type="http://schemas.openxmlformats.org/officeDocument/2006/relationships/hyperlink" Target="https://zakupivli.pro/gov/tenders/ua-2025-10-22-001628-a" TargetMode="External"/><Relationship Id="rId359" Type="http://schemas.openxmlformats.org/officeDocument/2006/relationships/hyperlink" Target="https://zakupki.prom.ua/gov/tenders/UA-2023-05-11-005095-a" TargetMode="External"/><Relationship Id="rId566" Type="http://schemas.openxmlformats.org/officeDocument/2006/relationships/hyperlink" Target="https://zakupivli.pro/gov/tenders/UA-2023-12-29-000125-a" TargetMode="External"/><Relationship Id="rId773" Type="http://schemas.openxmlformats.org/officeDocument/2006/relationships/hyperlink" Target="https://my.zakupivli.pro/remote/dispatcher/state_purchase_view/48971877" TargetMode="External"/><Relationship Id="rId1196" Type="http://schemas.openxmlformats.org/officeDocument/2006/relationships/hyperlink" Target="https://zakupivli.pro/gov/tenders/UA-2024-07-08-006396-a" TargetMode="External"/><Relationship Id="rId2247" Type="http://schemas.openxmlformats.org/officeDocument/2006/relationships/hyperlink" Target="https://my.zakupivli.pro/remote/dispatcher/state_purchase_view/61271746" TargetMode="External"/><Relationship Id="rId2454" Type="http://schemas.openxmlformats.org/officeDocument/2006/relationships/hyperlink" Target="https://zakupivli.pro/gov/tenders/ua-2025-11-17-012429-a" TargetMode="External"/><Relationship Id="rId121" Type="http://schemas.openxmlformats.org/officeDocument/2006/relationships/hyperlink" Target="https://zakupki.prom.ua/gov/tenders/UA-2023-02-22-011861-a/lot-d7a0185df6804d63930b70d492a10077" TargetMode="External"/><Relationship Id="rId219" Type="http://schemas.openxmlformats.org/officeDocument/2006/relationships/hyperlink" Target="https://zakupki.prom.ua/gov/tenders/UA-2023-03-27-005875-a" TargetMode="External"/><Relationship Id="rId426" Type="http://schemas.openxmlformats.org/officeDocument/2006/relationships/hyperlink" Target="https://zakupki.prom.ua/gov/tenders/UA-2023-08-08-008804-a" TargetMode="External"/><Relationship Id="rId633" Type="http://schemas.openxmlformats.org/officeDocument/2006/relationships/hyperlink" Target="https://zakupivli.pro/gov/tenders/UA-2024-01-22-008156-a" TargetMode="External"/><Relationship Id="rId980" Type="http://schemas.openxmlformats.org/officeDocument/2006/relationships/hyperlink" Target="https://zakupivli.pro/gov/tenders/UA-2024-03-25-001472-a" TargetMode="External"/><Relationship Id="rId1056" Type="http://schemas.openxmlformats.org/officeDocument/2006/relationships/hyperlink" Target="https://my.zakupivli.pro/remote/dispatcher/state_purchase_view/50398330" TargetMode="External"/><Relationship Id="rId1263" Type="http://schemas.openxmlformats.org/officeDocument/2006/relationships/hyperlink" Target="https://my.zakupivli.pro/remote/dispatcher/state_purchase_view/52605117" TargetMode="External"/><Relationship Id="rId2107" Type="http://schemas.openxmlformats.org/officeDocument/2006/relationships/hyperlink" Target="https://my.zakupivli.pro/remote/dispatcher/state_purchase_view/60215788" TargetMode="External"/><Relationship Id="rId2314" Type="http://schemas.openxmlformats.org/officeDocument/2006/relationships/hyperlink" Target="https://my.zakupivli.pro/remote/dispatcher/state_purchase_view/62161705" TargetMode="External"/><Relationship Id="rId840" Type="http://schemas.openxmlformats.org/officeDocument/2006/relationships/hyperlink" Target="https://zakupivli.pro/gov/tenders/UA-2024-02-20-011273-a" TargetMode="External"/><Relationship Id="rId938" Type="http://schemas.openxmlformats.org/officeDocument/2006/relationships/hyperlink" Target="https://my.zakupivli.pro/remote/dispatcher/state_purchase_view/49737240" TargetMode="External"/><Relationship Id="rId1470" Type="http://schemas.openxmlformats.org/officeDocument/2006/relationships/hyperlink" Target="https://my.zakupivli.pro/remote/dispatcher/state_purchase_view/54856895" TargetMode="External"/><Relationship Id="rId1568" Type="http://schemas.openxmlformats.org/officeDocument/2006/relationships/hyperlink" Target="https://zakupivli.pro/gov/tenders/ua-2024-12-26-008861-a" TargetMode="External"/><Relationship Id="rId1775" Type="http://schemas.openxmlformats.org/officeDocument/2006/relationships/hyperlink" Target="https://zakupivli.pro/gov/tenders/ua-2025-02-11-014703-a/lot-ba32cb5fde3b4a99a211f91c31c3949e" TargetMode="External"/><Relationship Id="rId2521" Type="http://schemas.openxmlformats.org/officeDocument/2006/relationships/hyperlink" Target="https://zakupivli.pro/gov/tenders/ua-2025-12-16-014725-a" TargetMode="External"/><Relationship Id="rId67" Type="http://schemas.openxmlformats.org/officeDocument/2006/relationships/hyperlink" Target="https://my.zakupki.prom.ua/remote/dispatcher/state_purchase_view/41425999" TargetMode="External"/><Relationship Id="rId700" Type="http://schemas.openxmlformats.org/officeDocument/2006/relationships/hyperlink" Target="https://my.zakupivli.pro/remote/dispatcher/state_purchase_view/48872463" TargetMode="External"/><Relationship Id="rId1123" Type="http://schemas.openxmlformats.org/officeDocument/2006/relationships/hyperlink" Target="https://my.zakupivli.pro/remote/dispatcher/state_purchase_view/51251183" TargetMode="External"/><Relationship Id="rId1330" Type="http://schemas.openxmlformats.org/officeDocument/2006/relationships/hyperlink" Target="https://my.zakupivli.pro/remote/dispatcher/state_purchase_view/53295317" TargetMode="External"/><Relationship Id="rId1428" Type="http://schemas.openxmlformats.org/officeDocument/2006/relationships/hyperlink" Target="https://my.zakupivli.pro/remote/dispatcher/state_purchase_view/54588242" TargetMode="External"/><Relationship Id="rId1635" Type="http://schemas.openxmlformats.org/officeDocument/2006/relationships/hyperlink" Target="https://zakupivli.pro/gov/tenders/ua-2025-01-21-018882-a" TargetMode="External"/><Relationship Id="rId1982" Type="http://schemas.openxmlformats.org/officeDocument/2006/relationships/hyperlink" Target="https://my.zakupivli.pro/remote/dispatcher/state_purchase_view/59204270" TargetMode="External"/><Relationship Id="rId1842" Type="http://schemas.openxmlformats.org/officeDocument/2006/relationships/hyperlink" Target="https://zakupivli.pro/gov/tenders/ua-2025-02-26-010814-a" TargetMode="External"/><Relationship Id="rId1702" Type="http://schemas.openxmlformats.org/officeDocument/2006/relationships/hyperlink" Target="https://my.zakupivli.pro/remote/dispatcher/state_purchase_view/57062513" TargetMode="External"/><Relationship Id="rId283" Type="http://schemas.openxmlformats.org/officeDocument/2006/relationships/hyperlink" Target="https://zakupki.prom.ua/gov/tenders/UA-2023-04-03-010464-a" TargetMode="External"/><Relationship Id="rId490" Type="http://schemas.openxmlformats.org/officeDocument/2006/relationships/hyperlink" Target="https://zakupki.prom.ua/gov/tenders/UA-2023-09-27-006761-a" TargetMode="External"/><Relationship Id="rId2171" Type="http://schemas.openxmlformats.org/officeDocument/2006/relationships/hyperlink" Target="https://zakupivli.pro/gov/tenders/ua-2025-07-09-000191-a/lot-51b0a06de7194763a783cd2b89d2328b" TargetMode="External"/><Relationship Id="rId143" Type="http://schemas.openxmlformats.org/officeDocument/2006/relationships/hyperlink" Target="https://my.zakupki.prom.ua/remote/dispatcher/state_purchase_view/41605692" TargetMode="External"/><Relationship Id="rId350" Type="http://schemas.openxmlformats.org/officeDocument/2006/relationships/hyperlink" Target="https://my.zakupki.prom.ua/remote/dispatcher/state_purchase_view/42556376" TargetMode="External"/><Relationship Id="rId588" Type="http://schemas.openxmlformats.org/officeDocument/2006/relationships/hyperlink" Target="https://zakupivli.pro/gov/tenders/UA-2024-01-08-003981-a" TargetMode="External"/><Relationship Id="rId795" Type="http://schemas.openxmlformats.org/officeDocument/2006/relationships/hyperlink" Target="https://zakupivli.pro/gov/tenders/UA-2024-02-08-002073-a" TargetMode="External"/><Relationship Id="rId2031" Type="http://schemas.openxmlformats.org/officeDocument/2006/relationships/hyperlink" Target="https://my.zakupivli.pro/remote/dispatcher/state_purchase_view/59596873" TargetMode="External"/><Relationship Id="rId2269" Type="http://schemas.openxmlformats.org/officeDocument/2006/relationships/hyperlink" Target="https://zakupivli.pro/gov/tenders/ua-2025-08-26-008283-a" TargetMode="External"/><Relationship Id="rId2476" Type="http://schemas.openxmlformats.org/officeDocument/2006/relationships/hyperlink" Target="https://zakupivli.pro/gov/tenders/ua-2025-11-26-004413-a" TargetMode="External"/><Relationship Id="rId9" Type="http://schemas.openxmlformats.org/officeDocument/2006/relationships/hyperlink" Target="https://zakupki.prom.ua/gov/tenders/UA-2022-11-17-006126-a" TargetMode="External"/><Relationship Id="rId210" Type="http://schemas.openxmlformats.org/officeDocument/2006/relationships/hyperlink" Target="https://my.zakupki.prom.ua/remote/dispatcher/state_purchase_view/41650806" TargetMode="External"/><Relationship Id="rId448" Type="http://schemas.openxmlformats.org/officeDocument/2006/relationships/hyperlink" Target="https://my.zakupki.prom.ua/remote/dispatcher/state_purchase_view/44807604" TargetMode="External"/><Relationship Id="rId655" Type="http://schemas.openxmlformats.org/officeDocument/2006/relationships/hyperlink" Target="https://zakupivli.pro/gov/tenders/UA-2024-01-24-010255-a/lot-b5cfed231d4b4152ab260cca11cb8fc9" TargetMode="External"/><Relationship Id="rId862" Type="http://schemas.openxmlformats.org/officeDocument/2006/relationships/hyperlink" Target="https://my.zakupivli.pro/remote/dispatcher/state_purchase_view/49347008" TargetMode="External"/><Relationship Id="rId1078" Type="http://schemas.openxmlformats.org/officeDocument/2006/relationships/hyperlink" Target="https://my.zakupivli.pro/remote/dispatcher/state_purchase_view/50828435" TargetMode="External"/><Relationship Id="rId1285" Type="http://schemas.openxmlformats.org/officeDocument/2006/relationships/hyperlink" Target="https://my.zakupivli.pro/remote/dispatcher/state_purchase_view/52687668" TargetMode="External"/><Relationship Id="rId1492" Type="http://schemas.openxmlformats.org/officeDocument/2006/relationships/hyperlink" Target="https://zakupivli.pro/gov/tenders/ua-2024-11-27-011735-a/lot-005bd18e83f34633b7d96ff26d4c1a03" TargetMode="External"/><Relationship Id="rId2129" Type="http://schemas.openxmlformats.org/officeDocument/2006/relationships/hyperlink" Target="https://my.zakupivli.pro/remote/dispatcher/state_purchase_view/60270749" TargetMode="External"/><Relationship Id="rId2336" Type="http://schemas.openxmlformats.org/officeDocument/2006/relationships/hyperlink" Target="https://zakupivli.pro/gov/tenders/ua-2025-09-29-006196-a" TargetMode="External"/><Relationship Id="rId2543" Type="http://schemas.openxmlformats.org/officeDocument/2006/relationships/hyperlink" Target="https://zakupivli.pro/gov/tenders/ua-2025-12-30-003408-a/lot-ec90244ead9f4ba795635cb2145c2bf4" TargetMode="External"/><Relationship Id="rId308" Type="http://schemas.openxmlformats.org/officeDocument/2006/relationships/hyperlink" Target="https://zakupki.prom.ua/gov/tenders/UA-2023-04-04-000406-a" TargetMode="External"/><Relationship Id="rId515" Type="http://schemas.openxmlformats.org/officeDocument/2006/relationships/hyperlink" Target="https://zakupivli.pro/gov/tenders/UA-2023-11-09-003211-a" TargetMode="External"/><Relationship Id="rId722" Type="http://schemas.openxmlformats.org/officeDocument/2006/relationships/hyperlink" Target="https://my.zakupivli.pro/remote/dispatcher/state_purchase_view/48906057" TargetMode="External"/><Relationship Id="rId1145" Type="http://schemas.openxmlformats.org/officeDocument/2006/relationships/hyperlink" Target="https://my.zakupivli.pro/remote/dispatcher/state_purchase_view/51515365" TargetMode="External"/><Relationship Id="rId1352" Type="http://schemas.openxmlformats.org/officeDocument/2006/relationships/hyperlink" Target="https://my.zakupivli.pro/remote/dispatcher/state_purchase_view/53583248" TargetMode="External"/><Relationship Id="rId1797" Type="http://schemas.openxmlformats.org/officeDocument/2006/relationships/hyperlink" Target="https://my.zakupivli.pro/remote/dispatcher/state_purchase_view/57475723" TargetMode="External"/><Relationship Id="rId2403" Type="http://schemas.openxmlformats.org/officeDocument/2006/relationships/hyperlink" Target="https://my.zakupivli.pro/remote/dispatcher/state_purchase_view/63098968" TargetMode="External"/><Relationship Id="rId89" Type="http://schemas.openxmlformats.org/officeDocument/2006/relationships/hyperlink" Target="https://my.zakupki.prom.ua/remote/dispatcher/state_purchase_view/41196363" TargetMode="External"/><Relationship Id="rId1005" Type="http://schemas.openxmlformats.org/officeDocument/2006/relationships/hyperlink" Target="https://my.zakupivli.pro/remote/dispatcher/state_purchase_view/50132155" TargetMode="External"/><Relationship Id="rId1212" Type="http://schemas.openxmlformats.org/officeDocument/2006/relationships/hyperlink" Target="https://my.zakupivli.pro/remote/dispatcher/state_purchase_view/52265646" TargetMode="External"/><Relationship Id="rId1657" Type="http://schemas.openxmlformats.org/officeDocument/2006/relationships/hyperlink" Target="https://my.zakupivli.pro/remote/dispatcher/state_purchase_view/56941334" TargetMode="External"/><Relationship Id="rId1864" Type="http://schemas.openxmlformats.org/officeDocument/2006/relationships/hyperlink" Target="https://my.zakupivli.pro/remote/dispatcher/state_purchase_view/57971178" TargetMode="External"/><Relationship Id="rId1517" Type="http://schemas.openxmlformats.org/officeDocument/2006/relationships/hyperlink" Target="https://zakupivli.pro/gov/tenders/ua-2024-12-16-012032-a" TargetMode="External"/><Relationship Id="rId1724" Type="http://schemas.openxmlformats.org/officeDocument/2006/relationships/hyperlink" Target="https://zakupivli.pro/gov/tenders/ua-2025-01-31-000377-a/lot-3f4121e2ea834d82a18b9dc6570e8d81" TargetMode="External"/><Relationship Id="rId16" Type="http://schemas.openxmlformats.org/officeDocument/2006/relationships/hyperlink" Target="https://zakupki.prom.ua/gov/tenders/UA-2022-12-26-003873-a" TargetMode="External"/><Relationship Id="rId1931" Type="http://schemas.openxmlformats.org/officeDocument/2006/relationships/hyperlink" Target="https://zakupivli.pro/gov/tenders/ua-2025-04-07-011210-a" TargetMode="External"/><Relationship Id="rId2193" Type="http://schemas.openxmlformats.org/officeDocument/2006/relationships/hyperlink" Target="https://my.zakupivli.pro/remote/dispatcher/state_purchase_view/60904191" TargetMode="External"/><Relationship Id="rId2498" Type="http://schemas.openxmlformats.org/officeDocument/2006/relationships/hyperlink" Target="https://zakupivli.pro/gov/tenders/ua-2025-12-09-000784-a" TargetMode="External"/><Relationship Id="rId165" Type="http://schemas.openxmlformats.org/officeDocument/2006/relationships/hyperlink" Target="https://zakupki.prom.ua/gov/tenders/UA-2023-03-15-007635-a/lot-9472c9640321404dbb064380085b89c8" TargetMode="External"/><Relationship Id="rId372" Type="http://schemas.openxmlformats.org/officeDocument/2006/relationships/hyperlink" Target="https://my.zakupki.prom.ua/remote/dispatcher/state_purchase_view/43702002" TargetMode="External"/><Relationship Id="rId677" Type="http://schemas.openxmlformats.org/officeDocument/2006/relationships/hyperlink" Target="https://my.zakupivli.pro/remote/dispatcher/state_purchase_view/48824211" TargetMode="External"/><Relationship Id="rId2053" Type="http://schemas.openxmlformats.org/officeDocument/2006/relationships/hyperlink" Target="https://zakupivli.pro/gov/tenders/ua-2025-06-03-009863-a" TargetMode="External"/><Relationship Id="rId2260" Type="http://schemas.openxmlformats.org/officeDocument/2006/relationships/hyperlink" Target="https://my.zakupivli.pro/remote/dispatcher/state_purchase_view/61348521" TargetMode="External"/><Relationship Id="rId2358" Type="http://schemas.openxmlformats.org/officeDocument/2006/relationships/hyperlink" Target="https://zakupivli.pro/gov/tenders/ua-2025-10-09-013818-a" TargetMode="External"/><Relationship Id="rId232" Type="http://schemas.openxmlformats.org/officeDocument/2006/relationships/hyperlink" Target="https://zakupki.prom.ua/gov/tenders/UA-2023-03-28-006674-a" TargetMode="External"/><Relationship Id="rId884" Type="http://schemas.openxmlformats.org/officeDocument/2006/relationships/hyperlink" Target="https://my.zakupivli.pro/remote/dispatcher/state_purchase_view/49447825" TargetMode="External"/><Relationship Id="rId2120" Type="http://schemas.openxmlformats.org/officeDocument/2006/relationships/hyperlink" Target="https://my.zakupivli.pro/remote/dispatcher/state_purchase_view/60237997" TargetMode="External"/><Relationship Id="rId537" Type="http://schemas.openxmlformats.org/officeDocument/2006/relationships/hyperlink" Target="https://my.zakupivli.pro/remote/dispatcher/state_purchase_view/47342805" TargetMode="External"/><Relationship Id="rId744" Type="http://schemas.openxmlformats.org/officeDocument/2006/relationships/hyperlink" Target="https://my.zakupivli.pro/remote/dispatcher/state_purchase_view/48903252" TargetMode="External"/><Relationship Id="rId951" Type="http://schemas.openxmlformats.org/officeDocument/2006/relationships/hyperlink" Target="https://zakupivli.pro/gov/tenders/UA-2024-03-13-002658-a/lot-41c91a583c6b4d88b089ca96a9f09369" TargetMode="External"/><Relationship Id="rId1167" Type="http://schemas.openxmlformats.org/officeDocument/2006/relationships/hyperlink" Target="https://zakupivli.pro/gov/tenders/UA-2024-06-20-010026-a" TargetMode="External"/><Relationship Id="rId1374" Type="http://schemas.openxmlformats.org/officeDocument/2006/relationships/hyperlink" Target="https://my.zakupivli.pro/remote/dispatcher/state_purchase_view/53984270" TargetMode="External"/><Relationship Id="rId1581" Type="http://schemas.openxmlformats.org/officeDocument/2006/relationships/hyperlink" Target="https://zakupivli.pro/gov/tenders/ua-2025-01-03-000567-a" TargetMode="External"/><Relationship Id="rId1679" Type="http://schemas.openxmlformats.org/officeDocument/2006/relationships/hyperlink" Target="https://my.zakupivli.pro/remote/dispatcher/state_purchase_view/56946120" TargetMode="External"/><Relationship Id="rId2218" Type="http://schemas.openxmlformats.org/officeDocument/2006/relationships/hyperlink" Target="https://zakupivli.pro/gov/tenders/ua-2025-07-30-009282-a" TargetMode="External"/><Relationship Id="rId2425" Type="http://schemas.openxmlformats.org/officeDocument/2006/relationships/hyperlink" Target="https://my.zakupivli.pro/remote/dispatcher/state_purchase_view/63417448" TargetMode="External"/><Relationship Id="rId80" Type="http://schemas.openxmlformats.org/officeDocument/2006/relationships/hyperlink" Target="https://my.zakupki.prom.ua/remote/dispatcher/state_purchase_view/41328762" TargetMode="External"/><Relationship Id="rId604" Type="http://schemas.openxmlformats.org/officeDocument/2006/relationships/hyperlink" Target="https://zakupivli.pro/gov/tenders/UA-2024-01-17-005247-a" TargetMode="External"/><Relationship Id="rId811" Type="http://schemas.openxmlformats.org/officeDocument/2006/relationships/hyperlink" Target="https://zakupivli.pro/gov/tenders/UA-2024-02-14-000440-a" TargetMode="External"/><Relationship Id="rId1027" Type="http://schemas.openxmlformats.org/officeDocument/2006/relationships/hyperlink" Target="https://my.zakupivli.pro/remote/dispatcher/state_purchase_view/50200087" TargetMode="External"/><Relationship Id="rId1234" Type="http://schemas.openxmlformats.org/officeDocument/2006/relationships/hyperlink" Target="https://my.zakupivli.pro/remote/dispatcher/state_purchase_view/52342173" TargetMode="External"/><Relationship Id="rId1441" Type="http://schemas.openxmlformats.org/officeDocument/2006/relationships/hyperlink" Target="https://my.zakupivli.pro/remote/dispatcher/state_purchase_view/54732316" TargetMode="External"/><Relationship Id="rId1886" Type="http://schemas.openxmlformats.org/officeDocument/2006/relationships/hyperlink" Target="https://zakupivli.pro/gov/tenders/ua-2025-03-19-012800-a" TargetMode="External"/><Relationship Id="rId909" Type="http://schemas.openxmlformats.org/officeDocument/2006/relationships/hyperlink" Target="https://zakupivli.pro/gov/tenders/UA-2024-03-04-011096-a/lot-803edfe76803430491a2a5e9cc16bc1c" TargetMode="External"/><Relationship Id="rId1301" Type="http://schemas.openxmlformats.org/officeDocument/2006/relationships/hyperlink" Target="https://zakupivli.pro/gov/tenders/UA-2024-08-16-008358-a/lot-b9419c8bfa9f4b428da81c1e04e0bece" TargetMode="External"/><Relationship Id="rId1539" Type="http://schemas.openxmlformats.org/officeDocument/2006/relationships/hyperlink" Target="https://zakupivli.pro/gov/tenders/ua-2024-12-19-008061-a/lot-4f3ca28a506440b7aac92e4c4b38309e" TargetMode="External"/><Relationship Id="rId1746" Type="http://schemas.openxmlformats.org/officeDocument/2006/relationships/hyperlink" Target="https://my.zakupivli.pro/remote/dispatcher/state_purchase_view/57204593" TargetMode="External"/><Relationship Id="rId1953" Type="http://schemas.openxmlformats.org/officeDocument/2006/relationships/hyperlink" Target="https://my.zakupivli.pro/remote/dispatcher/state_purchase_view/58774811" TargetMode="External"/><Relationship Id="rId38" Type="http://schemas.openxmlformats.org/officeDocument/2006/relationships/hyperlink" Target="https://my.zakupki.prom.ua/remote/dispatcher/state_purchase_view/41520613" TargetMode="External"/><Relationship Id="rId1606" Type="http://schemas.openxmlformats.org/officeDocument/2006/relationships/hyperlink" Target="https://my.zakupivli.pro/remote/dispatcher/state_purchase_view/56516163" TargetMode="External"/><Relationship Id="rId1813" Type="http://schemas.openxmlformats.org/officeDocument/2006/relationships/hyperlink" Target="https://my.zakupivli.pro/remote/dispatcher/state_purchase_view/57593579" TargetMode="External"/><Relationship Id="rId187" Type="http://schemas.openxmlformats.org/officeDocument/2006/relationships/hyperlink" Target="https://zakupki.prom.ua/gov/tenders/UA-2023-03-20-010178-a" TargetMode="External"/><Relationship Id="rId394" Type="http://schemas.openxmlformats.org/officeDocument/2006/relationships/hyperlink" Target="https://my.zakupki.prom.ua/remote/dispatcher/state_purchase_view/43891512" TargetMode="External"/><Relationship Id="rId2075" Type="http://schemas.openxmlformats.org/officeDocument/2006/relationships/hyperlink" Target="https://my.zakupivli.pro/remote/dispatcher/state_purchase_view/60064231" TargetMode="External"/><Relationship Id="rId2282" Type="http://schemas.openxmlformats.org/officeDocument/2006/relationships/hyperlink" Target="https://zakupivli.pro/gov/tenders/ua-2025-09-04-004543-a" TargetMode="External"/><Relationship Id="rId254" Type="http://schemas.openxmlformats.org/officeDocument/2006/relationships/hyperlink" Target="https://my.zakupki.prom.ua/remote/dispatcher/state_purchase_view/41742784" TargetMode="External"/><Relationship Id="rId699" Type="http://schemas.openxmlformats.org/officeDocument/2006/relationships/hyperlink" Target="https://my.zakupivli.pro/remote/dispatcher/state_purchase_view/48872463" TargetMode="External"/><Relationship Id="rId1091" Type="http://schemas.openxmlformats.org/officeDocument/2006/relationships/hyperlink" Target="https://my.zakupivli.pro/remote/dispatcher/state_purchase_view/50941461" TargetMode="External"/><Relationship Id="rId114" Type="http://schemas.openxmlformats.org/officeDocument/2006/relationships/hyperlink" Target="https://zakupki.prom.ua/gov/tenders/UA-2023-02-15-004026-a" TargetMode="External"/><Relationship Id="rId461" Type="http://schemas.openxmlformats.org/officeDocument/2006/relationships/hyperlink" Target="https://zakupki.prom.ua/gov/tenders/UA-2023-09-12-003129-a" TargetMode="External"/><Relationship Id="rId559" Type="http://schemas.openxmlformats.org/officeDocument/2006/relationships/hyperlink" Target="https://my.zakupivli.pro/remote/dispatcher/state_purchase_view/48106340" TargetMode="External"/><Relationship Id="rId766" Type="http://schemas.openxmlformats.org/officeDocument/2006/relationships/hyperlink" Target="https://zakupivli.pro/gov/tenders/UA-2024-02-02-013148-a/lot-cc1237bccdb0425988617f98b583a717" TargetMode="External"/><Relationship Id="rId1189" Type="http://schemas.openxmlformats.org/officeDocument/2006/relationships/hyperlink" Target="https://zakupivli.pro/gov/tenders/UA-2024-07-02-000094-a" TargetMode="External"/><Relationship Id="rId1396" Type="http://schemas.openxmlformats.org/officeDocument/2006/relationships/hyperlink" Target="https://my.zakupivli.pro/remote/dispatcher/state_purchase_view/54375854" TargetMode="External"/><Relationship Id="rId2142" Type="http://schemas.openxmlformats.org/officeDocument/2006/relationships/hyperlink" Target="https://zakupivli.pro/gov/tenders/ua-2025-06-24-000275-a" TargetMode="External"/><Relationship Id="rId2447" Type="http://schemas.openxmlformats.org/officeDocument/2006/relationships/hyperlink" Target="https://my.zakupivli.pro/remote/dispatcher/state_purchase_view/63520268" TargetMode="External"/><Relationship Id="rId321" Type="http://schemas.openxmlformats.org/officeDocument/2006/relationships/hyperlink" Target="https://zakupki.prom.ua/gov/tenders/UA-2023-04-20-008821-a" TargetMode="External"/><Relationship Id="rId419" Type="http://schemas.openxmlformats.org/officeDocument/2006/relationships/hyperlink" Target="https://my.zakupki.prom.ua/remote/dispatcher/state_purchase_view/44433428" TargetMode="External"/><Relationship Id="rId626" Type="http://schemas.openxmlformats.org/officeDocument/2006/relationships/hyperlink" Target="https://zakupivli.pro/gov/tenders/UA-2024-01-19-000255-a/lot-17d7c5ee87114cb7a46eb3b89daa246c" TargetMode="External"/><Relationship Id="rId973" Type="http://schemas.openxmlformats.org/officeDocument/2006/relationships/hyperlink" Target="https://my.zakupivli.pro/remote/dispatcher/state_purchase_view/50008319" TargetMode="External"/><Relationship Id="rId1049" Type="http://schemas.openxmlformats.org/officeDocument/2006/relationships/hyperlink" Target="https://zakupivli.pro/gov/tenders/UA-2024-04-09-011832-a" TargetMode="External"/><Relationship Id="rId1256" Type="http://schemas.openxmlformats.org/officeDocument/2006/relationships/hyperlink" Target="https://my.zakupivli.pro/remote/dispatcher/state_purchase_view/52587377" TargetMode="External"/><Relationship Id="rId2002" Type="http://schemas.openxmlformats.org/officeDocument/2006/relationships/hyperlink" Target="https://zakupivli.pro/gov/tenders/ua-2025-05-08-001145-a" TargetMode="External"/><Relationship Id="rId2307" Type="http://schemas.openxmlformats.org/officeDocument/2006/relationships/hyperlink" Target="https://my.zakupivli.pro/remote/dispatcher/state_purchase_view/62023572" TargetMode="External"/><Relationship Id="rId833" Type="http://schemas.openxmlformats.org/officeDocument/2006/relationships/hyperlink" Target="https://my.zakupivli.pro/remote/dispatcher/state_purchase_view/49300201" TargetMode="External"/><Relationship Id="rId1116" Type="http://schemas.openxmlformats.org/officeDocument/2006/relationships/hyperlink" Target="https://zakupivli.pro/gov/tenders/UA-2024-05-23-000397-a" TargetMode="External"/><Relationship Id="rId1463" Type="http://schemas.openxmlformats.org/officeDocument/2006/relationships/hyperlink" Target="https://zakupivli.pro/gov/tenders/ua-2024-11-14-014257-a" TargetMode="External"/><Relationship Id="rId1670" Type="http://schemas.openxmlformats.org/officeDocument/2006/relationships/hyperlink" Target="https://my.zakupivli.pro/remote/dispatcher/state_purchase_view/56944556" TargetMode="External"/><Relationship Id="rId1768" Type="http://schemas.openxmlformats.org/officeDocument/2006/relationships/hyperlink" Target="https://my.zakupivli.pro/remote/dispatcher/state_purchase_view/57385694" TargetMode="External"/><Relationship Id="rId2514" Type="http://schemas.openxmlformats.org/officeDocument/2006/relationships/hyperlink" Target="https://my.zakupivli.pro/remote/dispatcher/state_purchase_view/64532942" TargetMode="External"/><Relationship Id="rId900" Type="http://schemas.openxmlformats.org/officeDocument/2006/relationships/hyperlink" Target="https://my.zakupivli.pro/remote/dispatcher/state_purchase_view/49571696" TargetMode="External"/><Relationship Id="rId1323" Type="http://schemas.openxmlformats.org/officeDocument/2006/relationships/hyperlink" Target="https://zakupivli.pro/gov/tenders/UA-2024-09-10-007035-a" TargetMode="External"/><Relationship Id="rId1530" Type="http://schemas.openxmlformats.org/officeDocument/2006/relationships/hyperlink" Target="https://my.zakupivli.pro/remote/dispatcher/state_purchase_view/55973222" TargetMode="External"/><Relationship Id="rId1628" Type="http://schemas.openxmlformats.org/officeDocument/2006/relationships/hyperlink" Target="https://my.zakupivli.pro/remote/dispatcher/state_purchase_view/56767709" TargetMode="External"/><Relationship Id="rId1975" Type="http://schemas.openxmlformats.org/officeDocument/2006/relationships/hyperlink" Target="https://my.zakupivli.pro/remote/dispatcher/state_purchase_view/59214035" TargetMode="External"/><Relationship Id="rId1835" Type="http://schemas.openxmlformats.org/officeDocument/2006/relationships/hyperlink" Target="https://my.zakupivli.pro/remote/dispatcher/state_purchase_view/57739836" TargetMode="External"/><Relationship Id="rId1902" Type="http://schemas.openxmlformats.org/officeDocument/2006/relationships/hyperlink" Target="https://my.zakupivli.pro/remote/dispatcher/state_purchase_view/58402308" TargetMode="External"/><Relationship Id="rId2097" Type="http://schemas.openxmlformats.org/officeDocument/2006/relationships/hyperlink" Target="https://my.zakupivli.pro/remote/dispatcher/state_purchase_view/60193887" TargetMode="External"/><Relationship Id="rId276" Type="http://schemas.openxmlformats.org/officeDocument/2006/relationships/hyperlink" Target="https://my.zakupki.prom.ua/remote/dispatcher/state_purchase_view/41777201" TargetMode="External"/><Relationship Id="rId483" Type="http://schemas.openxmlformats.org/officeDocument/2006/relationships/hyperlink" Target="https://zakupki.prom.ua/gov/tenders/UA-2023-09-22-000657-a" TargetMode="External"/><Relationship Id="rId690" Type="http://schemas.openxmlformats.org/officeDocument/2006/relationships/hyperlink" Target="https://zakupivli.pro/gov/tenders/UA-2024-01-31-008354-a" TargetMode="External"/><Relationship Id="rId2164" Type="http://schemas.openxmlformats.org/officeDocument/2006/relationships/hyperlink" Target="https://my.zakupivli.pro/remote/dispatcher/state_purchase_view/60539749" TargetMode="External"/><Relationship Id="rId2371" Type="http://schemas.openxmlformats.org/officeDocument/2006/relationships/hyperlink" Target="https://zakupivli.pro/gov/tenders/ua-2025-10-21-009498-a" TargetMode="External"/><Relationship Id="rId136" Type="http://schemas.openxmlformats.org/officeDocument/2006/relationships/hyperlink" Target="https://zakupki.prom.ua/gov/tenders/UA-2023-03-06-002508-a/lot-3558d587b1464bd3885519cb1ca25bb7" TargetMode="External"/><Relationship Id="rId343" Type="http://schemas.openxmlformats.org/officeDocument/2006/relationships/hyperlink" Target="https://zakupki.prom.ua/gov/tenders/UA-2023-05-04-010342-a" TargetMode="External"/><Relationship Id="rId550" Type="http://schemas.openxmlformats.org/officeDocument/2006/relationships/hyperlink" Target="https://zakupivli.pro/gov/tenders/UA-2023-12-28-006964-a" TargetMode="External"/><Relationship Id="rId788" Type="http://schemas.openxmlformats.org/officeDocument/2006/relationships/hyperlink" Target="https://my.zakupivli.pro/remote/dispatcher/state_purchase_view/49027603" TargetMode="External"/><Relationship Id="rId995" Type="http://schemas.openxmlformats.org/officeDocument/2006/relationships/hyperlink" Target="https://my.zakupivli.pro/remote/dispatcher/state_purchase_view/49990556" TargetMode="External"/><Relationship Id="rId1180" Type="http://schemas.openxmlformats.org/officeDocument/2006/relationships/hyperlink" Target="https://zakupivli.pro/gov/tenders/UA-2024-06-25-000624-a" TargetMode="External"/><Relationship Id="rId2024" Type="http://schemas.openxmlformats.org/officeDocument/2006/relationships/hyperlink" Target="https://my.zakupivli.pro/remote/dispatcher/state_purchase_view/59526001" TargetMode="External"/><Relationship Id="rId2231" Type="http://schemas.openxmlformats.org/officeDocument/2006/relationships/hyperlink" Target="https://my.zakupivli.pro/remote/dispatcher/state_purchase_view/61122012" TargetMode="External"/><Relationship Id="rId2469" Type="http://schemas.openxmlformats.org/officeDocument/2006/relationships/hyperlink" Target="https://my.zakupivli.pro/remote/dispatcher/state_purchase_view/63816588" TargetMode="External"/><Relationship Id="rId203" Type="http://schemas.openxmlformats.org/officeDocument/2006/relationships/hyperlink" Target="https://zakupki.prom.ua/gov/tenders/UA-2023-03-23-010505-a" TargetMode="External"/><Relationship Id="rId648" Type="http://schemas.openxmlformats.org/officeDocument/2006/relationships/hyperlink" Target="https://zakupivli.pro/gov/tenders/UA-2024-01-24-005968-a" TargetMode="External"/><Relationship Id="rId855" Type="http://schemas.openxmlformats.org/officeDocument/2006/relationships/hyperlink" Target="https://my.zakupivli.pro/remote/dispatcher/state_purchase_view/49312594" TargetMode="External"/><Relationship Id="rId1040" Type="http://schemas.openxmlformats.org/officeDocument/2006/relationships/hyperlink" Target="https://my.zakupivli.pro/remote/dispatcher/state_purchase_view/50294092" TargetMode="External"/><Relationship Id="rId1278" Type="http://schemas.openxmlformats.org/officeDocument/2006/relationships/hyperlink" Target="https://my.zakupivli.pro/remote/dispatcher/state_purchase_view/52745815" TargetMode="External"/><Relationship Id="rId1485" Type="http://schemas.openxmlformats.org/officeDocument/2006/relationships/hyperlink" Target="https://my.zakupivli.pro/remote/dispatcher/state_purchase_view/55052216" TargetMode="External"/><Relationship Id="rId1692" Type="http://schemas.openxmlformats.org/officeDocument/2006/relationships/hyperlink" Target="https://zakupivli.pro/gov/tenders/ua-2025-01-27-016823-a/lot-fb9afbcaff604148b3fa33c37f2fbf5c" TargetMode="External"/><Relationship Id="rId2329" Type="http://schemas.openxmlformats.org/officeDocument/2006/relationships/hyperlink" Target="https://zakupivli.pro/gov/tenders/ua-2025-09-26-008089-a" TargetMode="External"/><Relationship Id="rId2536" Type="http://schemas.openxmlformats.org/officeDocument/2006/relationships/hyperlink" Target="https://zakupivli.pro/gov/tenders/ua-2025-12-19-001812-a" TargetMode="External"/><Relationship Id="rId410" Type="http://schemas.openxmlformats.org/officeDocument/2006/relationships/hyperlink" Target="https://zakupki.prom.ua/gov/tenders/UA-2023-08-01-001260-a/lot-6b72f122b7db4fb6a6217468b220f720" TargetMode="External"/><Relationship Id="rId508" Type="http://schemas.openxmlformats.org/officeDocument/2006/relationships/hyperlink" Target="https://my.zakupivli.pro/remote/dispatcher/state_purchase_view/46171789" TargetMode="External"/><Relationship Id="rId715" Type="http://schemas.openxmlformats.org/officeDocument/2006/relationships/hyperlink" Target="https://my.zakupivli.pro/remote/dispatcher/state_purchase_view/48906477" TargetMode="External"/><Relationship Id="rId922" Type="http://schemas.openxmlformats.org/officeDocument/2006/relationships/hyperlink" Target="https://zakupivli.pro/gov/tenders/UA-2024-03-06-001796-a" TargetMode="External"/><Relationship Id="rId1138" Type="http://schemas.openxmlformats.org/officeDocument/2006/relationships/hyperlink" Target="https://zakupivli.pro/gov/tenders/UA-2024-05-31-003514-a" TargetMode="External"/><Relationship Id="rId1345" Type="http://schemas.openxmlformats.org/officeDocument/2006/relationships/hyperlink" Target="https://my.zakupivli.pro/remote/dispatcher/state_purchase_view/53492810" TargetMode="External"/><Relationship Id="rId1552" Type="http://schemas.openxmlformats.org/officeDocument/2006/relationships/hyperlink" Target="https://my.zakupivli.pro/remote/dispatcher/state_purchase_view/56165938" TargetMode="External"/><Relationship Id="rId1997" Type="http://schemas.openxmlformats.org/officeDocument/2006/relationships/hyperlink" Target="https://my.zakupivli.pro/remote/dispatcher/state_purchase_view/59271749" TargetMode="External"/><Relationship Id="rId1205" Type="http://schemas.openxmlformats.org/officeDocument/2006/relationships/hyperlink" Target="https://zakupivli.pro/gov/tenders/UA-2024-07-15-004574-a" TargetMode="External"/><Relationship Id="rId1857" Type="http://schemas.openxmlformats.org/officeDocument/2006/relationships/hyperlink" Target="https://my.zakupivli.pro/remote/dispatcher/state_purchase_view/57873346" TargetMode="External"/><Relationship Id="rId51" Type="http://schemas.openxmlformats.org/officeDocument/2006/relationships/hyperlink" Target="https://my.zakupki.prom.ua/remote/dispatcher/state_purchase_view/41512826" TargetMode="External"/><Relationship Id="rId1412" Type="http://schemas.openxmlformats.org/officeDocument/2006/relationships/hyperlink" Target="https://my.zakupivli.pro/remote/dispatcher/state_purchase_view/54459170" TargetMode="External"/><Relationship Id="rId1717" Type="http://schemas.openxmlformats.org/officeDocument/2006/relationships/hyperlink" Target="https://my.zakupivli.pro/remote/dispatcher/state_purchase_view/57084914" TargetMode="External"/><Relationship Id="rId1924" Type="http://schemas.openxmlformats.org/officeDocument/2006/relationships/hyperlink" Target="https://my.zakupivli.pro/remote/dispatcher/state_purchase_view/58599837" TargetMode="External"/><Relationship Id="rId298" Type="http://schemas.openxmlformats.org/officeDocument/2006/relationships/hyperlink" Target="https://my.zakupki.prom.ua/remote/dispatcher/state_purchase_view/41781756" TargetMode="External"/><Relationship Id="rId158" Type="http://schemas.openxmlformats.org/officeDocument/2006/relationships/hyperlink" Target="https://zakupki.prom.ua/gov/tenders/UA-2023-03-13-003744-a/lot-865c51a7193d4c57a6434433e696cf65" TargetMode="External"/><Relationship Id="rId2186" Type="http://schemas.openxmlformats.org/officeDocument/2006/relationships/hyperlink" Target="https://my.zakupivli.pro/remote/dispatcher/state_purchase_view/60853219" TargetMode="External"/><Relationship Id="rId2393" Type="http://schemas.openxmlformats.org/officeDocument/2006/relationships/hyperlink" Target="https://my.zakupivli.pro/remote/dispatcher/state_purchase_view/62906389" TargetMode="External"/><Relationship Id="rId365" Type="http://schemas.openxmlformats.org/officeDocument/2006/relationships/hyperlink" Target="https://zakupki.prom.ua/gov/tenders/UA-2023-05-15-012110-a/lot-f51f37ef23534791923349f019e0b876" TargetMode="External"/><Relationship Id="rId572" Type="http://schemas.openxmlformats.org/officeDocument/2006/relationships/hyperlink" Target="https://zakupivli.pro/gov/tenders/UA-2023-12-29-000155-a" TargetMode="External"/><Relationship Id="rId2046" Type="http://schemas.openxmlformats.org/officeDocument/2006/relationships/hyperlink" Target="https://my.zakupivli.pro/remote/dispatcher/state_purchase_view/59777997" TargetMode="External"/><Relationship Id="rId2253" Type="http://schemas.openxmlformats.org/officeDocument/2006/relationships/hyperlink" Target="https://my.zakupivli.pro/remote/dispatcher/state_purchase_view/61302632" TargetMode="External"/><Relationship Id="rId2460" Type="http://schemas.openxmlformats.org/officeDocument/2006/relationships/hyperlink" Target="https://my.zakupivli.pro/remote/dispatcher/state_purchase_view/63612894" TargetMode="External"/><Relationship Id="rId225" Type="http://schemas.openxmlformats.org/officeDocument/2006/relationships/hyperlink" Target="https://zakupki.prom.ua/gov/tenders/UA-2023-03-28-005844-a/lot-187a5374110441c795f3fec8bcf3d913" TargetMode="External"/><Relationship Id="rId432" Type="http://schemas.openxmlformats.org/officeDocument/2006/relationships/hyperlink" Target="https://zakupki.prom.ua/gov/tenders/UA-2023-08-15-010986-a/lot-2aa5ff2724b74675b7d314883988d21b" TargetMode="External"/><Relationship Id="rId877" Type="http://schemas.openxmlformats.org/officeDocument/2006/relationships/hyperlink" Target="https://my.zakupivli.pro/remote/dispatcher/state_purchase_view/49380309" TargetMode="External"/><Relationship Id="rId1062" Type="http://schemas.openxmlformats.org/officeDocument/2006/relationships/hyperlink" Target="https://my.zakupivli.pro/remote/dispatcher/state_purchase_view/50517136" TargetMode="External"/><Relationship Id="rId2113" Type="http://schemas.openxmlformats.org/officeDocument/2006/relationships/hyperlink" Target="https://zakupivli.pro/gov/tenders/ua-2025-06-19-007258-a" TargetMode="External"/><Relationship Id="rId2320" Type="http://schemas.openxmlformats.org/officeDocument/2006/relationships/hyperlink" Target="https://zakupivli.pro/gov/tenders/ua-2025-09-23-009236-a" TargetMode="External"/><Relationship Id="rId737" Type="http://schemas.openxmlformats.org/officeDocument/2006/relationships/hyperlink" Target="https://my.zakupivli.pro/remote/dispatcher/state_purchase_view/48903944" TargetMode="External"/><Relationship Id="rId944" Type="http://schemas.openxmlformats.org/officeDocument/2006/relationships/hyperlink" Target="https://zakupivli.pro/gov/tenders/UA-2024-03-12-011359-a" TargetMode="External"/><Relationship Id="rId1367" Type="http://schemas.openxmlformats.org/officeDocument/2006/relationships/hyperlink" Target="https://zakupivli.pro/gov/tenders/ua-2024-09-27-000136-a" TargetMode="External"/><Relationship Id="rId1574" Type="http://schemas.openxmlformats.org/officeDocument/2006/relationships/hyperlink" Target="https://my.zakupivli.pro/remote/dispatcher/state_purchase_view/56334714" TargetMode="External"/><Relationship Id="rId1781" Type="http://schemas.openxmlformats.org/officeDocument/2006/relationships/hyperlink" Target="https://my.zakupivli.pro/remote/dispatcher/state_purchase_view/57443185" TargetMode="External"/><Relationship Id="rId2418" Type="http://schemas.openxmlformats.org/officeDocument/2006/relationships/hyperlink" Target="https://zakupivli.pro/gov/tenders/ua-2025-11-03-000300-a" TargetMode="External"/><Relationship Id="rId73" Type="http://schemas.openxmlformats.org/officeDocument/2006/relationships/hyperlink" Target="https://my.zakupki.prom.ua/remote/dispatcher/state_purchase_view/41339013" TargetMode="External"/><Relationship Id="rId804" Type="http://schemas.openxmlformats.org/officeDocument/2006/relationships/hyperlink" Target="https://my.zakupivli.pro/remote/dispatcher/state_purchase_view/49052400" TargetMode="External"/><Relationship Id="rId1227" Type="http://schemas.openxmlformats.org/officeDocument/2006/relationships/hyperlink" Target="https://my.zakupivli.pro/remote/dispatcher/state_purchase_view/52314938" TargetMode="External"/><Relationship Id="rId1434" Type="http://schemas.openxmlformats.org/officeDocument/2006/relationships/hyperlink" Target="https://my.zakupivli.pro/remote/dispatcher/state_purchase_view/54641995" TargetMode="External"/><Relationship Id="rId1641" Type="http://schemas.openxmlformats.org/officeDocument/2006/relationships/hyperlink" Target="https://zakupivli.pro/gov/tenders/ua-2025-01-21-000895-a/lot-a9355564e9d5476a9a00f73ee1b4dfa6" TargetMode="External"/><Relationship Id="rId1879" Type="http://schemas.openxmlformats.org/officeDocument/2006/relationships/hyperlink" Target="https://zakupivli.pro/gov/tenders/ua-2025-03-14-009710-a/lot-be2b52f381b143eea4f55f685adc6a57" TargetMode="External"/><Relationship Id="rId1501" Type="http://schemas.openxmlformats.org/officeDocument/2006/relationships/hyperlink" Target="https://zakupivli.pro/gov/tenders/ua-2024-12-06-012047-a" TargetMode="External"/><Relationship Id="rId1739" Type="http://schemas.openxmlformats.org/officeDocument/2006/relationships/hyperlink" Target="https://zakupivli.pro/gov/tenders/ua-2025-02-04-013387-a/lot-1a391c9ea1fe4992ac4f126a3fe3a103" TargetMode="External"/><Relationship Id="rId1946" Type="http://schemas.openxmlformats.org/officeDocument/2006/relationships/hyperlink" Target="https://zakupivli.pro/gov/tenders/ua-2025-04-09-005554-a" TargetMode="External"/><Relationship Id="rId1806" Type="http://schemas.openxmlformats.org/officeDocument/2006/relationships/hyperlink" Target="https://my.zakupivli.pro/remote/dispatcher/state_purchase_view/57524444" TargetMode="External"/><Relationship Id="rId387" Type="http://schemas.openxmlformats.org/officeDocument/2006/relationships/hyperlink" Target="https://my.zakupki.prom.ua/remote/dispatcher/state_purchase_view/44236786" TargetMode="External"/><Relationship Id="rId594" Type="http://schemas.openxmlformats.org/officeDocument/2006/relationships/hyperlink" Target="https://zakupivli.pro/gov/tenders/UA-2024-01-12-009909-a" TargetMode="External"/><Relationship Id="rId2068" Type="http://schemas.openxmlformats.org/officeDocument/2006/relationships/hyperlink" Target="https://my.zakupivli.pro/remote/dispatcher/state_purchase_view/59941599" TargetMode="External"/><Relationship Id="rId2275" Type="http://schemas.openxmlformats.org/officeDocument/2006/relationships/hyperlink" Target="https://my.zakupivli.pro/remote/dispatcher/state_purchase_view/61670233" TargetMode="External"/><Relationship Id="rId247" Type="http://schemas.openxmlformats.org/officeDocument/2006/relationships/hyperlink" Target="https://zakupki.prom.ua/gov/tenders/UA-2023-03-30-003000-a" TargetMode="External"/><Relationship Id="rId899" Type="http://schemas.openxmlformats.org/officeDocument/2006/relationships/hyperlink" Target="https://zakupivli.pro/gov/tenders/UA-2024-03-01-007913-a/lot-93b7875b9bb14e36bad78b6b052d45ba" TargetMode="External"/><Relationship Id="rId1084" Type="http://schemas.openxmlformats.org/officeDocument/2006/relationships/hyperlink" Target="https://zakupivli.pro/gov/tenders/UA-2024-05-08-001172-a" TargetMode="External"/><Relationship Id="rId2482" Type="http://schemas.openxmlformats.org/officeDocument/2006/relationships/hyperlink" Target="https://zakupivli.pro/gov/tenders/ua-2025-11-26-000344-a" TargetMode="External"/><Relationship Id="rId107" Type="http://schemas.openxmlformats.org/officeDocument/2006/relationships/hyperlink" Target="https://my.zakupki.prom.ua/remote/dispatcher/state_purchase_view/40865423" TargetMode="External"/><Relationship Id="rId454" Type="http://schemas.openxmlformats.org/officeDocument/2006/relationships/hyperlink" Target="https://my.zakupki.prom.ua/remote/dispatcher/state_purchase_view/44854889" TargetMode="External"/><Relationship Id="rId661" Type="http://schemas.openxmlformats.org/officeDocument/2006/relationships/hyperlink" Target="https://my.zakupivli.pro/remote/dispatcher/state_purchase_view/48686800" TargetMode="External"/><Relationship Id="rId759" Type="http://schemas.openxmlformats.org/officeDocument/2006/relationships/hyperlink" Target="https://zakupivli.pro/gov/tenders/UA-2024-02-02-013279-a" TargetMode="External"/><Relationship Id="rId966" Type="http://schemas.openxmlformats.org/officeDocument/2006/relationships/hyperlink" Target="https://my.zakupivli.pro/remote/dispatcher/state_purchase_view/49855542" TargetMode="External"/><Relationship Id="rId1291" Type="http://schemas.openxmlformats.org/officeDocument/2006/relationships/hyperlink" Target="https://zakupivli.pro/gov/tenders/UA-2024-08-22-004238-a" TargetMode="External"/><Relationship Id="rId1389" Type="http://schemas.openxmlformats.org/officeDocument/2006/relationships/hyperlink" Target="https://zakupivli.pro/gov/tenders/ua-2024-10-21-012894-a" TargetMode="External"/><Relationship Id="rId1596" Type="http://schemas.openxmlformats.org/officeDocument/2006/relationships/hyperlink" Target="https://my.zakupivli.pro/remote/dispatcher/state_purchase_view/56380662" TargetMode="External"/><Relationship Id="rId2135" Type="http://schemas.openxmlformats.org/officeDocument/2006/relationships/hyperlink" Target="https://my.zakupivli.pro/remote/dispatcher/state_purchase_view/60294015" TargetMode="External"/><Relationship Id="rId2342" Type="http://schemas.openxmlformats.org/officeDocument/2006/relationships/hyperlink" Target="https://my.zakupivli.pro/remote/dispatcher/state_purchase_view/62379146" TargetMode="External"/><Relationship Id="rId314" Type="http://schemas.openxmlformats.org/officeDocument/2006/relationships/hyperlink" Target="https://zakupki.prom.ua/gov/tenders/UA-2023-04-05-004163-a" TargetMode="External"/><Relationship Id="rId521" Type="http://schemas.openxmlformats.org/officeDocument/2006/relationships/hyperlink" Target="https://my.zakupivli.pro/remote/dispatcher/state_purchase_view/47064329" TargetMode="External"/><Relationship Id="rId619" Type="http://schemas.openxmlformats.org/officeDocument/2006/relationships/hyperlink" Target="https://my.zakupivli.pro/remote/dispatcher/state_purchase_view/48486803" TargetMode="External"/><Relationship Id="rId1151" Type="http://schemas.openxmlformats.org/officeDocument/2006/relationships/hyperlink" Target="https://zakupivli.pro/gov/tenders/UA-2024-06-13-006939-a" TargetMode="External"/><Relationship Id="rId1249" Type="http://schemas.openxmlformats.org/officeDocument/2006/relationships/hyperlink" Target="https://my.zakupivli.pro/remote/dispatcher/state_purchase_view/52516741" TargetMode="External"/><Relationship Id="rId2202" Type="http://schemas.openxmlformats.org/officeDocument/2006/relationships/hyperlink" Target="https://my.zakupivli.pro/remote/dispatcher/state_purchase_view/60961942" TargetMode="External"/><Relationship Id="rId95" Type="http://schemas.openxmlformats.org/officeDocument/2006/relationships/hyperlink" Target="https://my.zakupki.prom.ua/remote/dispatcher/state_purchase_view/41189548" TargetMode="External"/><Relationship Id="rId826" Type="http://schemas.openxmlformats.org/officeDocument/2006/relationships/hyperlink" Target="https://my.zakupivli.pro/remote/dispatcher/state_purchase_view/49303437" TargetMode="External"/><Relationship Id="rId1011" Type="http://schemas.openxmlformats.org/officeDocument/2006/relationships/hyperlink" Target="https://zakupivli.pro/gov/tenders/UA-2024-04-01-005332-a" TargetMode="External"/><Relationship Id="rId1109" Type="http://schemas.openxmlformats.org/officeDocument/2006/relationships/hyperlink" Target="https://zakupivli.pro/gov/tenders/UA-2024-05-21-002810-a" TargetMode="External"/><Relationship Id="rId1456" Type="http://schemas.openxmlformats.org/officeDocument/2006/relationships/hyperlink" Target="https://my.zakupivli.pro/remote/dispatcher/state_purchase_view/54789788" TargetMode="External"/><Relationship Id="rId1663" Type="http://schemas.openxmlformats.org/officeDocument/2006/relationships/hyperlink" Target="https://my.zakupivli.pro/remote/dispatcher/state_purchase_view/56942695" TargetMode="External"/><Relationship Id="rId1870" Type="http://schemas.openxmlformats.org/officeDocument/2006/relationships/hyperlink" Target="https://my.zakupivli.pro/remote/dispatcher/state_purchase_view/58056297" TargetMode="External"/><Relationship Id="rId1968" Type="http://schemas.openxmlformats.org/officeDocument/2006/relationships/hyperlink" Target="https://my.zakupivli.pro/remote/dispatcher/state_purchase_view/59069777" TargetMode="External"/><Relationship Id="rId2507" Type="http://schemas.openxmlformats.org/officeDocument/2006/relationships/hyperlink" Target="https://my.zakupivli.pro/remote/dispatcher/state_purchase_view/64540574" TargetMode="External"/><Relationship Id="rId1316" Type="http://schemas.openxmlformats.org/officeDocument/2006/relationships/hyperlink" Target="https://my.zakupivli.pro/remote/dispatcher/state_purchase_view/53131375" TargetMode="External"/><Relationship Id="rId1523" Type="http://schemas.openxmlformats.org/officeDocument/2006/relationships/hyperlink" Target="https://my.zakupivli.pro/remote/dispatcher/state_purchase_view/55863477" TargetMode="External"/><Relationship Id="rId1730" Type="http://schemas.openxmlformats.org/officeDocument/2006/relationships/hyperlink" Target="https://my.zakupivli.pro/remote/dispatcher/state_purchase_view/57122049" TargetMode="External"/><Relationship Id="rId22" Type="http://schemas.openxmlformats.org/officeDocument/2006/relationships/hyperlink" Target="https://zakupki.prom.ua/gov/tenders/UA-2023-01-17-001178-a" TargetMode="External"/><Relationship Id="rId1828" Type="http://schemas.openxmlformats.org/officeDocument/2006/relationships/hyperlink" Target="https://zakupivli.pro/gov/tenders/ua-2025-02-21-001879-a" TargetMode="External"/><Relationship Id="rId171" Type="http://schemas.openxmlformats.org/officeDocument/2006/relationships/hyperlink" Target="https://zakupki.prom.ua/gov/tenders/UA-2023-03-15-006678-a/lot-13fdfafb466f4b3ab8b0755fc20fad63" TargetMode="External"/><Relationship Id="rId2297" Type="http://schemas.openxmlformats.org/officeDocument/2006/relationships/hyperlink" Target="https://my.zakupivli.pro/remote/dispatcher/state_purchase_view/61920548" TargetMode="External"/><Relationship Id="rId269" Type="http://schemas.openxmlformats.org/officeDocument/2006/relationships/hyperlink" Target="https://my.zakupki.prom.ua/remote/dispatcher/state_purchase_view/41780303" TargetMode="External"/><Relationship Id="rId476" Type="http://schemas.openxmlformats.org/officeDocument/2006/relationships/hyperlink" Target="https://my.zakupki.prom.ua/remote/dispatcher/state_purchase_view/45239472" TargetMode="External"/><Relationship Id="rId683" Type="http://schemas.openxmlformats.org/officeDocument/2006/relationships/hyperlink" Target="https://zakupivli.pro/gov/tenders/UA-2024-01-31-007708-a" TargetMode="External"/><Relationship Id="rId890" Type="http://schemas.openxmlformats.org/officeDocument/2006/relationships/hyperlink" Target="https://zakupivli.pro/gov/tenders/UA-2024-02-28-002778-a/lot-68233ac24358441b8c7a69f827b3f15d" TargetMode="External"/><Relationship Id="rId2157" Type="http://schemas.openxmlformats.org/officeDocument/2006/relationships/hyperlink" Target="https://my.zakupivli.pro/remote/dispatcher/state_purchase_view/60535125" TargetMode="External"/><Relationship Id="rId2364" Type="http://schemas.openxmlformats.org/officeDocument/2006/relationships/hyperlink" Target="https://zakupivli.pro/gov/tenders/ua-2025-10-17-012814-a" TargetMode="External"/><Relationship Id="rId129" Type="http://schemas.openxmlformats.org/officeDocument/2006/relationships/hyperlink" Target="https://zakupki.prom.ua/gov/tenders/UA-2023-03-02-008797-a/lot-186b009304544482bba39a1a656b22d4" TargetMode="External"/><Relationship Id="rId336" Type="http://schemas.openxmlformats.org/officeDocument/2006/relationships/hyperlink" Target="https://my.zakupki.prom.ua/remote/dispatcher/state_purchase_view/42219107" TargetMode="External"/><Relationship Id="rId543" Type="http://schemas.openxmlformats.org/officeDocument/2006/relationships/hyperlink" Target="https://my.zakupivli.pro/remote/dispatcher/state_purchase_view/47910696" TargetMode="External"/><Relationship Id="rId988" Type="http://schemas.openxmlformats.org/officeDocument/2006/relationships/hyperlink" Target="https://zakupivli.pro/gov/tenders/UA-2024-03-25-000945-a" TargetMode="External"/><Relationship Id="rId1173" Type="http://schemas.openxmlformats.org/officeDocument/2006/relationships/hyperlink" Target="https://my.zakupivli.pro/remote/dispatcher/state_purchase_view/51817193" TargetMode="External"/><Relationship Id="rId1380" Type="http://schemas.openxmlformats.org/officeDocument/2006/relationships/hyperlink" Target="https://my.zakupivli.pro/remote/dispatcher/state_purchase_view/54095106" TargetMode="External"/><Relationship Id="rId2017" Type="http://schemas.openxmlformats.org/officeDocument/2006/relationships/hyperlink" Target="https://my.zakupivli.pro/remote/dispatcher/state_purchase_view/59464736" TargetMode="External"/><Relationship Id="rId2224" Type="http://schemas.openxmlformats.org/officeDocument/2006/relationships/hyperlink" Target="https://my.zakupivli.pro/remote/dispatcher/state_purchase_view/61049183" TargetMode="External"/><Relationship Id="rId403" Type="http://schemas.openxmlformats.org/officeDocument/2006/relationships/hyperlink" Target="https://zakupki.prom.ua/gov/tenders/UA-2023-07-24-010799-a" TargetMode="External"/><Relationship Id="rId750" Type="http://schemas.openxmlformats.org/officeDocument/2006/relationships/hyperlink" Target="https://my.zakupivli.pro/remote/dispatcher/state_purchase_view/48879722" TargetMode="External"/><Relationship Id="rId848" Type="http://schemas.openxmlformats.org/officeDocument/2006/relationships/hyperlink" Target="https://zakupivli.pro/gov/tenders/UA-2024-02-20-009499-a" TargetMode="External"/><Relationship Id="rId1033" Type="http://schemas.openxmlformats.org/officeDocument/2006/relationships/hyperlink" Target="https://zakupivli.pro/gov/tenders/UA-2024-04-03-011788-a" TargetMode="External"/><Relationship Id="rId1478" Type="http://schemas.openxmlformats.org/officeDocument/2006/relationships/hyperlink" Target="https://zakupivli.pro/gov/tenders/ua-2024-11-15-012017-a" TargetMode="External"/><Relationship Id="rId1685" Type="http://schemas.openxmlformats.org/officeDocument/2006/relationships/hyperlink" Target="https://zakupivli.pro/gov/tenders/ua-2025-01-27-015561-a/lot-d44bee8237774ce1bacbb4fbf3bb18e8" TargetMode="External"/><Relationship Id="rId1892" Type="http://schemas.openxmlformats.org/officeDocument/2006/relationships/hyperlink" Target="https://my.zakupivli.pro/remote/dispatcher/state_purchase_view/58282530" TargetMode="External"/><Relationship Id="rId2431" Type="http://schemas.openxmlformats.org/officeDocument/2006/relationships/hyperlink" Target="https://zakupivli.pro/gov/tenders/ua-2025-11-12-009402-a" TargetMode="External"/><Relationship Id="rId2529" Type="http://schemas.openxmlformats.org/officeDocument/2006/relationships/hyperlink" Target="https://zakupivli.pro/gov/tenders/ua-2025-12-16-001344-a" TargetMode="External"/><Relationship Id="rId610" Type="http://schemas.openxmlformats.org/officeDocument/2006/relationships/hyperlink" Target="https://zakupivli.pro/gov/tenders/UA-2024-01-18-004061-a/lot-b857a65b5d5a449babbd1d091413e166" TargetMode="External"/><Relationship Id="rId708" Type="http://schemas.openxmlformats.org/officeDocument/2006/relationships/hyperlink" Target="https://zakupivli.pro/gov/tenders/UA-2024-02-02-013046-a" TargetMode="External"/><Relationship Id="rId915" Type="http://schemas.openxmlformats.org/officeDocument/2006/relationships/hyperlink" Target="https://my.zakupivli.pro/remote/dispatcher/state_purchase_view/49602717" TargetMode="External"/><Relationship Id="rId1240" Type="http://schemas.openxmlformats.org/officeDocument/2006/relationships/hyperlink" Target="https://zakupivli.pro/gov/tenders/UA-2024-07-25-003393-a" TargetMode="External"/><Relationship Id="rId1338" Type="http://schemas.openxmlformats.org/officeDocument/2006/relationships/hyperlink" Target="https://my.zakupivli.pro/remote/dispatcher/state_purchase_view/53457069" TargetMode="External"/><Relationship Id="rId1545" Type="http://schemas.openxmlformats.org/officeDocument/2006/relationships/hyperlink" Target="https://zakupivli.pro/gov/tenders/ua-2024-12-23-019298-a/lot-a887349b3fb143d5bd934266cc2c168f" TargetMode="External"/><Relationship Id="rId1100" Type="http://schemas.openxmlformats.org/officeDocument/2006/relationships/hyperlink" Target="https://my.zakupivli.pro/remote/dispatcher/state_purchase_view/50949996" TargetMode="External"/><Relationship Id="rId1405" Type="http://schemas.openxmlformats.org/officeDocument/2006/relationships/hyperlink" Target="https://my.zakupivli.pro/remote/dispatcher/state_purchase_view/54403612" TargetMode="External"/><Relationship Id="rId1752" Type="http://schemas.openxmlformats.org/officeDocument/2006/relationships/hyperlink" Target="https://zakupivli.pro/gov/tenders/ua-2025-02-05-008594-a/lot-afe1992d07f94057be69f5765f50b620" TargetMode="External"/><Relationship Id="rId44" Type="http://schemas.openxmlformats.org/officeDocument/2006/relationships/hyperlink" Target="https://my.zakupki.prom.ua/remote/dispatcher/state_purchase_view/41519874" TargetMode="External"/><Relationship Id="rId1612" Type="http://schemas.openxmlformats.org/officeDocument/2006/relationships/hyperlink" Target="https://zakupivli.pro/gov/tenders/ua-2025-01-14-003223-a/lot-e692f4ba6d6c4710a237418d66031724" TargetMode="External"/><Relationship Id="rId1917" Type="http://schemas.openxmlformats.org/officeDocument/2006/relationships/hyperlink" Target="https://my.zakupivli.pro/remote/dispatcher/state_purchase_view/58513389" TargetMode="External"/><Relationship Id="rId193" Type="http://schemas.openxmlformats.org/officeDocument/2006/relationships/hyperlink" Target="https://zakupki.prom.ua/gov/tenders/UA-2023-03-20-007084-a" TargetMode="External"/><Relationship Id="rId498" Type="http://schemas.openxmlformats.org/officeDocument/2006/relationships/hyperlink" Target="https://zakupki.prom.ua/gov/tenders/UA-2023-10-09-004357-a" TargetMode="External"/><Relationship Id="rId2081" Type="http://schemas.openxmlformats.org/officeDocument/2006/relationships/hyperlink" Target="https://my.zakupivli.pro/remote/dispatcher/state_purchase_view/60044375" TargetMode="External"/><Relationship Id="rId2179" Type="http://schemas.openxmlformats.org/officeDocument/2006/relationships/hyperlink" Target="https://my.zakupivli.pro/remote/dispatcher/state_purchase_view/60641481" TargetMode="External"/><Relationship Id="rId260" Type="http://schemas.openxmlformats.org/officeDocument/2006/relationships/hyperlink" Target="https://zakupki.prom.ua/gov/tenders/UA-2023-03-31-004510-a" TargetMode="External"/><Relationship Id="rId2386" Type="http://schemas.openxmlformats.org/officeDocument/2006/relationships/hyperlink" Target="https://zakupivli.pro/gov/tenders/ua-2025-10-22-001821-a" TargetMode="External"/><Relationship Id="rId120" Type="http://schemas.openxmlformats.org/officeDocument/2006/relationships/hyperlink" Target="https://zakupki.prom.ua/gov/tenders/UA-2023-02-20-013068-a" TargetMode="External"/><Relationship Id="rId358" Type="http://schemas.openxmlformats.org/officeDocument/2006/relationships/hyperlink" Target="https://zakupki.prom.ua/gov/tenders/UA-2023-05-10-012762-a" TargetMode="External"/><Relationship Id="rId565" Type="http://schemas.openxmlformats.org/officeDocument/2006/relationships/hyperlink" Target="https://zakupivli.pro/gov/tenders/UA-2023-12-29-000127-a" TargetMode="External"/><Relationship Id="rId772" Type="http://schemas.openxmlformats.org/officeDocument/2006/relationships/hyperlink" Target="https://my.zakupivli.pro/remote/dispatcher/state_purchase_view/48971877" TargetMode="External"/><Relationship Id="rId1195" Type="http://schemas.openxmlformats.org/officeDocument/2006/relationships/hyperlink" Target="https://my.zakupivli.pro/remote/dispatcher/state_purchase_view/52044369" TargetMode="External"/><Relationship Id="rId2039" Type="http://schemas.openxmlformats.org/officeDocument/2006/relationships/hyperlink" Target="https://zakupivli.pro/gov/tenders/ua-2025-05-27-003751-a" TargetMode="External"/><Relationship Id="rId2246" Type="http://schemas.openxmlformats.org/officeDocument/2006/relationships/hyperlink" Target="https://zakupivli.pro/gov/tenders/ua-2025-08-12-000427-a" TargetMode="External"/><Relationship Id="rId2453" Type="http://schemas.openxmlformats.org/officeDocument/2006/relationships/hyperlink" Target="https://zakupivli.pro/gov/tenders/ua-2025-11-14-012850-a" TargetMode="External"/><Relationship Id="rId218" Type="http://schemas.openxmlformats.org/officeDocument/2006/relationships/hyperlink" Target="https://zakupki.prom.ua/gov/tenders/UA-2023-03-27-006317-a" TargetMode="External"/><Relationship Id="rId425" Type="http://schemas.openxmlformats.org/officeDocument/2006/relationships/hyperlink" Target="https://zakupki.prom.ua/gov/tenders/UA-2023-08-10-007949-a/lot-9af6122684ce49b1a18121432078d5c2" TargetMode="External"/><Relationship Id="rId632" Type="http://schemas.openxmlformats.org/officeDocument/2006/relationships/hyperlink" Target="https://zakupivli.pro/gov/tenders/UA-2024-01-22-009491-a" TargetMode="External"/><Relationship Id="rId1055" Type="http://schemas.openxmlformats.org/officeDocument/2006/relationships/hyperlink" Target="https://zakupivli.pro/gov/tenders/UA-2024-04-11-009544-a" TargetMode="External"/><Relationship Id="rId1262" Type="http://schemas.openxmlformats.org/officeDocument/2006/relationships/hyperlink" Target="https://my.zakupivli.pro/remote/dispatcher/state_purchase_view/52604904" TargetMode="External"/><Relationship Id="rId2106" Type="http://schemas.openxmlformats.org/officeDocument/2006/relationships/hyperlink" Target="https://my.zakupivli.pro/remote/dispatcher/state_purchase_view/60216127" TargetMode="External"/><Relationship Id="rId2313" Type="http://schemas.openxmlformats.org/officeDocument/2006/relationships/hyperlink" Target="https://my.zakupivli.pro/remote/dispatcher/state_purchase_view/62162482" TargetMode="External"/><Relationship Id="rId2520" Type="http://schemas.openxmlformats.org/officeDocument/2006/relationships/hyperlink" Target="https://zakupivli.pro/gov/tenders/ua-2025-12-16-014970-a" TargetMode="External"/><Relationship Id="rId937" Type="http://schemas.openxmlformats.org/officeDocument/2006/relationships/hyperlink" Target="https://my.zakupivli.pro/remote/dispatcher/state_purchase_view/49743496" TargetMode="External"/><Relationship Id="rId1122" Type="http://schemas.openxmlformats.org/officeDocument/2006/relationships/hyperlink" Target="https://my.zakupivli.pro/remote/dispatcher/state_purchase_view/51251184" TargetMode="External"/><Relationship Id="rId1567" Type="http://schemas.openxmlformats.org/officeDocument/2006/relationships/hyperlink" Target="https://zakupivli.pro/gov/tenders/ua-2024-12-26-010326-a/lot-9327d6896194476caacb1f261a954423" TargetMode="External"/><Relationship Id="rId1774" Type="http://schemas.openxmlformats.org/officeDocument/2006/relationships/hyperlink" Target="https://zakupivli.pro/gov/tenders/ua-2025-02-11-014703-a/lot-2b425a3538b34f61abf9d66504fadba9" TargetMode="External"/><Relationship Id="rId1981" Type="http://schemas.openxmlformats.org/officeDocument/2006/relationships/hyperlink" Target="https://my.zakupivli.pro/remote/dispatcher/state_purchase_view/59208246" TargetMode="External"/><Relationship Id="rId66" Type="http://schemas.openxmlformats.org/officeDocument/2006/relationships/hyperlink" Target="https://my.zakupki.prom.ua/remote/dispatcher/state_purchase_view/41426342" TargetMode="External"/><Relationship Id="rId1427" Type="http://schemas.openxmlformats.org/officeDocument/2006/relationships/hyperlink" Target="https://my.zakupivli.pro/remote/dispatcher/state_purchase_view/54590134" TargetMode="External"/><Relationship Id="rId1634" Type="http://schemas.openxmlformats.org/officeDocument/2006/relationships/hyperlink" Target="https://my.zakupivli.pro/remote/dispatcher/state_purchase_view/56727364" TargetMode="External"/><Relationship Id="rId1841" Type="http://schemas.openxmlformats.org/officeDocument/2006/relationships/hyperlink" Target="https://zakupivli.pro/gov/tenders/ua-2025-02-26-011456-a" TargetMode="External"/><Relationship Id="rId1939" Type="http://schemas.openxmlformats.org/officeDocument/2006/relationships/hyperlink" Target="https://my.zakupivli.pro/remote/dispatcher/state_purchase_view/58657540" TargetMode="External"/><Relationship Id="rId1701" Type="http://schemas.openxmlformats.org/officeDocument/2006/relationships/hyperlink" Target="https://my.zakupivli.pro/remote/dispatcher/state_purchase_view/57062513" TargetMode="External"/><Relationship Id="rId282" Type="http://schemas.openxmlformats.org/officeDocument/2006/relationships/hyperlink" Target="https://zakupki.prom.ua/gov/tenders/UA-2023-04-03-010385-a" TargetMode="External"/><Relationship Id="rId587" Type="http://schemas.openxmlformats.org/officeDocument/2006/relationships/hyperlink" Target="https://zakupivli.pro/gov/tenders/UA-2024-01-08-004546-a" TargetMode="External"/><Relationship Id="rId2170" Type="http://schemas.openxmlformats.org/officeDocument/2006/relationships/hyperlink" Target="https://my.zakupivli.pro/remote/dispatcher/state_purchase_view/60601653" TargetMode="External"/><Relationship Id="rId2268" Type="http://schemas.openxmlformats.org/officeDocument/2006/relationships/hyperlink" Target="https://my.zakupivli.pro/remote/dispatcher/state_purchase_view/61525821" TargetMode="External"/><Relationship Id="rId8" Type="http://schemas.openxmlformats.org/officeDocument/2006/relationships/hyperlink" Target="https://zakupki.prom.ua/gov/tenders/UA-2022-11-16-006956-a/lot-e5efd7136220411b8d2af786a0f55946" TargetMode="External"/><Relationship Id="rId142" Type="http://schemas.openxmlformats.org/officeDocument/2006/relationships/hyperlink" Target="https://my.zakupki.prom.ua/remote/dispatcher/state_purchase_view/41606005" TargetMode="External"/><Relationship Id="rId447" Type="http://schemas.openxmlformats.org/officeDocument/2006/relationships/hyperlink" Target="https://my.zakupki.prom.ua/remote/dispatcher/state_purchase_view/44771791" TargetMode="External"/><Relationship Id="rId794" Type="http://schemas.openxmlformats.org/officeDocument/2006/relationships/hyperlink" Target="https://zakupivli.pro/gov/tenders/UA-2024-02-08-002241-a" TargetMode="External"/><Relationship Id="rId1077" Type="http://schemas.openxmlformats.org/officeDocument/2006/relationships/hyperlink" Target="https://zakupivli.pro/gov/tenders/UA-2024-04-30-007691-a" TargetMode="External"/><Relationship Id="rId2030" Type="http://schemas.openxmlformats.org/officeDocument/2006/relationships/hyperlink" Target="https://zakupivli.pro/gov/tenders/ua-2025-05-21-010260-a/lot-f9a5b4b4f14c40dca57b09386b3c8ffe" TargetMode="External"/><Relationship Id="rId2128" Type="http://schemas.openxmlformats.org/officeDocument/2006/relationships/hyperlink" Target="https://zakupivli.pro/gov/tenders/ua-2025-06-20-002566-a" TargetMode="External"/><Relationship Id="rId2475" Type="http://schemas.openxmlformats.org/officeDocument/2006/relationships/hyperlink" Target="https://my.zakupivli.pro/remote/dispatcher/state_purchase_view/63807696" TargetMode="External"/><Relationship Id="rId654" Type="http://schemas.openxmlformats.org/officeDocument/2006/relationships/hyperlink" Target="https://zakupivli.pro/gov/tenders/UA-2024-01-24-010255-a/lot-1d02cc7b7bdb497bbad33bd2c53f6481" TargetMode="External"/><Relationship Id="rId861" Type="http://schemas.openxmlformats.org/officeDocument/2006/relationships/hyperlink" Target="https://my.zakupivli.pro/remote/dispatcher/state_purchase_view/49348727" TargetMode="External"/><Relationship Id="rId959" Type="http://schemas.openxmlformats.org/officeDocument/2006/relationships/hyperlink" Target="https://zakupivli.pro/gov/tenders/UA-2024-03-14-001638-a/lot-83c45c7f7d5348119a35d0c4ac2e1c91" TargetMode="External"/><Relationship Id="rId1284" Type="http://schemas.openxmlformats.org/officeDocument/2006/relationships/hyperlink" Target="https://my.zakupivli.pro/remote/dispatcher/state_purchase_view/52723515" TargetMode="External"/><Relationship Id="rId1491" Type="http://schemas.openxmlformats.org/officeDocument/2006/relationships/hyperlink" Target="https://my.zakupivli.pro/remote/dispatcher/state_purchase_view/55174014" TargetMode="External"/><Relationship Id="rId1589" Type="http://schemas.openxmlformats.org/officeDocument/2006/relationships/hyperlink" Target="https://my.zakupivli.pro/remote/dispatcher/state_purchase_view/56341932" TargetMode="External"/><Relationship Id="rId2335" Type="http://schemas.openxmlformats.org/officeDocument/2006/relationships/hyperlink" Target="https://zakupivli.pro/gov/tenders/ua-2025-09-29-010879-a" TargetMode="External"/><Relationship Id="rId2542" Type="http://schemas.openxmlformats.org/officeDocument/2006/relationships/hyperlink" Target="https://my.zakupivli.pro/remote/dispatcher/state_purchase_view/65021897" TargetMode="External"/><Relationship Id="rId307" Type="http://schemas.openxmlformats.org/officeDocument/2006/relationships/hyperlink" Target="https://zakupki.prom.ua/gov/tenders/UA-2023-04-04-000680-a" TargetMode="External"/><Relationship Id="rId514" Type="http://schemas.openxmlformats.org/officeDocument/2006/relationships/hyperlink" Target="https://my.zakupivli.pro/remote/dispatcher/state_purchase_view/46516207" TargetMode="External"/><Relationship Id="rId721" Type="http://schemas.openxmlformats.org/officeDocument/2006/relationships/hyperlink" Target="https://zakupivli.pro/gov/tenders/UA-2024-02-02-012545-a/lot-b24fd599e6ef483d887d3ddfdfff3b6e" TargetMode="External"/><Relationship Id="rId1144" Type="http://schemas.openxmlformats.org/officeDocument/2006/relationships/hyperlink" Target="https://my.zakupivli.pro/remote/dispatcher/state_purchase_view/51515216" TargetMode="External"/><Relationship Id="rId1351" Type="http://schemas.openxmlformats.org/officeDocument/2006/relationships/hyperlink" Target="https://zakupivli.pro/gov/tenders/ua-2024-09-23-001580-a" TargetMode="External"/><Relationship Id="rId1449" Type="http://schemas.openxmlformats.org/officeDocument/2006/relationships/hyperlink" Target="https://my.zakupivli.pro/remote/dispatcher/state_purchase_view/54820777" TargetMode="External"/><Relationship Id="rId1796" Type="http://schemas.openxmlformats.org/officeDocument/2006/relationships/hyperlink" Target="https://my.zakupivli.pro/remote/dispatcher/state_purchase_view/57476203" TargetMode="External"/><Relationship Id="rId2402" Type="http://schemas.openxmlformats.org/officeDocument/2006/relationships/hyperlink" Target="https://zakupivli.pro/gov/tenders/ua-2025-10-28-005437-a/lot-4c96191d30034b04874c0cbdbd7bbc01" TargetMode="External"/><Relationship Id="rId88" Type="http://schemas.openxmlformats.org/officeDocument/2006/relationships/hyperlink" Target="https://my.zakupki.prom.ua/remote/dispatcher/state_purchase_view/41204144" TargetMode="External"/><Relationship Id="rId819" Type="http://schemas.openxmlformats.org/officeDocument/2006/relationships/hyperlink" Target="https://zakupivli.pro/gov/tenders/UA-2024-02-15-002556-a" TargetMode="External"/><Relationship Id="rId1004" Type="http://schemas.openxmlformats.org/officeDocument/2006/relationships/hyperlink" Target="https://my.zakupivli.pro/remote/dispatcher/state_purchase_view/50133163" TargetMode="External"/><Relationship Id="rId1211" Type="http://schemas.openxmlformats.org/officeDocument/2006/relationships/hyperlink" Target="https://zakupivli.pro/gov/tenders/UA-2024-07-18-003762-a" TargetMode="External"/><Relationship Id="rId1656" Type="http://schemas.openxmlformats.org/officeDocument/2006/relationships/hyperlink" Target="https://my.zakupivli.pro/remote/dispatcher/state_purchase_view/56941416" TargetMode="External"/><Relationship Id="rId1863" Type="http://schemas.openxmlformats.org/officeDocument/2006/relationships/hyperlink" Target="https://zakupivli.pro/gov/tenders/ua-2025-03-06-010281-a" TargetMode="External"/><Relationship Id="rId1309" Type="http://schemas.openxmlformats.org/officeDocument/2006/relationships/hyperlink" Target="https://zakupivli.pro/gov/tenders/UA-2024-08-09-003010-a" TargetMode="External"/><Relationship Id="rId1516" Type="http://schemas.openxmlformats.org/officeDocument/2006/relationships/hyperlink" Target="https://zakupivli.pro/gov/tenders/ua-2024-12-16-012483-a" TargetMode="External"/><Relationship Id="rId1723" Type="http://schemas.openxmlformats.org/officeDocument/2006/relationships/hyperlink" Target="https://zakupivli.pro/gov/tenders/ua-2025-01-31-001734-a/lot-67ece4c36e0f4d39863dee79a9354364" TargetMode="External"/><Relationship Id="rId1930" Type="http://schemas.openxmlformats.org/officeDocument/2006/relationships/hyperlink" Target="https://zakupivli.pro/gov/tenders/ua-2025-04-07-011371-a" TargetMode="External"/><Relationship Id="rId15" Type="http://schemas.openxmlformats.org/officeDocument/2006/relationships/hyperlink" Target="https://my.zakupki.prom.ua/remote/dispatcher/state_purchase_view/39591644" TargetMode="External"/><Relationship Id="rId2192" Type="http://schemas.openxmlformats.org/officeDocument/2006/relationships/hyperlink" Target="https://my.zakupivli.pro/remote/dispatcher/state_purchase_view/60904345" TargetMode="External"/><Relationship Id="rId164" Type="http://schemas.openxmlformats.org/officeDocument/2006/relationships/hyperlink" Target="https://zakupki.prom.ua/gov/tenders/UA-2023-03-15-009047-a/lot-6407ad5214e54946b7fa3611aa0d223a" TargetMode="External"/><Relationship Id="rId371" Type="http://schemas.openxmlformats.org/officeDocument/2006/relationships/hyperlink" Target="https://my.zakupki.prom.ua/remote/dispatcher/state_purchase_view/43702909" TargetMode="External"/><Relationship Id="rId2052" Type="http://schemas.openxmlformats.org/officeDocument/2006/relationships/hyperlink" Target="https://my.zakupivli.pro/remote/dispatcher/state_purchase_view/59851081" TargetMode="External"/><Relationship Id="rId2497" Type="http://schemas.openxmlformats.org/officeDocument/2006/relationships/hyperlink" Target="https://zakupivli.pro/gov/tenders/ua-2025-12-09-000913-a" TargetMode="External"/><Relationship Id="rId469" Type="http://schemas.openxmlformats.org/officeDocument/2006/relationships/hyperlink" Target="https://zakupki.prom.ua/gov/tenders/UA-2023-09-06-007953-a/lot-665ab122074d4269b70ceb0ce24e0253" TargetMode="External"/><Relationship Id="rId676" Type="http://schemas.openxmlformats.org/officeDocument/2006/relationships/hyperlink" Target="https://zakupivli.pro/gov/tenders/UA-2024-01-31-005075-a" TargetMode="External"/><Relationship Id="rId883" Type="http://schemas.openxmlformats.org/officeDocument/2006/relationships/hyperlink" Target="https://zakupivli.pro/gov/tenders/UA-2024-02-26-000066-a" TargetMode="External"/><Relationship Id="rId1099" Type="http://schemas.openxmlformats.org/officeDocument/2006/relationships/hyperlink" Target="https://zakupivli.pro/gov/tenders/UA-2024-05-10-004381-a" TargetMode="External"/><Relationship Id="rId2357" Type="http://schemas.openxmlformats.org/officeDocument/2006/relationships/hyperlink" Target="https://my.zakupivli.pro/remote/dispatcher/state_purchase_view/62549013" TargetMode="External"/><Relationship Id="rId231" Type="http://schemas.openxmlformats.org/officeDocument/2006/relationships/hyperlink" Target="https://zakupki.prom.ua/gov/tenders/UA-2023-03-28-007169-a" TargetMode="External"/><Relationship Id="rId329" Type="http://schemas.openxmlformats.org/officeDocument/2006/relationships/hyperlink" Target="https://my.zakupki.prom.ua/remote/dispatcher/state_purchase_view/42377342" TargetMode="External"/><Relationship Id="rId536" Type="http://schemas.openxmlformats.org/officeDocument/2006/relationships/hyperlink" Target="https://zakupivli.pro/gov/tenders/UA-2023-12-06-010301-a" TargetMode="External"/><Relationship Id="rId1166" Type="http://schemas.openxmlformats.org/officeDocument/2006/relationships/hyperlink" Target="https://zakupivli.pro/gov/tenders/UA-2024-06-20-010243-a" TargetMode="External"/><Relationship Id="rId1373" Type="http://schemas.openxmlformats.org/officeDocument/2006/relationships/hyperlink" Target="https://zakupivli.pro/gov/tenders/ua-2024-10-09-000575-a" TargetMode="External"/><Relationship Id="rId2217" Type="http://schemas.openxmlformats.org/officeDocument/2006/relationships/hyperlink" Target="https://my.zakupivli.pro/remote/dispatcher/state_purchase_view/60998951" TargetMode="External"/><Relationship Id="rId743" Type="http://schemas.openxmlformats.org/officeDocument/2006/relationships/hyperlink" Target="https://zakupivli.pro/gov/tenders/UA-2024-02-02-011282-a/lot-5d681b202a1c41728b223474db6dc6a7" TargetMode="External"/><Relationship Id="rId950" Type="http://schemas.openxmlformats.org/officeDocument/2006/relationships/hyperlink" Target="https://my.zakupivli.pro/remote/dispatcher/state_purchase_view/49754998" TargetMode="External"/><Relationship Id="rId1026" Type="http://schemas.openxmlformats.org/officeDocument/2006/relationships/hyperlink" Target="https://my.zakupivli.pro/remote/dispatcher/state_purchase_view/50200329" TargetMode="External"/><Relationship Id="rId1580" Type="http://schemas.openxmlformats.org/officeDocument/2006/relationships/hyperlink" Target="https://zakupivli.pro/gov/tenders/ua-2025-01-03-000698-a" TargetMode="External"/><Relationship Id="rId1678" Type="http://schemas.openxmlformats.org/officeDocument/2006/relationships/hyperlink" Target="https://my.zakupivli.pro/remote/dispatcher/state_purchase_view/56947418" TargetMode="External"/><Relationship Id="rId1885" Type="http://schemas.openxmlformats.org/officeDocument/2006/relationships/hyperlink" Target="https://zakupivli.pro/gov/tenders/ua-2025-03-19-012837-a" TargetMode="External"/><Relationship Id="rId2424" Type="http://schemas.openxmlformats.org/officeDocument/2006/relationships/hyperlink" Target="https://zakupivli.pro/gov/tenders/ua-2025-11-11-001580-a" TargetMode="External"/><Relationship Id="rId603" Type="http://schemas.openxmlformats.org/officeDocument/2006/relationships/hyperlink" Target="https://my.zakupivli.pro/remote/dispatcher/state_purchase_view/48421027" TargetMode="External"/><Relationship Id="rId810" Type="http://schemas.openxmlformats.org/officeDocument/2006/relationships/hyperlink" Target="https://zakupivli.pro/gov/tenders/UA-2024-02-14-000570-a" TargetMode="External"/><Relationship Id="rId908" Type="http://schemas.openxmlformats.org/officeDocument/2006/relationships/hyperlink" Target="https://zakupivli.pro/gov/tenders/UA-2024-03-04-011096-a/lot-7050861540fd4359b3415d117930c267" TargetMode="External"/><Relationship Id="rId1233" Type="http://schemas.openxmlformats.org/officeDocument/2006/relationships/hyperlink" Target="https://zakupivli.pro/gov/tenders/UA-2024-07-24-010258-a/lot-a5a25b4308ba4cde9465599aa591a3ad" TargetMode="External"/><Relationship Id="rId1440" Type="http://schemas.openxmlformats.org/officeDocument/2006/relationships/hyperlink" Target="https://my.zakupivli.pro/remote/dispatcher/state_purchase_view/54732542" TargetMode="External"/><Relationship Id="rId1538" Type="http://schemas.openxmlformats.org/officeDocument/2006/relationships/hyperlink" Target="https://zakupivli.pro/gov/tenders/ua-2024-12-19-013809-a/lot-996ccce8132043d0b711cfba2c2aab7f" TargetMode="External"/><Relationship Id="rId1300" Type="http://schemas.openxmlformats.org/officeDocument/2006/relationships/hyperlink" Target="https://zakupivli.pro/gov/tenders/UA-2024-08-16-007878-a/lot-d825321c11524c23946505d178b1c702" TargetMode="External"/><Relationship Id="rId1745" Type="http://schemas.openxmlformats.org/officeDocument/2006/relationships/hyperlink" Target="https://my.zakupivli.pro/remote/dispatcher/state_purchase_view/57218243" TargetMode="External"/><Relationship Id="rId1952" Type="http://schemas.openxmlformats.org/officeDocument/2006/relationships/hyperlink" Target="https://my.zakupivli.pro/remote/dispatcher/state_purchase_view/58796029" TargetMode="External"/><Relationship Id="rId37" Type="http://schemas.openxmlformats.org/officeDocument/2006/relationships/hyperlink" Target="https://my.zakupki.prom.ua/remote/dispatcher/state_purchase_view/41520898" TargetMode="External"/><Relationship Id="rId1605" Type="http://schemas.openxmlformats.org/officeDocument/2006/relationships/hyperlink" Target="https://my.zakupivli.pro/remote/dispatcher/state_purchase_view/56533770" TargetMode="External"/><Relationship Id="rId1812" Type="http://schemas.openxmlformats.org/officeDocument/2006/relationships/hyperlink" Target="https://my.zakupivli.pro/remote/dispatcher/state_purchase_view/57603945" TargetMode="External"/><Relationship Id="rId186" Type="http://schemas.openxmlformats.org/officeDocument/2006/relationships/hyperlink" Target="https://zakupki.prom.ua/gov/tenders/UA-2023-03-20-010255-a" TargetMode="External"/><Relationship Id="rId393" Type="http://schemas.openxmlformats.org/officeDocument/2006/relationships/hyperlink" Target="https://my.zakupki.prom.ua/remote/dispatcher/state_purchase_view/44004041" TargetMode="External"/><Relationship Id="rId2074" Type="http://schemas.openxmlformats.org/officeDocument/2006/relationships/hyperlink" Target="https://my.zakupivli.pro/remote/dispatcher/state_purchase_view/60068496" TargetMode="External"/><Relationship Id="rId2281" Type="http://schemas.openxmlformats.org/officeDocument/2006/relationships/hyperlink" Target="https://my.zakupivli.pro/remote/dispatcher/state_purchase_view/61710895" TargetMode="External"/><Relationship Id="rId253" Type="http://schemas.openxmlformats.org/officeDocument/2006/relationships/hyperlink" Target="https://my.zakupki.prom.ua/remote/dispatcher/state_purchase_view/41743220" TargetMode="External"/><Relationship Id="rId460" Type="http://schemas.openxmlformats.org/officeDocument/2006/relationships/hyperlink" Target="https://my.zakupki.prom.ua/remote/dispatcher/state_purchase_view/45103007" TargetMode="External"/><Relationship Id="rId698" Type="http://schemas.openxmlformats.org/officeDocument/2006/relationships/hyperlink" Target="https://zakupivli.pro/gov/tenders/UA-2024-02-01-013304-a/lot-ede8b4d4e1c24398a30ec3f8c374f5bf" TargetMode="External"/><Relationship Id="rId1090" Type="http://schemas.openxmlformats.org/officeDocument/2006/relationships/hyperlink" Target="https://my.zakupivli.pro/remote/dispatcher/state_purchase_view/50942400" TargetMode="External"/><Relationship Id="rId2141" Type="http://schemas.openxmlformats.org/officeDocument/2006/relationships/hyperlink" Target="https://zakupivli.pro/gov/tenders/ua-2025-06-24-000503-a" TargetMode="External"/><Relationship Id="rId2379" Type="http://schemas.openxmlformats.org/officeDocument/2006/relationships/hyperlink" Target="https://my.zakupivli.pro/remote/dispatcher/state_purchase_view/62853645" TargetMode="External"/><Relationship Id="rId113" Type="http://schemas.openxmlformats.org/officeDocument/2006/relationships/hyperlink" Target="https://zakupki.prom.ua/gov/tenders/UA-2023-02-15-004269-a" TargetMode="External"/><Relationship Id="rId320" Type="http://schemas.openxmlformats.org/officeDocument/2006/relationships/hyperlink" Target="https://zakupki.prom.ua/gov/tenders/UA-2023-04-17-000253-a" TargetMode="External"/><Relationship Id="rId558" Type="http://schemas.openxmlformats.org/officeDocument/2006/relationships/hyperlink" Target="https://zakupivli.pro/gov/tenders/UA-2023-12-28-009172-a" TargetMode="External"/><Relationship Id="rId765" Type="http://schemas.openxmlformats.org/officeDocument/2006/relationships/hyperlink" Target="https://my.zakupivli.pro/remote/dispatcher/state_purchase_view/48907510" TargetMode="External"/><Relationship Id="rId972" Type="http://schemas.openxmlformats.org/officeDocument/2006/relationships/hyperlink" Target="https://my.zakupivli.pro/remote/dispatcher/state_purchase_view/50009434" TargetMode="External"/><Relationship Id="rId1188" Type="http://schemas.openxmlformats.org/officeDocument/2006/relationships/hyperlink" Target="https://my.zakupivli.pro/remote/dispatcher/state_purchase_view/51931077" TargetMode="External"/><Relationship Id="rId1395" Type="http://schemas.openxmlformats.org/officeDocument/2006/relationships/hyperlink" Target="https://my.zakupivli.pro/remote/dispatcher/state_purchase_view/54376354" TargetMode="External"/><Relationship Id="rId2001" Type="http://schemas.openxmlformats.org/officeDocument/2006/relationships/hyperlink" Target="https://zakupivli.pro/gov/tenders/ua-2025-05-08-001179-a" TargetMode="External"/><Relationship Id="rId2239" Type="http://schemas.openxmlformats.org/officeDocument/2006/relationships/hyperlink" Target="https://my.zakupivli.pro/remote/dispatcher/state_purchase_view/61143872" TargetMode="External"/><Relationship Id="rId2446" Type="http://schemas.openxmlformats.org/officeDocument/2006/relationships/hyperlink" Target="https://my.zakupivli.pro/remote/dispatcher/state_purchase_view/63539434" TargetMode="External"/><Relationship Id="rId418" Type="http://schemas.openxmlformats.org/officeDocument/2006/relationships/hyperlink" Target="https://my.zakupki.prom.ua/remote/dispatcher/state_purchase_view/44441001" TargetMode="External"/><Relationship Id="rId625" Type="http://schemas.openxmlformats.org/officeDocument/2006/relationships/hyperlink" Target="https://my.zakupivli.pro/remote/dispatcher/state_purchase_view/48492237" TargetMode="External"/><Relationship Id="rId832" Type="http://schemas.openxmlformats.org/officeDocument/2006/relationships/hyperlink" Target="https://my.zakupivli.pro/remote/dispatcher/state_purchase_view/49300786" TargetMode="External"/><Relationship Id="rId1048" Type="http://schemas.openxmlformats.org/officeDocument/2006/relationships/hyperlink" Target="https://my.zakupivli.pro/remote/dispatcher/state_purchase_view/50317147" TargetMode="External"/><Relationship Id="rId1255" Type="http://schemas.openxmlformats.org/officeDocument/2006/relationships/hyperlink" Target="https://zakupivli.pro/gov/tenders/UA-2024-08-05-009986-a" TargetMode="External"/><Relationship Id="rId1462" Type="http://schemas.openxmlformats.org/officeDocument/2006/relationships/hyperlink" Target="https://zakupivli.pro/gov/tenders/ua-2024-11-14-014309-a" TargetMode="External"/><Relationship Id="rId2306" Type="http://schemas.openxmlformats.org/officeDocument/2006/relationships/hyperlink" Target="https://my.zakupivli.pro/remote/dispatcher/state_purchase_view/62023755" TargetMode="External"/><Relationship Id="rId2513" Type="http://schemas.openxmlformats.org/officeDocument/2006/relationships/hyperlink" Target="https://my.zakupivli.pro/remote/dispatcher/state_purchase_view/64533570" TargetMode="External"/><Relationship Id="rId1115" Type="http://schemas.openxmlformats.org/officeDocument/2006/relationships/hyperlink" Target="https://zakupivli.pro/gov/tenders/UA-2024-05-23-004824-a/lot-984d3017e6ad48438ba3eee4225804b7" TargetMode="External"/><Relationship Id="rId1322" Type="http://schemas.openxmlformats.org/officeDocument/2006/relationships/hyperlink" Target="https://my.zakupivli.pro/remote/dispatcher/state_purchase_view/53208764" TargetMode="External"/><Relationship Id="rId1767" Type="http://schemas.openxmlformats.org/officeDocument/2006/relationships/hyperlink" Target="https://my.zakupivli.pro/remote/dispatcher/state_purchase_view/57385694" TargetMode="External"/><Relationship Id="rId1974" Type="http://schemas.openxmlformats.org/officeDocument/2006/relationships/hyperlink" Target="https://zakupivli.pro/gov/tenders/ua-2025-05-02-003008-a" TargetMode="External"/><Relationship Id="rId59" Type="http://schemas.openxmlformats.org/officeDocument/2006/relationships/hyperlink" Target="https://my.zakupki.prom.ua/remote/dispatcher/state_purchase_view/41427937" TargetMode="External"/><Relationship Id="rId1627" Type="http://schemas.openxmlformats.org/officeDocument/2006/relationships/hyperlink" Target="https://zakupivli.pro/gov/tenders/ua-2025-01-20-013715-a/lot-93e866fc5ade43b8ac57ab7bb20be4f7" TargetMode="External"/><Relationship Id="rId1834" Type="http://schemas.openxmlformats.org/officeDocument/2006/relationships/hyperlink" Target="https://my.zakupivli.pro/remote/dispatcher/state_purchase_view/57741352" TargetMode="External"/><Relationship Id="rId2096" Type="http://schemas.openxmlformats.org/officeDocument/2006/relationships/hyperlink" Target="https://zakupivli.pro/gov/tenders/ua-2025-06-12-000131-a/lot-0554f39f1e12484bb119715e1c27b2dc" TargetMode="External"/><Relationship Id="rId1901" Type="http://schemas.openxmlformats.org/officeDocument/2006/relationships/hyperlink" Target="https://my.zakupivli.pro/remote/dispatcher/state_purchase_view/58434804" TargetMode="External"/><Relationship Id="rId275" Type="http://schemas.openxmlformats.org/officeDocument/2006/relationships/hyperlink" Target="https://my.zakupki.prom.ua/remote/dispatcher/state_purchase_view/41777364" TargetMode="External"/><Relationship Id="rId482" Type="http://schemas.openxmlformats.org/officeDocument/2006/relationships/hyperlink" Target="https://my.zakupki.prom.ua/remote/dispatcher/state_purchase_view/45367412" TargetMode="External"/><Relationship Id="rId2163" Type="http://schemas.openxmlformats.org/officeDocument/2006/relationships/hyperlink" Target="https://my.zakupivli.pro/remote/dispatcher/state_purchase_view/60540211" TargetMode="External"/><Relationship Id="rId2370" Type="http://schemas.openxmlformats.org/officeDocument/2006/relationships/hyperlink" Target="https://zakupivli.pro/gov/tenders/ua-2025-10-21-010143-a" TargetMode="External"/><Relationship Id="rId135" Type="http://schemas.openxmlformats.org/officeDocument/2006/relationships/hyperlink" Target="https://zakupki.prom.ua/gov/tenders/UA-2023-03-06-002683-a/lot-97a8eaf3dee4408cb373ee5cc7f07bc8" TargetMode="External"/><Relationship Id="rId342" Type="http://schemas.openxmlformats.org/officeDocument/2006/relationships/hyperlink" Target="https://zakupki.prom.ua/gov/tenders/UA-2023-05-01-006160-a" TargetMode="External"/><Relationship Id="rId787" Type="http://schemas.openxmlformats.org/officeDocument/2006/relationships/hyperlink" Target="https://zakupivli.pro/gov/tenders/UA-2024-02-07-011182-a/lot-6039e20885524aa9b98e3e13375ae3b3" TargetMode="External"/><Relationship Id="rId994" Type="http://schemas.openxmlformats.org/officeDocument/2006/relationships/hyperlink" Target="https://my.zakupivli.pro/remote/dispatcher/state_purchase_view/49990848" TargetMode="External"/><Relationship Id="rId2023" Type="http://schemas.openxmlformats.org/officeDocument/2006/relationships/hyperlink" Target="https://my.zakupivli.pro/remote/dispatcher/state_purchase_view/59543384" TargetMode="External"/><Relationship Id="rId2230" Type="http://schemas.openxmlformats.org/officeDocument/2006/relationships/hyperlink" Target="https://my.zakupivli.pro/remote/dispatcher/state_purchase_view/61130826" TargetMode="External"/><Relationship Id="rId2468" Type="http://schemas.openxmlformats.org/officeDocument/2006/relationships/hyperlink" Target="https://zakupivli.pro/gov/tenders/ua-2025-11-24-017044-a" TargetMode="External"/><Relationship Id="rId202" Type="http://schemas.openxmlformats.org/officeDocument/2006/relationships/hyperlink" Target="https://zakupki.prom.ua/gov/tenders/UA-2023-03-23-010680-a" TargetMode="External"/><Relationship Id="rId647" Type="http://schemas.openxmlformats.org/officeDocument/2006/relationships/hyperlink" Target="https://my.zakupivli.pro/remote/dispatcher/state_purchase_view/48628967" TargetMode="External"/><Relationship Id="rId854" Type="http://schemas.openxmlformats.org/officeDocument/2006/relationships/hyperlink" Target="https://my.zakupivli.pro/remote/dispatcher/state_purchase_view/49312970" TargetMode="External"/><Relationship Id="rId1277" Type="http://schemas.openxmlformats.org/officeDocument/2006/relationships/hyperlink" Target="https://my.zakupivli.pro/remote/dispatcher/state_purchase_view/52746547" TargetMode="External"/><Relationship Id="rId1484" Type="http://schemas.openxmlformats.org/officeDocument/2006/relationships/hyperlink" Target="https://zakupivli.pro/gov/tenders/ua-2024-11-22-008839-a" TargetMode="External"/><Relationship Id="rId1691" Type="http://schemas.openxmlformats.org/officeDocument/2006/relationships/hyperlink" Target="https://my.zakupivli.pro/remote/dispatcher/state_purchase_view/56949716" TargetMode="External"/><Relationship Id="rId2328" Type="http://schemas.openxmlformats.org/officeDocument/2006/relationships/hyperlink" Target="https://my.zakupivli.pro/remote/dispatcher/state_purchase_view/62254986" TargetMode="External"/><Relationship Id="rId2535" Type="http://schemas.openxmlformats.org/officeDocument/2006/relationships/hyperlink" Target="https://zakupivli.pro/gov/tenders/ua-2025-12-19-014293-a" TargetMode="External"/><Relationship Id="rId507" Type="http://schemas.openxmlformats.org/officeDocument/2006/relationships/hyperlink" Target="https://my.zakupivli.pro/remote/dispatcher/state_purchase_view/46171793" TargetMode="External"/><Relationship Id="rId714" Type="http://schemas.openxmlformats.org/officeDocument/2006/relationships/hyperlink" Target="https://zakupivli.pro/gov/tenders/UA-2024-02-02-012931-a/lot-d52fa2184e914102a00b8ed97b108942" TargetMode="External"/><Relationship Id="rId921" Type="http://schemas.openxmlformats.org/officeDocument/2006/relationships/hyperlink" Target="https://my.zakupivli.pro/remote/dispatcher/state_purchase_view/49612800" TargetMode="External"/><Relationship Id="rId1137" Type="http://schemas.openxmlformats.org/officeDocument/2006/relationships/hyperlink" Target="https://my.zakupivli.pro/remote/dispatcher/state_purchase_view/51362144" TargetMode="External"/><Relationship Id="rId1344" Type="http://schemas.openxmlformats.org/officeDocument/2006/relationships/hyperlink" Target="https://my.zakupivli.pro/remote/dispatcher/state_purchase_view/53497297" TargetMode="External"/><Relationship Id="rId1551" Type="http://schemas.openxmlformats.org/officeDocument/2006/relationships/hyperlink" Target="https://my.zakupivli.pro/remote/dispatcher/state_purchase_view/56178120" TargetMode="External"/><Relationship Id="rId1789" Type="http://schemas.openxmlformats.org/officeDocument/2006/relationships/hyperlink" Target="https://zakupivli.pro/gov/tenders/ua-2025-02-13-004874-a" TargetMode="External"/><Relationship Id="rId1996" Type="http://schemas.openxmlformats.org/officeDocument/2006/relationships/hyperlink" Target="https://my.zakupivli.pro/remote/dispatcher/state_purchase_view/59272094" TargetMode="External"/><Relationship Id="rId50" Type="http://schemas.openxmlformats.org/officeDocument/2006/relationships/hyperlink" Target="https://my.zakupki.prom.ua/remote/dispatcher/state_purchase_view/41519085" TargetMode="External"/><Relationship Id="rId1204" Type="http://schemas.openxmlformats.org/officeDocument/2006/relationships/hyperlink" Target="https://zakupivli.pro/gov/tenders/UA-2024-07-15-002322-a" TargetMode="External"/><Relationship Id="rId1411" Type="http://schemas.openxmlformats.org/officeDocument/2006/relationships/hyperlink" Target="https://my.zakupivli.pro/remote/dispatcher/state_purchase_view/54470389" TargetMode="External"/><Relationship Id="rId1649" Type="http://schemas.openxmlformats.org/officeDocument/2006/relationships/hyperlink" Target="https://my.zakupivli.pro/remote/dispatcher/state_purchase_view/56857702" TargetMode="External"/><Relationship Id="rId1856" Type="http://schemas.openxmlformats.org/officeDocument/2006/relationships/hyperlink" Target="https://my.zakupivli.pro/remote/dispatcher/state_purchase_view/57875267" TargetMode="External"/><Relationship Id="rId1509" Type="http://schemas.openxmlformats.org/officeDocument/2006/relationships/hyperlink" Target="https://zakupivli.pro/gov/tenders/ua-2024-12-05-016124-a/lot-5b948d2d35fa4166a57eeab1785cc6de" TargetMode="External"/><Relationship Id="rId1716" Type="http://schemas.openxmlformats.org/officeDocument/2006/relationships/hyperlink" Target="https://my.zakupivli.pro/remote/dispatcher/state_purchase_view/57088046" TargetMode="External"/><Relationship Id="rId1923" Type="http://schemas.openxmlformats.org/officeDocument/2006/relationships/hyperlink" Target="https://my.zakupivli.pro/remote/dispatcher/state_purchase_view/58600113" TargetMode="External"/><Relationship Id="rId297" Type="http://schemas.openxmlformats.org/officeDocument/2006/relationships/hyperlink" Target="https://my.zakupki.prom.ua/remote/dispatcher/state_purchase_view/41816730" TargetMode="External"/><Relationship Id="rId2185" Type="http://schemas.openxmlformats.org/officeDocument/2006/relationships/hyperlink" Target="https://my.zakupivli.pro/remote/dispatcher/state_purchase_view/60853228" TargetMode="External"/><Relationship Id="rId2392" Type="http://schemas.openxmlformats.org/officeDocument/2006/relationships/hyperlink" Target="https://my.zakupivli.pro/remote/dispatcher/state_purchase_view/62909010" TargetMode="External"/><Relationship Id="rId157" Type="http://schemas.openxmlformats.org/officeDocument/2006/relationships/hyperlink" Target="https://zakupki.prom.ua/gov/tenders/UA-2023-03-13-007155-a/lot-3220eefb7f524789bc2c6212011a0f6b" TargetMode="External"/><Relationship Id="rId364" Type="http://schemas.openxmlformats.org/officeDocument/2006/relationships/hyperlink" Target="https://zakupki.prom.ua/gov/tenders/UA-2023-05-12-004983-a" TargetMode="External"/><Relationship Id="rId2045" Type="http://schemas.openxmlformats.org/officeDocument/2006/relationships/hyperlink" Target="https://my.zakupivli.pro/remote/dispatcher/state_purchase_view/59778119" TargetMode="External"/><Relationship Id="rId571" Type="http://schemas.openxmlformats.org/officeDocument/2006/relationships/hyperlink" Target="https://zakupivli.pro/gov/tenders/UA-2023-12-29-000902-a" TargetMode="External"/><Relationship Id="rId669" Type="http://schemas.openxmlformats.org/officeDocument/2006/relationships/hyperlink" Target="https://zakupivli.pro/gov/tenders/UA-2024-01-25-013506-a" TargetMode="External"/><Relationship Id="rId876" Type="http://schemas.openxmlformats.org/officeDocument/2006/relationships/hyperlink" Target="https://my.zakupivli.pro/remote/dispatcher/state_purchase_view/49381942" TargetMode="External"/><Relationship Id="rId1299" Type="http://schemas.openxmlformats.org/officeDocument/2006/relationships/hyperlink" Target="https://zakupivli.pro/gov/tenders/UA-2024-08-16-004297-a" TargetMode="External"/><Relationship Id="rId2252" Type="http://schemas.openxmlformats.org/officeDocument/2006/relationships/hyperlink" Target="https://zakupivli.pro/gov/tenders/ua-2025-08-13-007263-a" TargetMode="External"/><Relationship Id="rId224" Type="http://schemas.openxmlformats.org/officeDocument/2006/relationships/hyperlink" Target="https://zakupki.prom.ua/gov/tenders/UA-2023-03-28-006365-a" TargetMode="External"/><Relationship Id="rId431" Type="http://schemas.openxmlformats.org/officeDocument/2006/relationships/hyperlink" Target="https://zakupki.prom.ua/gov/tenders/UA-2023-08-15-012899-a/lot-4a4a907c0e9b41c7ad42e2fa2519f6a4" TargetMode="External"/><Relationship Id="rId529" Type="http://schemas.openxmlformats.org/officeDocument/2006/relationships/hyperlink" Target="https://my.zakupivli.pro/remote/dispatcher/state_purchase_view/47166044" TargetMode="External"/><Relationship Id="rId736" Type="http://schemas.openxmlformats.org/officeDocument/2006/relationships/hyperlink" Target="https://my.zakupivli.pro/remote/dispatcher/state_purchase_view/48903944" TargetMode="External"/><Relationship Id="rId1061" Type="http://schemas.openxmlformats.org/officeDocument/2006/relationships/hyperlink" Target="https://my.zakupivli.pro/remote/dispatcher/state_purchase_view/50523214" TargetMode="External"/><Relationship Id="rId1159" Type="http://schemas.openxmlformats.org/officeDocument/2006/relationships/hyperlink" Target="https://zakupivli.pro/gov/tenders/UA-2024-06-18-010109-a/lot-884438cd3b75496ea79f1b5df73420e8" TargetMode="External"/><Relationship Id="rId1366" Type="http://schemas.openxmlformats.org/officeDocument/2006/relationships/hyperlink" Target="https://zakupivli.pro/gov/tenders/ua-2024-09-27-000167-a" TargetMode="External"/><Relationship Id="rId2112" Type="http://schemas.openxmlformats.org/officeDocument/2006/relationships/hyperlink" Target="https://zakupivli.pro/gov/tenders/ua-2025-06-19-007510-a" TargetMode="External"/><Relationship Id="rId2417" Type="http://schemas.openxmlformats.org/officeDocument/2006/relationships/hyperlink" Target="https://zakupivli.pro/gov/tenders/ua-2025-11-03-000332-a" TargetMode="External"/><Relationship Id="rId943" Type="http://schemas.openxmlformats.org/officeDocument/2006/relationships/hyperlink" Target="https://zakupivli.pro/gov/tenders/UA-2024-03-12-011359-a" TargetMode="External"/><Relationship Id="rId1019" Type="http://schemas.openxmlformats.org/officeDocument/2006/relationships/hyperlink" Target="https://my.zakupivli.pro/remote/dispatcher/state_purchase_view/50191086" TargetMode="External"/><Relationship Id="rId1573" Type="http://schemas.openxmlformats.org/officeDocument/2006/relationships/hyperlink" Target="https://zakupivli.pro/gov/tenders/ua-2024-12-30-006675-a/lot-b79a8ddabf8343659b9fd9e960942b9c" TargetMode="External"/><Relationship Id="rId1780" Type="http://schemas.openxmlformats.org/officeDocument/2006/relationships/hyperlink" Target="https://my.zakupivli.pro/remote/dispatcher/state_purchase_view/57445600" TargetMode="External"/><Relationship Id="rId1878" Type="http://schemas.openxmlformats.org/officeDocument/2006/relationships/hyperlink" Target="https://my.zakupivli.pro/remote/dispatcher/state_purchase_view/58089610" TargetMode="External"/><Relationship Id="rId72" Type="http://schemas.openxmlformats.org/officeDocument/2006/relationships/hyperlink" Target="https://my.zakupki.prom.ua/remote/dispatcher/state_purchase_view/41363968" TargetMode="External"/><Relationship Id="rId803" Type="http://schemas.openxmlformats.org/officeDocument/2006/relationships/hyperlink" Target="https://zakupivli.pro/gov/tenders/UA-2024-02-08-012050-a/lot-90e0305d16a74b5396126746675ffb5f" TargetMode="External"/><Relationship Id="rId1226" Type="http://schemas.openxmlformats.org/officeDocument/2006/relationships/hyperlink" Target="https://my.zakupivli.pro/remote/dispatcher/state_purchase_view/52314049" TargetMode="External"/><Relationship Id="rId1433" Type="http://schemas.openxmlformats.org/officeDocument/2006/relationships/hyperlink" Target="https://zakupivli.pro/gov/tenders/ua-2024-11-07-003266-a" TargetMode="External"/><Relationship Id="rId1640" Type="http://schemas.openxmlformats.org/officeDocument/2006/relationships/hyperlink" Target="https://zakupivli.pro/gov/tenders/ua-2025-01-21-000895-a/lot-72cf47d587464486b68684e7ea013d5e" TargetMode="External"/><Relationship Id="rId1738" Type="http://schemas.openxmlformats.org/officeDocument/2006/relationships/hyperlink" Target="https://my.zakupivli.pro/remote/dispatcher/state_purchase_view/57188673" TargetMode="External"/><Relationship Id="rId1500" Type="http://schemas.openxmlformats.org/officeDocument/2006/relationships/hyperlink" Target="https://zakupivli.pro/gov/tenders/ua-2024-12-06-014140-a/lot-628c39fa42db430685f2c3e79f0a736d" TargetMode="External"/><Relationship Id="rId1945" Type="http://schemas.openxmlformats.org/officeDocument/2006/relationships/hyperlink" Target="https://zakupivli.pro/gov/tenders/ua-2025-04-09-007528-a" TargetMode="External"/><Relationship Id="rId1805" Type="http://schemas.openxmlformats.org/officeDocument/2006/relationships/hyperlink" Target="https://zakupivli.pro/gov/tenders/ua-2025-02-14-004784-a" TargetMode="External"/><Relationship Id="rId179" Type="http://schemas.openxmlformats.org/officeDocument/2006/relationships/hyperlink" Target="https://zakupki.prom.ua/gov/tenders/UA-2023-03-20-010690-a" TargetMode="External"/><Relationship Id="rId386" Type="http://schemas.openxmlformats.org/officeDocument/2006/relationships/hyperlink" Target="https://my.zakupki.prom.ua/remote/dispatcher/state_purchase_view/44237685" TargetMode="External"/><Relationship Id="rId593" Type="http://schemas.openxmlformats.org/officeDocument/2006/relationships/hyperlink" Target="https://zakupivli.pro/gov/tenders/UA-2024-01-12-010003-a" TargetMode="External"/><Relationship Id="rId2067" Type="http://schemas.openxmlformats.org/officeDocument/2006/relationships/hyperlink" Target="https://my.zakupivli.pro/remote/dispatcher/state_purchase_view/59941982" TargetMode="External"/><Relationship Id="rId2274" Type="http://schemas.openxmlformats.org/officeDocument/2006/relationships/hyperlink" Target="https://my.zakupivli.pro/remote/dispatcher/state_purchase_view/61671235" TargetMode="External"/><Relationship Id="rId2481" Type="http://schemas.openxmlformats.org/officeDocument/2006/relationships/hyperlink" Target="https://zakupivli.pro/gov/tenders/ua-2025-11-26-003593-a" TargetMode="External"/><Relationship Id="rId246" Type="http://schemas.openxmlformats.org/officeDocument/2006/relationships/hyperlink" Target="https://zakupki.prom.ua/gov/tenders/UA-2023-03-30-003031-a" TargetMode="External"/><Relationship Id="rId453" Type="http://schemas.openxmlformats.org/officeDocument/2006/relationships/hyperlink" Target="https://zakupki.prom.ua/gov/tenders/UA-2023-08-31-001572-a" TargetMode="External"/><Relationship Id="rId660" Type="http://schemas.openxmlformats.org/officeDocument/2006/relationships/hyperlink" Target="https://my.zakupivli.pro/remote/dispatcher/state_purchase_view/48687397" TargetMode="External"/><Relationship Id="rId898" Type="http://schemas.openxmlformats.org/officeDocument/2006/relationships/hyperlink" Target="https://zakupivli.pro/gov/tenders/UA-2024-03-01-007913-a/lot-8da8a63dd0ce42a380df5552566071d8" TargetMode="External"/><Relationship Id="rId1083" Type="http://schemas.openxmlformats.org/officeDocument/2006/relationships/hyperlink" Target="https://my.zakupivli.pro/remote/dispatcher/state_purchase_view/50869659" TargetMode="External"/><Relationship Id="rId1290" Type="http://schemas.openxmlformats.org/officeDocument/2006/relationships/hyperlink" Target="https://zakupivli.pro/gov/tenders/UA-2024-08-22-004345-a" TargetMode="External"/><Relationship Id="rId2134" Type="http://schemas.openxmlformats.org/officeDocument/2006/relationships/hyperlink" Target="https://zakupivli.pro/gov/tenders/ua-2025-06-23-000983-a" TargetMode="External"/><Relationship Id="rId2341" Type="http://schemas.openxmlformats.org/officeDocument/2006/relationships/hyperlink" Target="https://my.zakupivli.pro/remote/dispatcher/state_purchase_view/62379482" TargetMode="External"/><Relationship Id="rId106" Type="http://schemas.openxmlformats.org/officeDocument/2006/relationships/hyperlink" Target="https://my.zakupki.prom.ua/remote/dispatcher/state_purchase_view/40865826" TargetMode="External"/><Relationship Id="rId313" Type="http://schemas.openxmlformats.org/officeDocument/2006/relationships/hyperlink" Target="https://zakupki.prom.ua/gov/tenders/UA-2023-04-05-009691-a" TargetMode="External"/><Relationship Id="rId758" Type="http://schemas.openxmlformats.org/officeDocument/2006/relationships/hyperlink" Target="https://zakupivli.pro/gov/tenders/UA-2024-02-02-013279-a" TargetMode="External"/><Relationship Id="rId965" Type="http://schemas.openxmlformats.org/officeDocument/2006/relationships/hyperlink" Target="https://zakupivli.pro/gov/tenders/UA-2024-03-15-002037-a" TargetMode="External"/><Relationship Id="rId1150" Type="http://schemas.openxmlformats.org/officeDocument/2006/relationships/hyperlink" Target="https://my.zakupivli.pro/remote/dispatcher/state_purchase_view/51611381" TargetMode="External"/><Relationship Id="rId1388" Type="http://schemas.openxmlformats.org/officeDocument/2006/relationships/hyperlink" Target="https://my.zakupivli.pro/remote/dispatcher/state_purchase_view/54164412" TargetMode="External"/><Relationship Id="rId1595" Type="http://schemas.openxmlformats.org/officeDocument/2006/relationships/hyperlink" Target="https://zakupivli.pro/gov/tenders/ua-2025-01-03-003984-a/lot-decf2d07245e4d41802cc4d48de309e9" TargetMode="External"/><Relationship Id="rId2439" Type="http://schemas.openxmlformats.org/officeDocument/2006/relationships/hyperlink" Target="https://my.zakupivli.pro/remote/dispatcher/state_purchase_view/63502760" TargetMode="External"/><Relationship Id="rId94" Type="http://schemas.openxmlformats.org/officeDocument/2006/relationships/hyperlink" Target="https://my.zakupki.prom.ua/remote/dispatcher/state_purchase_view/41190348" TargetMode="External"/><Relationship Id="rId520" Type="http://schemas.openxmlformats.org/officeDocument/2006/relationships/hyperlink" Target="https://zakupivli.pro/gov/tenders/UA-2023-11-28-012355-a" TargetMode="External"/><Relationship Id="rId618" Type="http://schemas.openxmlformats.org/officeDocument/2006/relationships/hyperlink" Target="https://zakupivli.pro/gov/tenders/UA-2024-01-18-014724-a/lot-a487fc84f030424fa6d4779986499543" TargetMode="External"/><Relationship Id="rId825" Type="http://schemas.openxmlformats.org/officeDocument/2006/relationships/hyperlink" Target="https://my.zakupivli.pro/remote/dispatcher/state_purchase_view/49304261" TargetMode="External"/><Relationship Id="rId1248" Type="http://schemas.openxmlformats.org/officeDocument/2006/relationships/hyperlink" Target="https://my.zakupivli.pro/remote/dispatcher/state_purchase_view/52516319" TargetMode="External"/><Relationship Id="rId1455" Type="http://schemas.openxmlformats.org/officeDocument/2006/relationships/hyperlink" Target="https://my.zakupivli.pro/remote/dispatcher/state_purchase_view/54797048" TargetMode="External"/><Relationship Id="rId1662" Type="http://schemas.openxmlformats.org/officeDocument/2006/relationships/hyperlink" Target="https://my.zakupivli.pro/remote/dispatcher/state_purchase_view/56943093" TargetMode="External"/><Relationship Id="rId2201" Type="http://schemas.openxmlformats.org/officeDocument/2006/relationships/hyperlink" Target="https://my.zakupivli.pro/remote/dispatcher/state_purchase_view/60962145" TargetMode="External"/><Relationship Id="rId2506" Type="http://schemas.openxmlformats.org/officeDocument/2006/relationships/hyperlink" Target="https://zakupivli.pro/gov/tenders/ua-2025-12-11-001833-a" TargetMode="External"/><Relationship Id="rId1010" Type="http://schemas.openxmlformats.org/officeDocument/2006/relationships/hyperlink" Target="https://zakupivli.pro/gov/tenders/UA-2024-04-01-005782-a" TargetMode="External"/><Relationship Id="rId1108" Type="http://schemas.openxmlformats.org/officeDocument/2006/relationships/hyperlink" Target="https://my.zakupivli.pro/remote/dispatcher/state_purchase_view/51125566" TargetMode="External"/><Relationship Id="rId1315" Type="http://schemas.openxmlformats.org/officeDocument/2006/relationships/hyperlink" Target="https://zakupivli.pro/gov/tenders/UA-2024-09-02-005487-a" TargetMode="External"/><Relationship Id="rId1967" Type="http://schemas.openxmlformats.org/officeDocument/2006/relationships/hyperlink" Target="https://my.zakupivli.pro/remote/dispatcher/state_purchase_view/59070654" TargetMode="External"/><Relationship Id="rId1522" Type="http://schemas.openxmlformats.org/officeDocument/2006/relationships/hyperlink" Target="https://my.zakupivli.pro/remote/dispatcher/state_purchase_view/55863477" TargetMode="External"/><Relationship Id="rId21" Type="http://schemas.openxmlformats.org/officeDocument/2006/relationships/hyperlink" Target="https://my.zakupki.prom.ua/remote/dispatcher/state_purchase_view/40091965" TargetMode="External"/><Relationship Id="rId2089" Type="http://schemas.openxmlformats.org/officeDocument/2006/relationships/hyperlink" Target="https://zakupivli.pro/gov/tenders/ua-2025-06-12-008628-a" TargetMode="External"/><Relationship Id="rId2296" Type="http://schemas.openxmlformats.org/officeDocument/2006/relationships/hyperlink" Target="https://zakupivli.pro/gov/tenders/ua-2025-09-12-003243-a" TargetMode="External"/><Relationship Id="rId268" Type="http://schemas.openxmlformats.org/officeDocument/2006/relationships/hyperlink" Target="https://my.zakupki.prom.ua/remote/dispatcher/state_purchase_view/41780913" TargetMode="External"/><Relationship Id="rId475" Type="http://schemas.openxmlformats.org/officeDocument/2006/relationships/hyperlink" Target="https://zakupki.prom.ua/gov/tenders/UA-2023-09-05-007575-a/lot-896f824bd23949ff9ec40f9904f04ad8" TargetMode="External"/><Relationship Id="rId682" Type="http://schemas.openxmlformats.org/officeDocument/2006/relationships/hyperlink" Target="https://my.zakupivli.pro/remote/dispatcher/state_purchase_view/48825190" TargetMode="External"/><Relationship Id="rId2156" Type="http://schemas.openxmlformats.org/officeDocument/2006/relationships/hyperlink" Target="https://my.zakupivli.pro/remote/dispatcher/state_purchase_view/60535374" TargetMode="External"/><Relationship Id="rId2363" Type="http://schemas.openxmlformats.org/officeDocument/2006/relationships/hyperlink" Target="https://my.zakupivli.pro/remote/dispatcher/state_purchase_view/62761705" TargetMode="External"/><Relationship Id="rId128" Type="http://schemas.openxmlformats.org/officeDocument/2006/relationships/hyperlink" Target="https://zakupki.prom.ua/gov/tenders/UA-2023-03-02-008908-a/lot-738e2b54f77f4b5c87911d7f7077a53d" TargetMode="External"/><Relationship Id="rId335" Type="http://schemas.openxmlformats.org/officeDocument/2006/relationships/hyperlink" Target="https://my.zakupki.prom.ua/remote/dispatcher/state_purchase_view/42220687" TargetMode="External"/><Relationship Id="rId542" Type="http://schemas.openxmlformats.org/officeDocument/2006/relationships/hyperlink" Target="https://zakupivli.pro/gov/tenders/UA-2023-12-11-019550-a" TargetMode="External"/><Relationship Id="rId1172" Type="http://schemas.openxmlformats.org/officeDocument/2006/relationships/hyperlink" Target="https://my.zakupivli.pro/remote/dispatcher/state_purchase_view/51817314" TargetMode="External"/><Relationship Id="rId2016" Type="http://schemas.openxmlformats.org/officeDocument/2006/relationships/hyperlink" Target="https://my.zakupivli.pro/remote/dispatcher/state_purchase_view/59464876" TargetMode="External"/><Relationship Id="rId2223" Type="http://schemas.openxmlformats.org/officeDocument/2006/relationships/hyperlink" Target="https://my.zakupivli.pro/remote/dispatcher/state_purchase_view/61050178" TargetMode="External"/><Relationship Id="rId2430" Type="http://schemas.openxmlformats.org/officeDocument/2006/relationships/hyperlink" Target="https://my.zakupivli.pro/remote/dispatcher/state_purchase_view/63401610" TargetMode="External"/><Relationship Id="rId402" Type="http://schemas.openxmlformats.org/officeDocument/2006/relationships/hyperlink" Target="https://zakupki.prom.ua/gov/tenders/UA-2023-07-24-009279-a" TargetMode="External"/><Relationship Id="rId1032" Type="http://schemas.openxmlformats.org/officeDocument/2006/relationships/hyperlink" Target="https://my.zakupivli.pro/remote/dispatcher/state_purchase_view/50200587" TargetMode="External"/><Relationship Id="rId1989" Type="http://schemas.openxmlformats.org/officeDocument/2006/relationships/hyperlink" Target="https://zakupivli.pro/gov/tenders/ua-2025-05-06-009792-a" TargetMode="External"/><Relationship Id="rId1849" Type="http://schemas.openxmlformats.org/officeDocument/2006/relationships/hyperlink" Target="https://zakupivli.pro/gov/tenders/ua-2025-02-27-000432-a/lot-0d928d09299541788533a61ff4394140" TargetMode="External"/><Relationship Id="rId192" Type="http://schemas.openxmlformats.org/officeDocument/2006/relationships/hyperlink" Target="https://zakupki.prom.ua/gov/tenders/UA-2023-03-20-009888-a" TargetMode="External"/><Relationship Id="rId1709" Type="http://schemas.openxmlformats.org/officeDocument/2006/relationships/hyperlink" Target="https://zakupivli.pro/gov/tenders/ua-2025-01-30-008146-a/lot-5ffaee847c684cb6ad73096f99ffe10e" TargetMode="External"/><Relationship Id="rId1916" Type="http://schemas.openxmlformats.org/officeDocument/2006/relationships/hyperlink" Target="https://my.zakupivli.pro/remote/dispatcher/state_purchase_view/58523820" TargetMode="External"/><Relationship Id="rId2080" Type="http://schemas.openxmlformats.org/officeDocument/2006/relationships/hyperlink" Target="https://my.zakupivli.pro/remote/dispatcher/state_purchase_view/60044483" TargetMode="External"/><Relationship Id="rId869" Type="http://schemas.openxmlformats.org/officeDocument/2006/relationships/hyperlink" Target="https://zakupivli.pro/gov/tenders/UA-2024-02-22-000149-a" TargetMode="External"/><Relationship Id="rId1499" Type="http://schemas.openxmlformats.org/officeDocument/2006/relationships/hyperlink" Target="https://zakupivli.pro/gov/tenders/ua-2024-12-06-014805-a" TargetMode="External"/><Relationship Id="rId729" Type="http://schemas.openxmlformats.org/officeDocument/2006/relationships/hyperlink" Target="https://zakupivli.pro/gov/tenders/UA-2024-02-02-011984-a/lot-431928540d9a43159a6e3b8238f584ef" TargetMode="External"/><Relationship Id="rId1359" Type="http://schemas.openxmlformats.org/officeDocument/2006/relationships/hyperlink" Target="https://zakupivli.pro/gov/tenders/ua-2024-09-25-009794-a/lot-726c9645d8664293946e2f9fb5c14294" TargetMode="External"/><Relationship Id="rId936" Type="http://schemas.openxmlformats.org/officeDocument/2006/relationships/hyperlink" Target="https://my.zakupivli.pro/remote/dispatcher/state_purchase_view/49743496" TargetMode="External"/><Relationship Id="rId1219" Type="http://schemas.openxmlformats.org/officeDocument/2006/relationships/hyperlink" Target="https://zakupivli.pro/gov/tenders/UA-2024-07-22-008778-a" TargetMode="External"/><Relationship Id="rId1566" Type="http://schemas.openxmlformats.org/officeDocument/2006/relationships/hyperlink" Target="https://zakupivli.pro/gov/tenders/ua-2024-12-26-010326-a/lot-8495b0b47a884eb9a5e5781237145fc2" TargetMode="External"/><Relationship Id="rId1773" Type="http://schemas.openxmlformats.org/officeDocument/2006/relationships/hyperlink" Target="https://zakupivli.pro/gov/tenders/ua-2025-02-11-014703-a/lot-3b27ac22678548a3bedeaf13ff8039f4" TargetMode="External"/><Relationship Id="rId1980" Type="http://schemas.openxmlformats.org/officeDocument/2006/relationships/hyperlink" Target="https://my.zakupivli.pro/remote/dispatcher/state_purchase_view/59208249" TargetMode="External"/><Relationship Id="rId65" Type="http://schemas.openxmlformats.org/officeDocument/2006/relationships/hyperlink" Target="https://my.zakupki.prom.ua/remote/dispatcher/state_purchase_view/41426508" TargetMode="External"/><Relationship Id="rId1426" Type="http://schemas.openxmlformats.org/officeDocument/2006/relationships/hyperlink" Target="https://my.zakupivli.pro/remote/dispatcher/state_purchase_view/54591270" TargetMode="External"/><Relationship Id="rId1633" Type="http://schemas.openxmlformats.org/officeDocument/2006/relationships/hyperlink" Target="https://my.zakupivli.pro/remote/dispatcher/state_purchase_view/56727364" TargetMode="External"/><Relationship Id="rId1840" Type="http://schemas.openxmlformats.org/officeDocument/2006/relationships/hyperlink" Target="https://zakupivli.pro/gov/tenders/ua-2025-02-26-012076-a" TargetMode="External"/><Relationship Id="rId1700" Type="http://schemas.openxmlformats.org/officeDocument/2006/relationships/hyperlink" Target="https://my.zakupivli.pro/remote/dispatcher/state_purchase_view/57062513" TargetMode="External"/><Relationship Id="rId379" Type="http://schemas.openxmlformats.org/officeDocument/2006/relationships/hyperlink" Target="https://zakupki.prom.ua/gov/tenders/UA-2023-07-04-003582-a" TargetMode="External"/><Relationship Id="rId586" Type="http://schemas.openxmlformats.org/officeDocument/2006/relationships/hyperlink" Target="https://zakupivli.pro/gov/tenders/UA-2024-01-08-005490-a" TargetMode="External"/><Relationship Id="rId793" Type="http://schemas.openxmlformats.org/officeDocument/2006/relationships/hyperlink" Target="https://zakupivli.pro/gov/tenders/UA-2024-02-08-002419-a" TargetMode="External"/><Relationship Id="rId2267" Type="http://schemas.openxmlformats.org/officeDocument/2006/relationships/hyperlink" Target="https://my.zakupivli.pro/remote/dispatcher/state_purchase_view/61566886" TargetMode="External"/><Relationship Id="rId2474" Type="http://schemas.openxmlformats.org/officeDocument/2006/relationships/hyperlink" Target="https://my.zakupivli.pro/remote/dispatcher/state_purchase_view/63814782" TargetMode="External"/><Relationship Id="rId239" Type="http://schemas.openxmlformats.org/officeDocument/2006/relationships/hyperlink" Target="https://my.zakupki.prom.ua/remote/dispatcher/state_purchase_view/41719988" TargetMode="External"/><Relationship Id="rId446" Type="http://schemas.openxmlformats.org/officeDocument/2006/relationships/hyperlink" Target="https://zakupki.prom.ua/gov/tenders/UA-2023-08-28-000647-a" TargetMode="External"/><Relationship Id="rId653" Type="http://schemas.openxmlformats.org/officeDocument/2006/relationships/hyperlink" Target="https://zakupivli.pro/gov/tenders/UA-2024-01-24-010255-a/lot-5ba3acf01d964a4abc56d6441d99b463" TargetMode="External"/><Relationship Id="rId1076" Type="http://schemas.openxmlformats.org/officeDocument/2006/relationships/hyperlink" Target="https://zakupivli.pro/gov/tenders/UA-2024-04-30-007763-a" TargetMode="External"/><Relationship Id="rId1283" Type="http://schemas.openxmlformats.org/officeDocument/2006/relationships/hyperlink" Target="https://my.zakupivli.pro/remote/dispatcher/state_purchase_view/52723728" TargetMode="External"/><Relationship Id="rId1490" Type="http://schemas.openxmlformats.org/officeDocument/2006/relationships/hyperlink" Target="https://my.zakupivli.pro/remote/dispatcher/state_purchase_view/55188936" TargetMode="External"/><Relationship Id="rId2127" Type="http://schemas.openxmlformats.org/officeDocument/2006/relationships/hyperlink" Target="https://zakupivli.pro/gov/tenders/ua-2025-06-20-002703-a" TargetMode="External"/><Relationship Id="rId2334" Type="http://schemas.openxmlformats.org/officeDocument/2006/relationships/hyperlink" Target="https://zakupivli.pro/gov/tenders/ua-2025-09-29-011586-a" TargetMode="External"/><Relationship Id="rId306" Type="http://schemas.openxmlformats.org/officeDocument/2006/relationships/hyperlink" Target="https://zakupki.prom.ua/gov/tenders/UA-2023-04-04-000779-a" TargetMode="External"/><Relationship Id="rId860" Type="http://schemas.openxmlformats.org/officeDocument/2006/relationships/hyperlink" Target="https://my.zakupivli.pro/remote/dispatcher/state_purchase_view/49350980" TargetMode="External"/><Relationship Id="rId1143" Type="http://schemas.openxmlformats.org/officeDocument/2006/relationships/hyperlink" Target="https://zakupivli.pro/gov/tenders/UA-2024-06-06-001299-a" TargetMode="External"/><Relationship Id="rId2541" Type="http://schemas.openxmlformats.org/officeDocument/2006/relationships/hyperlink" Target="https://my.zakupivli.pro/remote/dispatcher/state_purchase_view/65022258" TargetMode="External"/><Relationship Id="rId513" Type="http://schemas.openxmlformats.org/officeDocument/2006/relationships/hyperlink" Target="https://my.zakupivli.pro/remote/dispatcher/state_purchase_view/46516934" TargetMode="External"/><Relationship Id="rId720" Type="http://schemas.openxmlformats.org/officeDocument/2006/relationships/hyperlink" Target="https://my.zakupivli.pro/remote/dispatcher/state_purchase_view/48906433" TargetMode="External"/><Relationship Id="rId1350" Type="http://schemas.openxmlformats.org/officeDocument/2006/relationships/hyperlink" Target="https://zakupivli.pro/gov/tenders/ua-2024-09-23-002326-a" TargetMode="External"/><Relationship Id="rId2401" Type="http://schemas.openxmlformats.org/officeDocument/2006/relationships/hyperlink" Target="https://my.zakupivli.pro/remote/dispatcher/state_purchase_view/63012648" TargetMode="External"/><Relationship Id="rId1003" Type="http://schemas.openxmlformats.org/officeDocument/2006/relationships/hyperlink" Target="https://zakupivli.pro/gov/tenders/UA-2024-03-28-009986-a" TargetMode="External"/><Relationship Id="rId1210" Type="http://schemas.openxmlformats.org/officeDocument/2006/relationships/hyperlink" Target="https://zakupivli.pro/gov/tenders/UA-2024-07-18-003108-a" TargetMode="External"/><Relationship Id="rId2191" Type="http://schemas.openxmlformats.org/officeDocument/2006/relationships/hyperlink" Target="https://my.zakupivli.pro/remote/dispatcher/state_purchase_view/60904735" TargetMode="External"/><Relationship Id="rId163" Type="http://schemas.openxmlformats.org/officeDocument/2006/relationships/hyperlink" Target="https://zakupki.prom.ua/gov/tenders/UA-2023-03-15-009913-a/lot-269f00fd99a34af28eaf6b998301eff5" TargetMode="External"/><Relationship Id="rId370" Type="http://schemas.openxmlformats.org/officeDocument/2006/relationships/hyperlink" Target="https://my.zakupki.prom.ua/remote/dispatcher/state_purchase_view/43724189" TargetMode="External"/><Relationship Id="rId2051" Type="http://schemas.openxmlformats.org/officeDocument/2006/relationships/hyperlink" Target="https://my.zakupivli.pro/remote/dispatcher/state_purchase_view/59851810" TargetMode="External"/><Relationship Id="rId230" Type="http://schemas.openxmlformats.org/officeDocument/2006/relationships/hyperlink" Target="https://zakupki.prom.ua/gov/tenders/UA-2023-03-30-000276-a" TargetMode="External"/><Relationship Id="rId1677" Type="http://schemas.openxmlformats.org/officeDocument/2006/relationships/hyperlink" Target="https://zakupivli.pro/gov/tenders/ua-2025-01-27-014227-a/lot-301fda2687614776ba6eb6a72abd4da7" TargetMode="External"/><Relationship Id="rId1884" Type="http://schemas.openxmlformats.org/officeDocument/2006/relationships/hyperlink" Target="https://my.zakupivli.pro/remote/dispatcher/state_purchase_view/58199921" TargetMode="External"/><Relationship Id="rId907" Type="http://schemas.openxmlformats.org/officeDocument/2006/relationships/hyperlink" Target="https://zakupivli.pro/gov/tenders/UA-2024-03-04-011178-a" TargetMode="External"/><Relationship Id="rId1537" Type="http://schemas.openxmlformats.org/officeDocument/2006/relationships/hyperlink" Target="https://zakupivli.pro/gov/tenders/ua-2024-12-19-015237-a/lot-866ba318f0d74c89ac62062a62b4e097" TargetMode="External"/><Relationship Id="rId1744" Type="http://schemas.openxmlformats.org/officeDocument/2006/relationships/hyperlink" Target="https://my.zakupivli.pro/remote/dispatcher/state_purchase_view/57218765" TargetMode="External"/><Relationship Id="rId1951" Type="http://schemas.openxmlformats.org/officeDocument/2006/relationships/hyperlink" Target="https://my.zakupivli.pro/remote/dispatcher/state_purchase_view/58797476" TargetMode="External"/><Relationship Id="rId36" Type="http://schemas.openxmlformats.org/officeDocument/2006/relationships/hyperlink" Target="https://my.zakupki.prom.ua/remote/dispatcher/state_purchase_view/41521176" TargetMode="External"/><Relationship Id="rId1604" Type="http://schemas.openxmlformats.org/officeDocument/2006/relationships/hyperlink" Target="https://my.zakupivli.pro/remote/dispatcher/state_purchase_view/56534913" TargetMode="External"/><Relationship Id="rId1811" Type="http://schemas.openxmlformats.org/officeDocument/2006/relationships/hyperlink" Target="https://my.zakupivli.pro/remote/dispatcher/state_purchase_view/57606569" TargetMode="External"/><Relationship Id="rId697" Type="http://schemas.openxmlformats.org/officeDocument/2006/relationships/hyperlink" Target="https://my.zakupivli.pro/remote/dispatcher/state_purchase_view/48871901" TargetMode="External"/><Relationship Id="rId2378" Type="http://schemas.openxmlformats.org/officeDocument/2006/relationships/hyperlink" Target="https://my.zakupivli.pro/remote/dispatcher/state_purchase_view/62855366" TargetMode="External"/><Relationship Id="rId1187" Type="http://schemas.openxmlformats.org/officeDocument/2006/relationships/hyperlink" Target="https://zakupivli.pro/gov/tenders/UA-2024-07-01-004453-a" TargetMode="External"/><Relationship Id="rId557" Type="http://schemas.openxmlformats.org/officeDocument/2006/relationships/hyperlink" Target="https://my.zakupivli.pro/remote/dispatcher/state_purchase_view/48106223" TargetMode="External"/><Relationship Id="rId764" Type="http://schemas.openxmlformats.org/officeDocument/2006/relationships/hyperlink" Target="https://my.zakupivli.pro/remote/dispatcher/state_purchase_view/48907725" TargetMode="External"/><Relationship Id="rId971" Type="http://schemas.openxmlformats.org/officeDocument/2006/relationships/hyperlink" Target="https://zakupivli.pro/gov/tenders/UA-2024-03-21-008100-a" TargetMode="External"/><Relationship Id="rId1394" Type="http://schemas.openxmlformats.org/officeDocument/2006/relationships/hyperlink" Target="https://my.zakupivli.pro/remote/dispatcher/state_purchase_view/54376960" TargetMode="External"/><Relationship Id="rId2238" Type="http://schemas.openxmlformats.org/officeDocument/2006/relationships/hyperlink" Target="https://my.zakupivli.pro/remote/dispatcher/state_purchase_view/61143988" TargetMode="External"/><Relationship Id="rId2445" Type="http://schemas.openxmlformats.org/officeDocument/2006/relationships/hyperlink" Target="https://my.zakupivli.pro/remote/dispatcher/state_purchase_view/63539895" TargetMode="External"/><Relationship Id="rId417" Type="http://schemas.openxmlformats.org/officeDocument/2006/relationships/hyperlink" Target="https://my.zakupki.prom.ua/remote/dispatcher/state_purchase_view/44441521" TargetMode="External"/><Relationship Id="rId624" Type="http://schemas.openxmlformats.org/officeDocument/2006/relationships/hyperlink" Target="https://zakupivli.pro/gov/tenders/UA-2024-01-18-016148-a/lot-aec47e57b80445e6a012a23c508facff" TargetMode="External"/><Relationship Id="rId831" Type="http://schemas.openxmlformats.org/officeDocument/2006/relationships/hyperlink" Target="https://my.zakupivli.pro/remote/dispatcher/state_purchase_view/49301487" TargetMode="External"/><Relationship Id="rId1047" Type="http://schemas.openxmlformats.org/officeDocument/2006/relationships/hyperlink" Target="https://zakupivli.pro/gov/tenders/UA-2024-04-09-000106-a" TargetMode="External"/><Relationship Id="rId1254" Type="http://schemas.openxmlformats.org/officeDocument/2006/relationships/hyperlink" Target="https://zakupivli.pro/gov/tenders/UA-2024-08-05-007656-a" TargetMode="External"/><Relationship Id="rId1461" Type="http://schemas.openxmlformats.org/officeDocument/2006/relationships/hyperlink" Target="https://zakupivli.pro/gov/tenders/ua-2024-11-14-014342-a" TargetMode="External"/><Relationship Id="rId2305" Type="http://schemas.openxmlformats.org/officeDocument/2006/relationships/hyperlink" Target="https://my.zakupivli.pro/remote/dispatcher/state_purchase_view/62023792" TargetMode="External"/><Relationship Id="rId2512" Type="http://schemas.openxmlformats.org/officeDocument/2006/relationships/hyperlink" Target="https://my.zakupivli.pro/remote/dispatcher/state_purchase_view/64534478" TargetMode="External"/><Relationship Id="rId1114" Type="http://schemas.openxmlformats.org/officeDocument/2006/relationships/hyperlink" Target="https://my.zakupivli.pro/remote/dispatcher/state_purchase_view/51179925" TargetMode="External"/><Relationship Id="rId1321" Type="http://schemas.openxmlformats.org/officeDocument/2006/relationships/hyperlink" Target="https://zakupivli.pro/gov/tenders/UA-2024-09-09-012658-a" TargetMode="External"/><Relationship Id="rId2095" Type="http://schemas.openxmlformats.org/officeDocument/2006/relationships/hyperlink" Target="https://zakupivli.pro/gov/tenders/ua-2025-06-12-000279-a/lot-f26ee65b706c4d75a5ba58abf9a1b833" TargetMode="External"/><Relationship Id="rId274" Type="http://schemas.openxmlformats.org/officeDocument/2006/relationships/hyperlink" Target="https://my.zakupki.prom.ua/remote/dispatcher/state_purchase_view/41777421" TargetMode="External"/><Relationship Id="rId481" Type="http://schemas.openxmlformats.org/officeDocument/2006/relationships/hyperlink" Target="https://zakupki.prom.ua/gov/tenders/UA-2023-09-20-010554-a" TargetMode="External"/><Relationship Id="rId2162" Type="http://schemas.openxmlformats.org/officeDocument/2006/relationships/hyperlink" Target="https://zakupivli.pro/gov/tenders/ua-2025-07-04-006125-a" TargetMode="External"/><Relationship Id="rId134" Type="http://schemas.openxmlformats.org/officeDocument/2006/relationships/hyperlink" Target="https://zakupki.prom.ua/gov/tenders/UA-2023-03-03-001590-a" TargetMode="External"/><Relationship Id="rId341" Type="http://schemas.openxmlformats.org/officeDocument/2006/relationships/hyperlink" Target="https://zakupki.prom.ua/gov/tenders/UA-2023-04-27-003600-a" TargetMode="External"/><Relationship Id="rId2022" Type="http://schemas.openxmlformats.org/officeDocument/2006/relationships/hyperlink" Target="https://zakupivli.pro/gov/tenders/ua-2025-05-19-012608-a" TargetMode="External"/><Relationship Id="rId201" Type="http://schemas.openxmlformats.org/officeDocument/2006/relationships/hyperlink" Target="https://zakupki.prom.ua/gov/tenders/UA-2023-03-23-010751-a" TargetMode="External"/><Relationship Id="rId1788" Type="http://schemas.openxmlformats.org/officeDocument/2006/relationships/hyperlink" Target="https://zakupivli.pro/gov/tenders/ua-2025-02-13-007747-a" TargetMode="External"/><Relationship Id="rId1995" Type="http://schemas.openxmlformats.org/officeDocument/2006/relationships/hyperlink" Target="https://my.zakupivli.pro/remote/dispatcher/state_purchase_view/59272383" TargetMode="External"/><Relationship Id="rId1648" Type="http://schemas.openxmlformats.org/officeDocument/2006/relationships/hyperlink" Target="https://zakupivli.pro/gov/tenders/ua-2025-01-23-015872-a" TargetMode="External"/><Relationship Id="rId1508" Type="http://schemas.openxmlformats.org/officeDocument/2006/relationships/hyperlink" Target="https://zakupivli.pro/gov/tenders/ua-2024-12-06-011782-a" TargetMode="External"/><Relationship Id="rId1855" Type="http://schemas.openxmlformats.org/officeDocument/2006/relationships/hyperlink" Target="https://zakupivli.pro/gov/tenders/ua-2025-03-04-011644-a" TargetMode="External"/><Relationship Id="rId1715" Type="http://schemas.openxmlformats.org/officeDocument/2006/relationships/hyperlink" Target="https://my.zakupivli.pro/remote/dispatcher/state_purchase_view/57092017" TargetMode="External"/><Relationship Id="rId1922" Type="http://schemas.openxmlformats.org/officeDocument/2006/relationships/hyperlink" Target="https://zakupivli.pro/gov/tenders/ua-2025-04-01-011215-a/lot-0f088b511d4145e886ac9bbccd57dd61" TargetMode="External"/><Relationship Id="rId2489" Type="http://schemas.openxmlformats.org/officeDocument/2006/relationships/hyperlink" Target="https://my.zakupivli.pro/remote/dispatcher/state_purchase_view/64233367" TargetMode="External"/><Relationship Id="rId668" Type="http://schemas.openxmlformats.org/officeDocument/2006/relationships/hyperlink" Target="https://zakupivli.pro/gov/tenders/UA-2024-01-25-013604-a" TargetMode="External"/><Relationship Id="rId875" Type="http://schemas.openxmlformats.org/officeDocument/2006/relationships/hyperlink" Target="https://zakupivli.pro/gov/tenders/UA-2024-02-22-008123-a/lot-e39baa3fa77a42ce898094455d3bd131" TargetMode="External"/><Relationship Id="rId1298" Type="http://schemas.openxmlformats.org/officeDocument/2006/relationships/hyperlink" Target="https://zakupivli.pro/gov/tenders/UA-2024-08-16-002605-a" TargetMode="External"/><Relationship Id="rId2349" Type="http://schemas.openxmlformats.org/officeDocument/2006/relationships/hyperlink" Target="https://my.zakupivli.pro/remote/dispatcher/state_purchase_view/62400402" TargetMode="External"/><Relationship Id="rId528" Type="http://schemas.openxmlformats.org/officeDocument/2006/relationships/hyperlink" Target="https://zakupivli.pro/gov/tenders/UA-2023-12-01-004762-a" TargetMode="External"/><Relationship Id="rId735" Type="http://schemas.openxmlformats.org/officeDocument/2006/relationships/hyperlink" Target="https://zakupivli.pro/gov/tenders/UA-2024-02-02-011602-a/lot-e225c19f54204a91a5a74f086a0c2b78" TargetMode="External"/><Relationship Id="rId942" Type="http://schemas.openxmlformats.org/officeDocument/2006/relationships/hyperlink" Target="https://my.zakupivli.pro/remote/dispatcher/state_purchase_view/49733918" TargetMode="External"/><Relationship Id="rId1158" Type="http://schemas.openxmlformats.org/officeDocument/2006/relationships/hyperlink" Target="https://zakupivli.pro/gov/tenders/UA-2024-06-18-008358-a/lot-e9e0f5a7498c45d487bcaa4b6fdd453f" TargetMode="External"/><Relationship Id="rId1365" Type="http://schemas.openxmlformats.org/officeDocument/2006/relationships/hyperlink" Target="https://my.zakupivli.pro/remote/dispatcher/state_purchase_view/53622364" TargetMode="External"/><Relationship Id="rId1572" Type="http://schemas.openxmlformats.org/officeDocument/2006/relationships/hyperlink" Target="https://my.zakupivli.pro/remote/dispatcher/state_purchase_view/56282686" TargetMode="External"/><Relationship Id="rId2209" Type="http://schemas.openxmlformats.org/officeDocument/2006/relationships/hyperlink" Target="https://my.zakupivli.pro/remote/dispatcher/state_purchase_view/60971624" TargetMode="External"/><Relationship Id="rId2416" Type="http://schemas.openxmlformats.org/officeDocument/2006/relationships/hyperlink" Target="https://my.zakupivli.pro/remote/dispatcher/state_purchase_view/63132800" TargetMode="External"/><Relationship Id="rId1018" Type="http://schemas.openxmlformats.org/officeDocument/2006/relationships/hyperlink" Target="https://my.zakupivli.pro/remote/dispatcher/state_purchase_view/50191401" TargetMode="External"/><Relationship Id="rId1225" Type="http://schemas.openxmlformats.org/officeDocument/2006/relationships/hyperlink" Target="https://zakupivli.pro/gov/tenders/UA-2024-07-23-006477-a" TargetMode="External"/><Relationship Id="rId1432" Type="http://schemas.openxmlformats.org/officeDocument/2006/relationships/hyperlink" Target="https://my.zakupivli.pro/remote/dispatcher/state_purchase_view/54604192" TargetMode="External"/><Relationship Id="rId71" Type="http://schemas.openxmlformats.org/officeDocument/2006/relationships/hyperlink" Target="https://my.zakupki.prom.ua/remote/dispatcher/state_purchase_view/41371338" TargetMode="External"/><Relationship Id="rId802" Type="http://schemas.openxmlformats.org/officeDocument/2006/relationships/hyperlink" Target="https://zakupivli.pro/gov/tenders/UA-2024-02-08-012868-a/lot-630d0160dbe1449689cdaf7e91fad0fd" TargetMode="External"/><Relationship Id="rId178" Type="http://schemas.openxmlformats.org/officeDocument/2006/relationships/hyperlink" Target="https://zakupki.prom.ua/gov/tenders/UA-2023-03-20-010821-a" TargetMode="External"/><Relationship Id="rId385" Type="http://schemas.openxmlformats.org/officeDocument/2006/relationships/hyperlink" Target="https://my.zakupki.prom.ua/remote/dispatcher/state_purchase_view/44239007" TargetMode="External"/><Relationship Id="rId592" Type="http://schemas.openxmlformats.org/officeDocument/2006/relationships/hyperlink" Target="https://my.zakupivli.pro/remote/dispatcher/state_purchase_view/48324529" TargetMode="External"/><Relationship Id="rId2066" Type="http://schemas.openxmlformats.org/officeDocument/2006/relationships/hyperlink" Target="https://zakupivli.pro/gov/tenders/ua-2025-06-05-002120-a" TargetMode="External"/><Relationship Id="rId2273" Type="http://schemas.openxmlformats.org/officeDocument/2006/relationships/hyperlink" Target="https://my.zakupivli.pro/remote/dispatcher/state_purchase_view/61685372" TargetMode="External"/><Relationship Id="rId2480" Type="http://schemas.openxmlformats.org/officeDocument/2006/relationships/hyperlink" Target="https://zakupivli.pro/gov/tenders/ua-2025-11-26-003960-a" TargetMode="External"/><Relationship Id="rId245" Type="http://schemas.openxmlformats.org/officeDocument/2006/relationships/hyperlink" Target="https://zakupki.prom.ua/gov/tenders/UA-2023-03-30-003251-a" TargetMode="External"/><Relationship Id="rId452" Type="http://schemas.openxmlformats.org/officeDocument/2006/relationships/hyperlink" Target="https://my.zakupki.prom.ua/remote/dispatcher/state_purchase_view/44854535" TargetMode="External"/><Relationship Id="rId1082" Type="http://schemas.openxmlformats.org/officeDocument/2006/relationships/hyperlink" Target="https://my.zakupivli.pro/remote/dispatcher/state_purchase_view/50870545" TargetMode="External"/><Relationship Id="rId2133" Type="http://schemas.openxmlformats.org/officeDocument/2006/relationships/hyperlink" Target="https://zakupivli.pro/gov/tenders/ua-2025-06-23-001718-a" TargetMode="External"/><Relationship Id="rId2340" Type="http://schemas.openxmlformats.org/officeDocument/2006/relationships/hyperlink" Target="https://my.zakupivli.pro/remote/dispatcher/state_purchase_view/62379747" TargetMode="External"/><Relationship Id="rId105" Type="http://schemas.openxmlformats.org/officeDocument/2006/relationships/hyperlink" Target="https://my.zakupki.prom.ua/remote/dispatcher/state_purchase_view/40896071" TargetMode="External"/><Relationship Id="rId312" Type="http://schemas.openxmlformats.org/officeDocument/2006/relationships/hyperlink" Target="https://zakupki.prom.ua/gov/tenders/UA-2023-04-05-010348-a" TargetMode="External"/><Relationship Id="rId2200" Type="http://schemas.openxmlformats.org/officeDocument/2006/relationships/hyperlink" Target="https://zakupivli.pro/gov/tenders/ua-2025-07-24-000121-a" TargetMode="External"/><Relationship Id="rId1899" Type="http://schemas.openxmlformats.org/officeDocument/2006/relationships/hyperlink" Target="https://zakupivli.pro/gov/tenders/ua-2025-03-24-000505-a" TargetMode="External"/><Relationship Id="rId1759" Type="http://schemas.openxmlformats.org/officeDocument/2006/relationships/hyperlink" Target="https://zakupivli.pro/gov/tenders/ua-2025-02-07-010817-a/lot-a67752bd5f084d6fa7839c33b4ee117f" TargetMode="External"/><Relationship Id="rId1966" Type="http://schemas.openxmlformats.org/officeDocument/2006/relationships/hyperlink" Target="https://zakupivli.pro/gov/tenders/ua-2025-04-23-000184-a" TargetMode="External"/><Relationship Id="rId1619" Type="http://schemas.openxmlformats.org/officeDocument/2006/relationships/hyperlink" Target="https://zakupivli.pro/gov/tenders/ua-2025-01-16-010939-a/lot-21f071099f3b4397b02db75d7e195ceb" TargetMode="External"/><Relationship Id="rId1826" Type="http://schemas.openxmlformats.org/officeDocument/2006/relationships/hyperlink" Target="https://zakupivli.pro/gov/tenders/ua-2025-02-21-009763-a" TargetMode="External"/><Relationship Id="rId779" Type="http://schemas.openxmlformats.org/officeDocument/2006/relationships/hyperlink" Target="https://zakupivli.pro/gov/tenders/UA-2024-02-06-009098-a" TargetMode="External"/><Relationship Id="rId986" Type="http://schemas.openxmlformats.org/officeDocument/2006/relationships/hyperlink" Target="https://my.zakupivli.pro/remote/dispatcher/state_purchase_view/49991359" TargetMode="External"/><Relationship Id="rId639" Type="http://schemas.openxmlformats.org/officeDocument/2006/relationships/hyperlink" Target="https://my.zakupivli.pro/remote/dispatcher/state_purchase_view/48579121" TargetMode="External"/><Relationship Id="rId1269" Type="http://schemas.openxmlformats.org/officeDocument/2006/relationships/hyperlink" Target="https://zakupivli.pro/gov/tenders/UA-2024-08-08-011169-a" TargetMode="External"/><Relationship Id="rId1476" Type="http://schemas.openxmlformats.org/officeDocument/2006/relationships/hyperlink" Target="https://zakupivli.pro/gov/tenders/ua-2024-11-15-012380-a" TargetMode="External"/><Relationship Id="rId846" Type="http://schemas.openxmlformats.org/officeDocument/2006/relationships/hyperlink" Target="https://zakupivli.pro/gov/tenders/UA-2024-02-20-010042-a" TargetMode="External"/><Relationship Id="rId1129" Type="http://schemas.openxmlformats.org/officeDocument/2006/relationships/hyperlink" Target="https://zakupivli.pro/gov/tenders/UA-2024-05-27-006168-a" TargetMode="External"/><Relationship Id="rId1683" Type="http://schemas.openxmlformats.org/officeDocument/2006/relationships/hyperlink" Target="https://my.zakupivli.pro/remote/dispatcher/state_purchase_view/56947791" TargetMode="External"/><Relationship Id="rId1890" Type="http://schemas.openxmlformats.org/officeDocument/2006/relationships/hyperlink" Target="https://my.zakupivli.pro/remote/dispatcher/state_purchase_view/58273102" TargetMode="External"/><Relationship Id="rId2527" Type="http://schemas.openxmlformats.org/officeDocument/2006/relationships/hyperlink" Target="https://zakupivli.pro/gov/tenders/ua-2025-12-16-011616-a" TargetMode="External"/><Relationship Id="rId706" Type="http://schemas.openxmlformats.org/officeDocument/2006/relationships/hyperlink" Target="https://zakupivli.pro/gov/tenders/UA-2024-02-02-013046-a" TargetMode="External"/><Relationship Id="rId913" Type="http://schemas.openxmlformats.org/officeDocument/2006/relationships/hyperlink" Target="https://zakupivli.pro/gov/tenders/UA-2024-03-04-002146-a" TargetMode="External"/><Relationship Id="rId1336" Type="http://schemas.openxmlformats.org/officeDocument/2006/relationships/hyperlink" Target="https://zakupivli.pro/gov/tenders/ua-2024-09-13-010422-a" TargetMode="External"/><Relationship Id="rId1543" Type="http://schemas.openxmlformats.org/officeDocument/2006/relationships/hyperlink" Target="https://my.zakupivli.pro/remote/dispatcher/state_purchase_view/56084031" TargetMode="External"/><Relationship Id="rId1750" Type="http://schemas.openxmlformats.org/officeDocument/2006/relationships/hyperlink" Target="https://zakupivli.pro/gov/tenders/ua-2025-02-05-009432-a" TargetMode="External"/><Relationship Id="rId42" Type="http://schemas.openxmlformats.org/officeDocument/2006/relationships/hyperlink" Target="https://my.zakupki.prom.ua/remote/dispatcher/state_purchase_view/41520193" TargetMode="External"/><Relationship Id="rId1403" Type="http://schemas.openxmlformats.org/officeDocument/2006/relationships/hyperlink" Target="https://my.zakupivli.pro/remote/dispatcher/state_purchase_view/54409008" TargetMode="External"/><Relationship Id="rId1610" Type="http://schemas.openxmlformats.org/officeDocument/2006/relationships/hyperlink" Target="https://zakupivli.pro/gov/tenders/ua-2025-01-14-012680-a/lot-c5eb74efef1c4e54bc9797769aacf50e" TargetMode="External"/><Relationship Id="rId289" Type="http://schemas.openxmlformats.org/officeDocument/2006/relationships/hyperlink" Target="https://zakupki.prom.ua/gov/tenders/UA-2023-04-04-000133-a" TargetMode="External"/><Relationship Id="rId496" Type="http://schemas.openxmlformats.org/officeDocument/2006/relationships/hyperlink" Target="https://zakupki.prom.ua/gov/tenders/UA-2023-10-03-002362-a" TargetMode="External"/><Relationship Id="rId2177" Type="http://schemas.openxmlformats.org/officeDocument/2006/relationships/hyperlink" Target="https://zakupivli.pro/gov/tenders/ua-2025-07-09-006707-a" TargetMode="External"/><Relationship Id="rId2384" Type="http://schemas.openxmlformats.org/officeDocument/2006/relationships/hyperlink" Target="https://zakupivli.pro/gov/tenders/ua-2025-10-22-005105-a" TargetMode="External"/><Relationship Id="rId149" Type="http://schemas.openxmlformats.org/officeDocument/2006/relationships/hyperlink" Target="https://zakupki.prom.ua/gov/tenders/UA-2023-03-10-000555-a/lot-cd85c8f4588b4591bc93310fe1e7fe1b" TargetMode="External"/><Relationship Id="rId356" Type="http://schemas.openxmlformats.org/officeDocument/2006/relationships/hyperlink" Target="https://my.zakupki.prom.ua/remote/dispatcher/state_purchase_view/42504562" TargetMode="External"/><Relationship Id="rId563" Type="http://schemas.openxmlformats.org/officeDocument/2006/relationships/hyperlink" Target="https://my.zakupivli.pro/remote/dispatcher/state_purchase_view/48111319" TargetMode="External"/><Relationship Id="rId770" Type="http://schemas.openxmlformats.org/officeDocument/2006/relationships/hyperlink" Target="https://my.zakupivli.pro/remote/dispatcher/state_purchase_view/48971877" TargetMode="External"/><Relationship Id="rId1193" Type="http://schemas.openxmlformats.org/officeDocument/2006/relationships/hyperlink" Target="https://zakupivli.pro/gov/tenders/UA-2024-07-03-007270-a" TargetMode="External"/><Relationship Id="rId2037" Type="http://schemas.openxmlformats.org/officeDocument/2006/relationships/hyperlink" Target="https://my.zakupivli.pro/remote/dispatcher/state_purchase_view/59692478" TargetMode="External"/><Relationship Id="rId2244" Type="http://schemas.openxmlformats.org/officeDocument/2006/relationships/hyperlink" Target="https://zakupivli.pro/gov/tenders/ua-2025-08-07-000635-a" TargetMode="External"/><Relationship Id="rId2451" Type="http://schemas.openxmlformats.org/officeDocument/2006/relationships/hyperlink" Target="https://zakupivli.pro/gov/tenders/ua-2025-11-14-013041-a" TargetMode="External"/><Relationship Id="rId216" Type="http://schemas.openxmlformats.org/officeDocument/2006/relationships/hyperlink" Target="https://my.zakupki.prom.ua/remote/dispatcher/state_purchase_view/41644671" TargetMode="External"/><Relationship Id="rId423" Type="http://schemas.openxmlformats.org/officeDocument/2006/relationships/hyperlink" Target="https://zakupki.prom.ua/gov/tenders/UA-2023-08-09-006222-a/lot-54fe11372eb745f5a0360f700d959367" TargetMode="External"/><Relationship Id="rId1053" Type="http://schemas.openxmlformats.org/officeDocument/2006/relationships/hyperlink" Target="https://zakupivli.pro/gov/tenders/UA-2024-04-10-002649-a" TargetMode="External"/><Relationship Id="rId1260" Type="http://schemas.openxmlformats.org/officeDocument/2006/relationships/hyperlink" Target="https://zakupivli.pro/gov/tenders/UA-2024-08-08-003155-a" TargetMode="External"/><Relationship Id="rId2104" Type="http://schemas.openxmlformats.org/officeDocument/2006/relationships/hyperlink" Target="https://zakupivli.pro/gov/tenders/ua-2025-06-18-000255-a" TargetMode="External"/><Relationship Id="rId630" Type="http://schemas.openxmlformats.org/officeDocument/2006/relationships/hyperlink" Target="https://my.zakupivli.pro/remote/dispatcher/state_purchase_view/48552028" TargetMode="External"/><Relationship Id="rId2311" Type="http://schemas.openxmlformats.org/officeDocument/2006/relationships/hyperlink" Target="https://zakupivli.pro/gov/tenders/ua-2025-09-17-012374-a" TargetMode="External"/><Relationship Id="rId1120" Type="http://schemas.openxmlformats.org/officeDocument/2006/relationships/hyperlink" Target="https://my.zakupivli.pro/remote/dispatcher/state_purchase_view/51251693" TargetMode="External"/><Relationship Id="rId1937" Type="http://schemas.openxmlformats.org/officeDocument/2006/relationships/hyperlink" Target="https://my.zakupivli.pro/remote/dispatcher/state_purchase_view/58613538" TargetMode="External"/><Relationship Id="rId280" Type="http://schemas.openxmlformats.org/officeDocument/2006/relationships/hyperlink" Target="https://zakupki.prom.ua/gov/tenders/UA-2023-04-03-000950-a/lot-44d17cfb5b2f434d89437c54c8b6faf6" TargetMode="External"/><Relationship Id="rId140" Type="http://schemas.openxmlformats.org/officeDocument/2006/relationships/hyperlink" Target="https://my.zakupki.prom.ua/remote/dispatcher/state_purchase_view/41606604" TargetMode="External"/><Relationship Id="rId6" Type="http://schemas.openxmlformats.org/officeDocument/2006/relationships/hyperlink" Target="https://zakupki.prom.ua/gov/tenders/UA-2022-11-14-010662-a" TargetMode="External"/><Relationship Id="rId957" Type="http://schemas.openxmlformats.org/officeDocument/2006/relationships/hyperlink" Target="https://zakupivli.pro/gov/tenders/UA-2024-03-14-004029-a/lot-9c2a450121944557b4ff04df82d8bd68" TargetMode="External"/><Relationship Id="rId1587" Type="http://schemas.openxmlformats.org/officeDocument/2006/relationships/hyperlink" Target="https://my.zakupivli.pro/remote/dispatcher/state_purchase_view/56341932" TargetMode="External"/><Relationship Id="rId1794" Type="http://schemas.openxmlformats.org/officeDocument/2006/relationships/hyperlink" Target="https://my.zakupivli.pro/remote/dispatcher/state_purchase_view/57478572" TargetMode="External"/><Relationship Id="rId86" Type="http://schemas.openxmlformats.org/officeDocument/2006/relationships/hyperlink" Target="https://my.zakupki.prom.ua/remote/dispatcher/state_purchase_view/41234545" TargetMode="External"/><Relationship Id="rId817" Type="http://schemas.openxmlformats.org/officeDocument/2006/relationships/hyperlink" Target="https://zakupivli.pro/gov/tenders/UA-2024-02-15-012214-a/lot-564e8759c96c4ce8a362b8001548200a" TargetMode="External"/><Relationship Id="rId1447" Type="http://schemas.openxmlformats.org/officeDocument/2006/relationships/hyperlink" Target="https://my.zakupivli.pro/remote/dispatcher/state_purchase_view/54820976" TargetMode="External"/><Relationship Id="rId1654" Type="http://schemas.openxmlformats.org/officeDocument/2006/relationships/hyperlink" Target="https://zakupivli.pro/gov/tenders/ua-2025-01-27-004441-a" TargetMode="External"/><Relationship Id="rId1861" Type="http://schemas.openxmlformats.org/officeDocument/2006/relationships/hyperlink" Target="https://my.zakupivli.pro/remote/dispatcher/state_purchase_view/57925883" TargetMode="External"/><Relationship Id="rId1307" Type="http://schemas.openxmlformats.org/officeDocument/2006/relationships/hyperlink" Target="https://zakupivli.pro/gov/tenders/UA-2024-08-13-010928-a" TargetMode="External"/><Relationship Id="rId1514" Type="http://schemas.openxmlformats.org/officeDocument/2006/relationships/hyperlink" Target="https://my.zakupivli.pro/remote/dispatcher/state_purchase_view/55800910" TargetMode="External"/><Relationship Id="rId1721" Type="http://schemas.openxmlformats.org/officeDocument/2006/relationships/hyperlink" Target="https://zakupivli.pro/gov/tenders/ua-2025-01-31-003646-a" TargetMode="External"/><Relationship Id="rId13" Type="http://schemas.openxmlformats.org/officeDocument/2006/relationships/hyperlink" Target="https://zakupki.prom.ua/gov/tenders/UA-2022-12-08-017620-a" TargetMode="External"/><Relationship Id="rId2288" Type="http://schemas.openxmlformats.org/officeDocument/2006/relationships/hyperlink" Target="https://my.zakupivli.pro/remote/dispatcher/state_purchase_view/61819431" TargetMode="External"/><Relationship Id="rId2495" Type="http://schemas.openxmlformats.org/officeDocument/2006/relationships/hyperlink" Target="https://zakupivli.pro/gov/tenders/ua-2025-12-09-001084-a" TargetMode="External"/><Relationship Id="rId467" Type="http://schemas.openxmlformats.org/officeDocument/2006/relationships/hyperlink" Target="https://zakupki.prom.ua/gov/tenders/UA-2023-09-06-008139-a/lot-93a24d6c4fdb4ddba53a8d2ec00ae2b8" TargetMode="External"/><Relationship Id="rId1097" Type="http://schemas.openxmlformats.org/officeDocument/2006/relationships/hyperlink" Target="https://zakupivli.pro/gov/tenders/UA-2024-05-10-007968-a" TargetMode="External"/><Relationship Id="rId2148" Type="http://schemas.openxmlformats.org/officeDocument/2006/relationships/hyperlink" Target="https://zakupivli.pro/gov/tenders/ua-2025-06-25-008168-a" TargetMode="External"/><Relationship Id="rId674" Type="http://schemas.openxmlformats.org/officeDocument/2006/relationships/hyperlink" Target="https://zakupivli.pro/gov/tenders/UA-2024-01-29-003400-a" TargetMode="External"/><Relationship Id="rId881" Type="http://schemas.openxmlformats.org/officeDocument/2006/relationships/hyperlink" Target="https://my.zakupivli.pro/remote/dispatcher/state_purchase_view/49407682" TargetMode="External"/><Relationship Id="rId2355" Type="http://schemas.openxmlformats.org/officeDocument/2006/relationships/hyperlink" Target="https://my.zakupivli.pro/remote/dispatcher/state_purchase_view/62449848" TargetMode="External"/><Relationship Id="rId327" Type="http://schemas.openxmlformats.org/officeDocument/2006/relationships/hyperlink" Target="https://zakupki.prom.ua/gov/tenders/UA-2023-04-25-003327-a" TargetMode="External"/><Relationship Id="rId534" Type="http://schemas.openxmlformats.org/officeDocument/2006/relationships/hyperlink" Target="https://zakupivli.pro/gov/tenders/UA-2023-12-06-005920-a" TargetMode="External"/><Relationship Id="rId741" Type="http://schemas.openxmlformats.org/officeDocument/2006/relationships/hyperlink" Target="https://zakupivli.pro/gov/tenders/UA-2024-02-02-011398-a/lot-115c1ccee836457595f6efd525a149e8" TargetMode="External"/><Relationship Id="rId1164" Type="http://schemas.openxmlformats.org/officeDocument/2006/relationships/hyperlink" Target="https://my.zakupivli.pro/remote/dispatcher/state_purchase_view/51759365" TargetMode="External"/><Relationship Id="rId1371" Type="http://schemas.openxmlformats.org/officeDocument/2006/relationships/hyperlink" Target="https://zakupivli.pro/gov/tenders/ua-2024-10-03-012005-a/lot-977c4db819034b64934a5a4a92132bf6" TargetMode="External"/><Relationship Id="rId2008" Type="http://schemas.openxmlformats.org/officeDocument/2006/relationships/hyperlink" Target="https://zakupivli.pro/gov/tenders/ua-2025-05-12-011976-a" TargetMode="External"/><Relationship Id="rId2215" Type="http://schemas.openxmlformats.org/officeDocument/2006/relationships/hyperlink" Target="https://my.zakupivli.pro/remote/dispatcher/state_purchase_view/61011521" TargetMode="External"/><Relationship Id="rId2422" Type="http://schemas.openxmlformats.org/officeDocument/2006/relationships/hyperlink" Target="https://zakupivli.pro/gov/tenders/ua-2025-11-05-011808-a" TargetMode="External"/><Relationship Id="rId601" Type="http://schemas.openxmlformats.org/officeDocument/2006/relationships/hyperlink" Target="https://zakupivli.pro/gov/tenders/UA-2024-01-17-000623-a" TargetMode="External"/><Relationship Id="rId1024" Type="http://schemas.openxmlformats.org/officeDocument/2006/relationships/hyperlink" Target="https://zakupivli.pro/gov/tenders/UA-2024-04-03-007567-a" TargetMode="External"/><Relationship Id="rId1231" Type="http://schemas.openxmlformats.org/officeDocument/2006/relationships/hyperlink" Target="https://zakupivli.pro/gov/tenders/UA-2024-07-24-001792-a" TargetMode="External"/><Relationship Id="rId184" Type="http://schemas.openxmlformats.org/officeDocument/2006/relationships/hyperlink" Target="https://zakupki.prom.ua/gov/tenders/UA-2023-03-20-010348-a" TargetMode="External"/><Relationship Id="rId391" Type="http://schemas.openxmlformats.org/officeDocument/2006/relationships/hyperlink" Target="https://my.zakupki.prom.ua/remote/dispatcher/state_purchase_view/44101829" TargetMode="External"/><Relationship Id="rId1908" Type="http://schemas.openxmlformats.org/officeDocument/2006/relationships/hyperlink" Target="https://zakupivli.pro/gov/tenders/ua-2025-03-31-003187-a" TargetMode="External"/><Relationship Id="rId2072" Type="http://schemas.openxmlformats.org/officeDocument/2006/relationships/hyperlink" Target="https://my.zakupivli.pro/remote/dispatcher/state_purchase_view/60070202" TargetMode="External"/><Relationship Id="rId251" Type="http://schemas.openxmlformats.org/officeDocument/2006/relationships/hyperlink" Target="https://zakupki.prom.ua/gov/tenders/UA-2023-03-30-004919-a" TargetMode="External"/><Relationship Id="rId111" Type="http://schemas.openxmlformats.org/officeDocument/2006/relationships/hyperlink" Target="https://zakupki.prom.ua/gov/tenders/UA-2023-02-08-015986-a" TargetMode="External"/><Relationship Id="rId1698" Type="http://schemas.openxmlformats.org/officeDocument/2006/relationships/hyperlink" Target="https://zakupivli.pro/gov/tenders/ua-2025-01-28-014015-a/lot-34f91b92437e4b4b9a396b2900749ffd" TargetMode="External"/><Relationship Id="rId928" Type="http://schemas.openxmlformats.org/officeDocument/2006/relationships/hyperlink" Target="https://my.zakupivli.pro/remote/dispatcher/state_purchase_view/49691053" TargetMode="External"/><Relationship Id="rId1558" Type="http://schemas.openxmlformats.org/officeDocument/2006/relationships/hyperlink" Target="https://zakupivli.pro/gov/tenders/ua-2024-12-25-000652-a" TargetMode="External"/><Relationship Id="rId1765" Type="http://schemas.openxmlformats.org/officeDocument/2006/relationships/hyperlink" Target="https://my.zakupivli.pro/remote/dispatcher/state_purchase_view/57385694" TargetMode="External"/><Relationship Id="rId57" Type="http://schemas.openxmlformats.org/officeDocument/2006/relationships/hyperlink" Target="https://my.zakupki.prom.ua/remote/dispatcher/state_purchase_view/41428807" TargetMode="External"/><Relationship Id="rId1418" Type="http://schemas.openxmlformats.org/officeDocument/2006/relationships/hyperlink" Target="https://zakupivli.pro/gov/tenders/ua-2024-11-01-007893-a" TargetMode="External"/><Relationship Id="rId1972" Type="http://schemas.openxmlformats.org/officeDocument/2006/relationships/hyperlink" Target="https://zakupivli.pro/gov/tenders/ua-2025-05-01-001961-a" TargetMode="External"/><Relationship Id="rId1625" Type="http://schemas.openxmlformats.org/officeDocument/2006/relationships/hyperlink" Target="https://zakupivli.pro/gov/tenders/ua-2025-01-16-016667-a" TargetMode="External"/><Relationship Id="rId1832" Type="http://schemas.openxmlformats.org/officeDocument/2006/relationships/hyperlink" Target="https://zakupivli.pro/gov/tenders/ua-2025-02-25-013333-a" TargetMode="External"/><Relationship Id="rId2399" Type="http://schemas.openxmlformats.org/officeDocument/2006/relationships/hyperlink" Target="https://zakupivli.pro/gov/tenders/ua-2025-10-24-004314-a" TargetMode="External"/><Relationship Id="rId578" Type="http://schemas.openxmlformats.org/officeDocument/2006/relationships/hyperlink" Target="https://my.zakupivli.pro/remote/dispatcher/state_purchase_view/48208212" TargetMode="External"/><Relationship Id="rId785" Type="http://schemas.openxmlformats.org/officeDocument/2006/relationships/hyperlink" Target="https://my.zakupivli.pro/remote/dispatcher/state_purchase_view/49012404" TargetMode="External"/><Relationship Id="rId992" Type="http://schemas.openxmlformats.org/officeDocument/2006/relationships/hyperlink" Target="https://my.zakupivli.pro/remote/dispatcher/state_purchase_view/49991087" TargetMode="External"/><Relationship Id="rId2259" Type="http://schemas.openxmlformats.org/officeDocument/2006/relationships/hyperlink" Target="https://my.zakupivli.pro/remote/dispatcher/state_purchase_view/61349840" TargetMode="External"/><Relationship Id="rId2466" Type="http://schemas.openxmlformats.org/officeDocument/2006/relationships/hyperlink" Target="https://zakupivli.pro/gov/tenders/ua-2025-11-19-008657-a" TargetMode="External"/><Relationship Id="rId438" Type="http://schemas.openxmlformats.org/officeDocument/2006/relationships/hyperlink" Target="https://my.zakupki.prom.ua/remote/dispatcher/state_purchase_view/44701962" TargetMode="External"/><Relationship Id="rId645" Type="http://schemas.openxmlformats.org/officeDocument/2006/relationships/hyperlink" Target="https://zakupivli.pro/gov/tenders/UA-2024-01-23-002308-a" TargetMode="External"/><Relationship Id="rId852" Type="http://schemas.openxmlformats.org/officeDocument/2006/relationships/hyperlink" Target="https://zakupivli.pro/gov/tenders/UA-2024-02-20-008382-a" TargetMode="External"/><Relationship Id="rId1068" Type="http://schemas.openxmlformats.org/officeDocument/2006/relationships/hyperlink" Target="https://zakupivli.pro/gov/tenders/UA-2024-04-25-005173-a/lot-8ff0641e6de74e8f86042b3700b8a53f" TargetMode="External"/><Relationship Id="rId1275" Type="http://schemas.openxmlformats.org/officeDocument/2006/relationships/hyperlink" Target="https://my.zakupivli.pro/remote/dispatcher/state_purchase_view/52827119" TargetMode="External"/><Relationship Id="rId1482" Type="http://schemas.openxmlformats.org/officeDocument/2006/relationships/hyperlink" Target="https://my.zakupivli.pro/remote/dispatcher/state_purchase_view/55001569" TargetMode="External"/><Relationship Id="rId2119" Type="http://schemas.openxmlformats.org/officeDocument/2006/relationships/hyperlink" Target="https://my.zakupivli.pro/remote/dispatcher/state_purchase_view/60238175" TargetMode="External"/><Relationship Id="rId2326" Type="http://schemas.openxmlformats.org/officeDocument/2006/relationships/hyperlink" Target="https://zakupivli.pro/gov/tenders/ua-2025-09-25-007455-a" TargetMode="External"/><Relationship Id="rId2533" Type="http://schemas.openxmlformats.org/officeDocument/2006/relationships/hyperlink" Target="https://my.zakupivli.pro/remote/dispatcher/state_purchase_view/64688238" TargetMode="External"/><Relationship Id="rId505" Type="http://schemas.openxmlformats.org/officeDocument/2006/relationships/hyperlink" Target="https://my.zakupivli.pro/remote/dispatcher/state_purchase_view/46132051" TargetMode="External"/><Relationship Id="rId712" Type="http://schemas.openxmlformats.org/officeDocument/2006/relationships/hyperlink" Target="https://zakupivli.pro/gov/tenders/UA-2024-02-02-012973-a/lot-5deb52649e1c4ed58761c3f4b810a4d4" TargetMode="External"/><Relationship Id="rId1135" Type="http://schemas.openxmlformats.org/officeDocument/2006/relationships/hyperlink" Target="https://zakupivli.pro/gov/tenders/UA-2024-05-30-000116-a" TargetMode="External"/><Relationship Id="rId1342" Type="http://schemas.openxmlformats.org/officeDocument/2006/relationships/hyperlink" Target="https://my.zakupivli.pro/remote/dispatcher/state_purchase_view/53509367" TargetMode="External"/><Relationship Id="rId1202" Type="http://schemas.openxmlformats.org/officeDocument/2006/relationships/hyperlink" Target="https://my.zakupivli.pro/remote/dispatcher/state_purchase_view/52158746" TargetMode="External"/><Relationship Id="rId295" Type="http://schemas.openxmlformats.org/officeDocument/2006/relationships/hyperlink" Target="https://my.zakupki.prom.ua/remote/dispatcher/state_purchase_view/41830605" TargetMode="External"/><Relationship Id="rId2183" Type="http://schemas.openxmlformats.org/officeDocument/2006/relationships/hyperlink" Target="https://my.zakupivli.pro/remote/dispatcher/state_purchase_view/60781506" TargetMode="External"/><Relationship Id="rId2390" Type="http://schemas.openxmlformats.org/officeDocument/2006/relationships/hyperlink" Target="https://zakupivli.pro/gov/tenders/ua-2025-10-22-000442-a" TargetMode="External"/><Relationship Id="rId155" Type="http://schemas.openxmlformats.org/officeDocument/2006/relationships/hyperlink" Target="https://zakupki.prom.ua/gov/tenders/UA-2023-03-10-000196-a/lot-e70ea0f5de5048daa8bb8709b9d66874" TargetMode="External"/><Relationship Id="rId362" Type="http://schemas.openxmlformats.org/officeDocument/2006/relationships/hyperlink" Target="https://zakupki.prom.ua/gov/tenders/UA-2023-05-12-007145-a" TargetMode="External"/><Relationship Id="rId2043" Type="http://schemas.openxmlformats.org/officeDocument/2006/relationships/hyperlink" Target="https://my.zakupivli.pro/remote/dispatcher/state_purchase_view/59790031" TargetMode="External"/><Relationship Id="rId2250" Type="http://schemas.openxmlformats.org/officeDocument/2006/relationships/hyperlink" Target="https://zakupivli.pro/gov/tenders/ua-2025-08-13-008530-a" TargetMode="External"/><Relationship Id="rId222" Type="http://schemas.openxmlformats.org/officeDocument/2006/relationships/hyperlink" Target="https://zakupki.prom.ua/gov/tenders/UA-2023-03-27-004288-a" TargetMode="External"/><Relationship Id="rId2110" Type="http://schemas.openxmlformats.org/officeDocument/2006/relationships/hyperlink" Target="https://my.zakupivli.pro/remote/dispatcher/state_purchase_view/60215368" TargetMode="External"/><Relationship Id="rId1669" Type="http://schemas.openxmlformats.org/officeDocument/2006/relationships/hyperlink" Target="https://zakupivli.pro/gov/tenders/ua-2025-01-27-013497-a/lot-fba86f69435b4c718ce82c25cdf706d3" TargetMode="External"/><Relationship Id="rId1876" Type="http://schemas.openxmlformats.org/officeDocument/2006/relationships/hyperlink" Target="https://my.zakupivli.pro/remote/dispatcher/state_purchase_view/58109414" TargetMode="External"/><Relationship Id="rId1529" Type="http://schemas.openxmlformats.org/officeDocument/2006/relationships/hyperlink" Target="https://zakupivli.pro/gov/tenders/ua-2024-12-17-016908-a/lot-5a42616100344db4a23e981012b6a810" TargetMode="External"/><Relationship Id="rId1736" Type="http://schemas.openxmlformats.org/officeDocument/2006/relationships/hyperlink" Target="https://zakupivli.pro/gov/tenders/ua-2025-02-03-000583-a" TargetMode="External"/><Relationship Id="rId1943" Type="http://schemas.openxmlformats.org/officeDocument/2006/relationships/hyperlink" Target="https://zakupivli.pro/gov/tenders/ua-2025-04-09-008129-a" TargetMode="External"/><Relationship Id="rId28" Type="http://schemas.openxmlformats.org/officeDocument/2006/relationships/hyperlink" Target="https://zakupki.prom.ua/gov/tenders/UA-2023-02-01-009698-a" TargetMode="External"/><Relationship Id="rId1803" Type="http://schemas.openxmlformats.org/officeDocument/2006/relationships/hyperlink" Target="https://zakupivli.pro/gov/tenders/ua-2025-02-14-007675-a" TargetMode="External"/><Relationship Id="rId689" Type="http://schemas.openxmlformats.org/officeDocument/2006/relationships/hyperlink" Target="https://my.zakupivli.pro/remote/dispatcher/state_purchase_view/48826700" TargetMode="External"/><Relationship Id="rId896" Type="http://schemas.openxmlformats.org/officeDocument/2006/relationships/hyperlink" Target="https://my.zakupivli.pro/remote/dispatcher/state_purchase_view/49535400" TargetMode="External"/><Relationship Id="rId549" Type="http://schemas.openxmlformats.org/officeDocument/2006/relationships/hyperlink" Target="https://my.zakupivli.pro/remote/dispatcher/state_purchase_view/48101499" TargetMode="External"/><Relationship Id="rId756" Type="http://schemas.openxmlformats.org/officeDocument/2006/relationships/hyperlink" Target="https://my.zakupivli.pro/remote/dispatcher/state_purchase_view/48908032" TargetMode="External"/><Relationship Id="rId1179" Type="http://schemas.openxmlformats.org/officeDocument/2006/relationships/hyperlink" Target="https://zakupivli.pro/gov/tenders/UA-2024-06-25-000716-a" TargetMode="External"/><Relationship Id="rId1386" Type="http://schemas.openxmlformats.org/officeDocument/2006/relationships/hyperlink" Target="https://zakupivli.pro/gov/tenders/ua-2024-10-17-014694-a" TargetMode="External"/><Relationship Id="rId1593" Type="http://schemas.openxmlformats.org/officeDocument/2006/relationships/hyperlink" Target="https://zakupivli.pro/gov/tenders/ua-2025-01-03-003984-a/lot-452604689ca9495a953a47e51fdc2042" TargetMode="External"/><Relationship Id="rId2437" Type="http://schemas.openxmlformats.org/officeDocument/2006/relationships/hyperlink" Target="https://my.zakupivli.pro/remote/dispatcher/state_purchase_view/63503005" TargetMode="External"/><Relationship Id="rId409" Type="http://schemas.openxmlformats.org/officeDocument/2006/relationships/hyperlink" Target="https://zakupki.prom.ua/gov/tenders/UA-2023-08-03-004393-a" TargetMode="External"/><Relationship Id="rId963" Type="http://schemas.openxmlformats.org/officeDocument/2006/relationships/hyperlink" Target="https://zakupivli.pro/gov/tenders/UA-2024-03-15-009363-a/lot-8c25c7b5af6c4597a603ac45f2841127" TargetMode="External"/><Relationship Id="rId1039" Type="http://schemas.openxmlformats.org/officeDocument/2006/relationships/hyperlink" Target="https://zakupivli.pro/gov/tenders/UA-2024-04-08-004905-a" TargetMode="External"/><Relationship Id="rId1246" Type="http://schemas.openxmlformats.org/officeDocument/2006/relationships/hyperlink" Target="https://my.zakupivli.pro/remote/dispatcher/state_purchase_view/52465821" TargetMode="External"/><Relationship Id="rId92" Type="http://schemas.openxmlformats.org/officeDocument/2006/relationships/hyperlink" Target="https://my.zakupki.prom.ua/remote/dispatcher/state_purchase_view/41191613" TargetMode="External"/><Relationship Id="rId616" Type="http://schemas.openxmlformats.org/officeDocument/2006/relationships/hyperlink" Target="https://zakupivli.pro/gov/tenders/UA-2024-01-18-012259-a/lot-c8e2511ae6bb435cb115a9e6e96d80d3" TargetMode="External"/><Relationship Id="rId823" Type="http://schemas.openxmlformats.org/officeDocument/2006/relationships/hyperlink" Target="https://my.zakupivli.pro/remote/dispatcher/state_purchase_view/49305242" TargetMode="External"/><Relationship Id="rId1453" Type="http://schemas.openxmlformats.org/officeDocument/2006/relationships/hyperlink" Target="https://my.zakupivli.pro/remote/dispatcher/state_purchase_view/54820177" TargetMode="External"/><Relationship Id="rId1660" Type="http://schemas.openxmlformats.org/officeDocument/2006/relationships/hyperlink" Target="https://zakupivli.pro/gov/tenders/ua-2025-01-27-012515-a/lot-6be83a9fe00e47c98a043124b93bf4a7" TargetMode="External"/><Relationship Id="rId2504" Type="http://schemas.openxmlformats.org/officeDocument/2006/relationships/hyperlink" Target="https://my.zakupivli.pro/remote/dispatcher/state_purchase_view/64341620" TargetMode="External"/><Relationship Id="rId1106" Type="http://schemas.openxmlformats.org/officeDocument/2006/relationships/hyperlink" Target="https://my.zakupivli.pro/remote/dispatcher/state_purchase_view/51111939" TargetMode="External"/><Relationship Id="rId1313" Type="http://schemas.openxmlformats.org/officeDocument/2006/relationships/hyperlink" Target="https://zakupivli.pro/gov/tenders/UA-2024-08-29-008281-a/lot-bbb40fd8b5e34e94ba309455cc86056c" TargetMode="External"/><Relationship Id="rId1520" Type="http://schemas.openxmlformats.org/officeDocument/2006/relationships/hyperlink" Target="https://my.zakupivli.pro/remote/dispatcher/state_purchase_view/55863477" TargetMode="External"/><Relationship Id="rId199" Type="http://schemas.openxmlformats.org/officeDocument/2006/relationships/hyperlink" Target="https://zakupki.prom.ua/gov/tenders/UA-2023-03-23-011146-a" TargetMode="External"/><Relationship Id="rId2087" Type="http://schemas.openxmlformats.org/officeDocument/2006/relationships/hyperlink" Target="https://zakupivli.pro/gov/tenders/ua-2025-06-12-010920-a/lot-744cd84cdf2d435aafecd57807db16ba" TargetMode="External"/><Relationship Id="rId2294" Type="http://schemas.openxmlformats.org/officeDocument/2006/relationships/hyperlink" Target="https://zakupivli.pro/gov/tenders/ua-2025-09-10-003620-a" TargetMode="External"/><Relationship Id="rId266" Type="http://schemas.openxmlformats.org/officeDocument/2006/relationships/hyperlink" Target="https://zakupki.prom.ua/gov/tenders/UA-2023-03-31-001976-a" TargetMode="External"/><Relationship Id="rId473" Type="http://schemas.openxmlformats.org/officeDocument/2006/relationships/hyperlink" Target="https://my.zakupki.prom.ua/remote/dispatcher/state_purchase_view/44947327" TargetMode="External"/><Relationship Id="rId680" Type="http://schemas.openxmlformats.org/officeDocument/2006/relationships/hyperlink" Target="https://zakupivli.pro/gov/tenders/UA-2024-01-31-007341-a" TargetMode="External"/><Relationship Id="rId2154" Type="http://schemas.openxmlformats.org/officeDocument/2006/relationships/hyperlink" Target="https://zakupivli.pro/gov/tenders/ua-2025-07-03-006327-a/lot-6c2378808bf342aea0c81b65223f722e" TargetMode="External"/><Relationship Id="rId2361" Type="http://schemas.openxmlformats.org/officeDocument/2006/relationships/hyperlink" Target="https://my.zakupivli.pro/remote/dispatcher/state_purchase_view/62766493" TargetMode="External"/><Relationship Id="rId126" Type="http://schemas.openxmlformats.org/officeDocument/2006/relationships/hyperlink" Target="https://zakupki.prom.ua/gov/tenders/UA-2023-03-02-009549-a/lot-cb15bab4ebe645cd8f89487db3b632bc" TargetMode="External"/><Relationship Id="rId333" Type="http://schemas.openxmlformats.org/officeDocument/2006/relationships/hyperlink" Target="https://my.zakupki.prom.ua/remote/dispatcher/state_purchase_view/42221724" TargetMode="External"/><Relationship Id="rId540" Type="http://schemas.openxmlformats.org/officeDocument/2006/relationships/hyperlink" Target="https://zakupivli.pro/gov/tenders/UA-2023-12-07-007786-a" TargetMode="External"/><Relationship Id="rId1170" Type="http://schemas.openxmlformats.org/officeDocument/2006/relationships/hyperlink" Target="https://my.zakupivli.pro/remote/dispatcher/state_purchase_view/51818650" TargetMode="External"/><Relationship Id="rId2014" Type="http://schemas.openxmlformats.org/officeDocument/2006/relationships/hyperlink" Target="https://zakupivli.pro/gov/tenders/ua-2025-05-13-002429-a/lot-58b8102ff3034429b3bc418a46aaca85" TargetMode="External"/><Relationship Id="rId2221" Type="http://schemas.openxmlformats.org/officeDocument/2006/relationships/hyperlink" Target="https://my.zakupivli.pro/remote/dispatcher/state_purchase_view/61014811" TargetMode="External"/><Relationship Id="rId1030" Type="http://schemas.openxmlformats.org/officeDocument/2006/relationships/hyperlink" Target="https://zakupivli.pro/gov/tenders/UA-2024-04-03-011525-a" TargetMode="External"/><Relationship Id="rId400" Type="http://schemas.openxmlformats.org/officeDocument/2006/relationships/hyperlink" Target="https://zakupki.prom.ua/gov/tenders/UA-2023-07-12-001298-a" TargetMode="External"/><Relationship Id="rId1987" Type="http://schemas.openxmlformats.org/officeDocument/2006/relationships/hyperlink" Target="https://zakupivli.pro/gov/tenders/ua-2025-05-06-010641-a" TargetMode="External"/><Relationship Id="rId1847" Type="http://schemas.openxmlformats.org/officeDocument/2006/relationships/hyperlink" Target="https://my.zakupivli.pro/remote/dispatcher/state_purchase_view/57746790" TargetMode="External"/><Relationship Id="rId1707" Type="http://schemas.openxmlformats.org/officeDocument/2006/relationships/hyperlink" Target="https://zakupivli.pro/gov/tenders/ua-2025-01-29-003903-a/lot-ca859737ced54c19a4e1385ab7f4fa20" TargetMode="External"/><Relationship Id="rId190" Type="http://schemas.openxmlformats.org/officeDocument/2006/relationships/hyperlink" Target="https://zakupki.prom.ua/gov/tenders/UA-2023-03-20-010028-a" TargetMode="External"/><Relationship Id="rId1914" Type="http://schemas.openxmlformats.org/officeDocument/2006/relationships/hyperlink" Target="https://zakupivli.pro/gov/tenders/ua-2025-03-25-002632-a/lot-080978ce6735455d94f514629190d47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344"/>
  <sheetViews>
    <sheetView tabSelected="1" zoomScale="50" zoomScaleNormal="50" workbookViewId="0">
      <pane ySplit="4" topLeftCell="A1284" activePane="bottomLeft" state="frozen"/>
      <selection pane="bottomLeft" activeCell="A1290" sqref="A1290"/>
    </sheetView>
  </sheetViews>
  <sheetFormatPr defaultColWidth="9.109375" defaultRowHeight="15.6" x14ac:dyDescent="0.3"/>
  <cols>
    <col min="1" max="1" width="8.33203125" style="1" customWidth="1"/>
    <col min="2" max="2" width="11.5546875" style="1" customWidth="1"/>
    <col min="3" max="3" width="25.5546875" style="1" customWidth="1"/>
    <col min="4" max="4" width="24.6640625" style="1" customWidth="1"/>
    <col min="5" max="5" width="15.44140625" style="1" customWidth="1"/>
    <col min="6" max="6" width="55.109375" style="1" customWidth="1"/>
    <col min="7" max="7" width="10.33203125" style="1" customWidth="1"/>
    <col min="8" max="8" width="15.6640625" style="597" customWidth="1"/>
    <col min="9" max="9" width="11.33203125" style="1" customWidth="1"/>
    <col min="10" max="11" width="15.33203125" style="597" customWidth="1"/>
    <col min="12" max="12" width="10.33203125" style="1" customWidth="1"/>
    <col min="13" max="13" width="15.6640625" style="597" customWidth="1"/>
    <col min="14" max="14" width="38.6640625" style="1" customWidth="1"/>
    <col min="15" max="15" width="14.5546875" style="7" customWidth="1"/>
    <col min="16" max="16" width="30.5546875" style="1" customWidth="1"/>
    <col min="17" max="17" width="15" style="1" customWidth="1"/>
    <col min="18" max="18" width="13.44140625" style="1" customWidth="1"/>
    <col min="19" max="19" width="13.88671875" style="1" customWidth="1"/>
    <col min="20" max="20" width="16.6640625" style="7" customWidth="1"/>
    <col min="21" max="21" width="16.33203125" style="1" customWidth="1"/>
    <col min="22" max="22" width="15.6640625" style="1" customWidth="1"/>
    <col min="23" max="16384" width="9.109375" style="1"/>
  </cols>
  <sheetData>
    <row r="1" spans="1:22" ht="25.5" customHeight="1" x14ac:dyDescent="0.3">
      <c r="A1" s="697" t="s">
        <v>19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  <c r="O1" s="697"/>
      <c r="P1" s="697"/>
      <c r="Q1" s="697"/>
      <c r="R1" s="697"/>
      <c r="S1" s="697"/>
      <c r="T1" s="697"/>
      <c r="U1" s="697"/>
      <c r="V1" s="697"/>
    </row>
    <row r="2" spans="1:22" ht="99" customHeight="1" x14ac:dyDescent="0.3">
      <c r="A2" s="695" t="s">
        <v>1</v>
      </c>
      <c r="B2" s="695" t="s">
        <v>0</v>
      </c>
      <c r="C2" s="695" t="s">
        <v>29</v>
      </c>
      <c r="D2" s="695" t="s">
        <v>2</v>
      </c>
      <c r="E2" s="695" t="s">
        <v>3</v>
      </c>
      <c r="F2" s="695" t="s">
        <v>4</v>
      </c>
      <c r="G2" s="695" t="s">
        <v>5</v>
      </c>
      <c r="H2" s="695" t="s">
        <v>6</v>
      </c>
      <c r="I2" s="695"/>
      <c r="J2" s="695"/>
      <c r="K2" s="695" t="s">
        <v>7</v>
      </c>
      <c r="L2" s="695"/>
      <c r="M2" s="695"/>
      <c r="N2" s="695" t="s">
        <v>11</v>
      </c>
      <c r="O2" s="696" t="s">
        <v>12</v>
      </c>
      <c r="P2" s="695" t="s">
        <v>13</v>
      </c>
      <c r="Q2" s="695" t="s">
        <v>14</v>
      </c>
      <c r="R2" s="695"/>
      <c r="S2" s="695"/>
      <c r="T2" s="696" t="s">
        <v>16</v>
      </c>
      <c r="U2" s="695" t="s">
        <v>17</v>
      </c>
      <c r="V2" s="695" t="s">
        <v>18</v>
      </c>
    </row>
    <row r="3" spans="1:22" ht="103.95" customHeight="1" x14ac:dyDescent="0.3">
      <c r="A3" s="695"/>
      <c r="B3" s="695"/>
      <c r="C3" s="695"/>
      <c r="D3" s="695"/>
      <c r="E3" s="695"/>
      <c r="F3" s="695"/>
      <c r="G3" s="695"/>
      <c r="H3" s="589" t="s">
        <v>8</v>
      </c>
      <c r="I3" s="30" t="s">
        <v>9</v>
      </c>
      <c r="J3" s="589" t="s">
        <v>10</v>
      </c>
      <c r="K3" s="589" t="s">
        <v>8</v>
      </c>
      <c r="L3" s="30" t="s">
        <v>9</v>
      </c>
      <c r="M3" s="589" t="s">
        <v>10</v>
      </c>
      <c r="N3" s="695"/>
      <c r="O3" s="696"/>
      <c r="P3" s="695"/>
      <c r="Q3" s="30" t="s">
        <v>8</v>
      </c>
      <c r="R3" s="30" t="s">
        <v>9</v>
      </c>
      <c r="S3" s="30" t="s">
        <v>15</v>
      </c>
      <c r="T3" s="696"/>
      <c r="U3" s="695"/>
      <c r="V3" s="695"/>
    </row>
    <row r="4" spans="1:22" x14ac:dyDescent="0.3">
      <c r="A4" s="30">
        <v>1</v>
      </c>
      <c r="B4" s="30">
        <v>2</v>
      </c>
      <c r="C4" s="520">
        <v>3</v>
      </c>
      <c r="D4" s="30">
        <v>4</v>
      </c>
      <c r="E4" s="30">
        <v>5</v>
      </c>
      <c r="F4" s="30">
        <v>6</v>
      </c>
      <c r="G4" s="30">
        <v>7</v>
      </c>
      <c r="H4" s="589">
        <v>8</v>
      </c>
      <c r="I4" s="30">
        <v>9</v>
      </c>
      <c r="J4" s="589">
        <v>10</v>
      </c>
      <c r="K4" s="589">
        <v>11</v>
      </c>
      <c r="L4" s="30">
        <v>12</v>
      </c>
      <c r="M4" s="589">
        <v>13</v>
      </c>
      <c r="N4" s="30">
        <v>14</v>
      </c>
      <c r="O4" s="8">
        <v>15</v>
      </c>
      <c r="P4" s="30">
        <v>16</v>
      </c>
      <c r="Q4" s="30">
        <v>17</v>
      </c>
      <c r="R4" s="30">
        <v>18</v>
      </c>
      <c r="S4" s="30">
        <v>19</v>
      </c>
      <c r="T4" s="8">
        <v>20</v>
      </c>
      <c r="U4" s="30">
        <v>21</v>
      </c>
      <c r="V4" s="30">
        <v>22</v>
      </c>
    </row>
    <row r="5" spans="1:22" ht="43.5" customHeight="1" x14ac:dyDescent="0.3">
      <c r="A5" s="30">
        <v>1</v>
      </c>
      <c r="B5" s="30" t="s">
        <v>21</v>
      </c>
      <c r="C5" s="520" t="s">
        <v>32</v>
      </c>
      <c r="D5" s="30" t="s">
        <v>58</v>
      </c>
      <c r="E5" s="30" t="s">
        <v>20</v>
      </c>
      <c r="F5" s="30" t="s">
        <v>33</v>
      </c>
      <c r="G5" s="30" t="s">
        <v>25</v>
      </c>
      <c r="H5" s="589">
        <v>252.33500000000001</v>
      </c>
      <c r="I5" s="30">
        <v>1</v>
      </c>
      <c r="J5" s="589">
        <f>302802/1.2/1000</f>
        <v>252.33500000000001</v>
      </c>
      <c r="K5" s="589">
        <v>252.33500000000001</v>
      </c>
      <c r="L5" s="30">
        <v>1</v>
      </c>
      <c r="M5" s="589">
        <f>302802/1.2/1000</f>
        <v>252.33500000000001</v>
      </c>
      <c r="N5" s="3" t="s">
        <v>34</v>
      </c>
      <c r="O5" s="31">
        <v>44869</v>
      </c>
      <c r="P5" s="30" t="s">
        <v>35</v>
      </c>
      <c r="Q5" s="30">
        <f>302760/1.2/1000</f>
        <v>252.3</v>
      </c>
      <c r="R5" s="30">
        <v>1</v>
      </c>
      <c r="S5" s="30">
        <f>302760/1.2/1000</f>
        <v>252.3</v>
      </c>
      <c r="T5" s="31">
        <v>44896</v>
      </c>
      <c r="U5" s="30"/>
      <c r="V5" s="30"/>
    </row>
    <row r="6" spans="1:22" ht="35.25" customHeight="1" x14ac:dyDescent="0.3">
      <c r="A6" s="30">
        <v>2</v>
      </c>
      <c r="B6" s="30" t="s">
        <v>21</v>
      </c>
      <c r="C6" s="520" t="s">
        <v>30</v>
      </c>
      <c r="D6" s="30" t="s">
        <v>58</v>
      </c>
      <c r="E6" s="30" t="s">
        <v>20</v>
      </c>
      <c r="F6" s="30" t="s">
        <v>22</v>
      </c>
      <c r="G6" s="30" t="s">
        <v>24</v>
      </c>
      <c r="H6" s="590"/>
      <c r="I6" s="2">
        <v>2025</v>
      </c>
      <c r="J6" s="590">
        <f>207228/1.2/1000</f>
        <v>172.69</v>
      </c>
      <c r="K6" s="590"/>
      <c r="L6" s="30">
        <v>2025</v>
      </c>
      <c r="M6" s="589">
        <f>207228/1.2/1000</f>
        <v>172.69</v>
      </c>
      <c r="N6" s="3" t="s">
        <v>26</v>
      </c>
      <c r="O6" s="31">
        <v>44873</v>
      </c>
      <c r="P6" s="30" t="s">
        <v>27</v>
      </c>
      <c r="Q6" s="30">
        <f>207228/1.2/1000</f>
        <v>172.69</v>
      </c>
      <c r="R6" s="30">
        <v>1</v>
      </c>
      <c r="S6" s="30">
        <f>207228/1.2/1000</f>
        <v>172.69</v>
      </c>
      <c r="T6" s="31">
        <v>44888</v>
      </c>
      <c r="U6" s="30"/>
      <c r="V6" s="30"/>
    </row>
    <row r="7" spans="1:22" ht="42.75" customHeight="1" x14ac:dyDescent="0.3">
      <c r="A7" s="30">
        <v>3</v>
      </c>
      <c r="B7" s="30" t="s">
        <v>21</v>
      </c>
      <c r="C7" s="520" t="s">
        <v>36</v>
      </c>
      <c r="D7" s="30" t="s">
        <v>58</v>
      </c>
      <c r="E7" s="30" t="s">
        <v>20</v>
      </c>
      <c r="F7" s="30" t="s">
        <v>37</v>
      </c>
      <c r="G7" s="30" t="s">
        <v>25</v>
      </c>
      <c r="H7" s="589"/>
      <c r="I7" s="30">
        <v>12</v>
      </c>
      <c r="J7" s="589">
        <f>128000/1.2/1000</f>
        <v>106.66666666666667</v>
      </c>
      <c r="K7" s="589"/>
      <c r="L7" s="30">
        <v>12</v>
      </c>
      <c r="M7" s="589">
        <f>128000/1.2/1000</f>
        <v>106.66666666666667</v>
      </c>
      <c r="N7" s="3" t="s">
        <v>38</v>
      </c>
      <c r="O7" s="31">
        <v>44873</v>
      </c>
      <c r="P7" s="30" t="s">
        <v>39</v>
      </c>
      <c r="Q7" s="30">
        <f>127556.04/1.2/1000</f>
        <v>106.2967</v>
      </c>
      <c r="R7" s="30">
        <v>1</v>
      </c>
      <c r="S7" s="30">
        <f>127556.04/1.2/1000</f>
        <v>106.2967</v>
      </c>
      <c r="T7" s="31">
        <v>44890</v>
      </c>
      <c r="U7" s="30"/>
      <c r="V7" s="30"/>
    </row>
    <row r="8" spans="1:22" ht="118.5" customHeight="1" x14ac:dyDescent="0.3">
      <c r="A8" s="30">
        <v>4</v>
      </c>
      <c r="B8" s="30" t="s">
        <v>40</v>
      </c>
      <c r="C8" s="520" t="s">
        <v>41</v>
      </c>
      <c r="D8" s="30"/>
      <c r="E8" s="30" t="s">
        <v>20</v>
      </c>
      <c r="F8" s="30" t="s">
        <v>42</v>
      </c>
      <c r="G8" s="30" t="s">
        <v>43</v>
      </c>
      <c r="H8" s="589">
        <f>596253.74/1.2/1000</f>
        <v>496.8781166666667</v>
      </c>
      <c r="I8" s="30">
        <v>1</v>
      </c>
      <c r="J8" s="589">
        <f>596253.74/1.2/1000</f>
        <v>496.8781166666667</v>
      </c>
      <c r="K8" s="589">
        <f>596253.74/1.2/1000</f>
        <v>496.8781166666667</v>
      </c>
      <c r="L8" s="30">
        <v>1</v>
      </c>
      <c r="M8" s="589">
        <f>596253.74/1.2/1000</f>
        <v>496.8781166666667</v>
      </c>
      <c r="N8" s="3" t="s">
        <v>44</v>
      </c>
      <c r="O8" s="31">
        <v>44874</v>
      </c>
      <c r="P8" s="30" t="s">
        <v>45</v>
      </c>
      <c r="Q8" s="30">
        <f>596253.74/1.2/1000</f>
        <v>496.8781166666667</v>
      </c>
      <c r="R8" s="30">
        <v>1</v>
      </c>
      <c r="S8" s="30">
        <f>596253.74/1.2/1000</f>
        <v>496.8781166666667</v>
      </c>
      <c r="T8" s="31">
        <v>44874</v>
      </c>
      <c r="U8" s="30"/>
      <c r="V8" s="30" t="s">
        <v>59</v>
      </c>
    </row>
    <row r="9" spans="1:22" ht="69.75" customHeight="1" x14ac:dyDescent="0.3">
      <c r="A9" s="30">
        <v>5</v>
      </c>
      <c r="B9" s="30" t="s">
        <v>21</v>
      </c>
      <c r="C9" s="520" t="s">
        <v>31</v>
      </c>
      <c r="D9" s="30" t="s">
        <v>58</v>
      </c>
      <c r="E9" s="30" t="s">
        <v>20</v>
      </c>
      <c r="F9" s="30" t="s">
        <v>23</v>
      </c>
      <c r="G9" s="30" t="s">
        <v>25</v>
      </c>
      <c r="H9" s="590"/>
      <c r="I9" s="2">
        <v>20</v>
      </c>
      <c r="J9" s="590">
        <f>601899.72/1.2/1000</f>
        <v>501.5831</v>
      </c>
      <c r="K9" s="590"/>
      <c r="L9" s="2">
        <v>20</v>
      </c>
      <c r="M9" s="590">
        <f>601899.72/1.2/1000</f>
        <v>501.5831</v>
      </c>
      <c r="N9" s="3" t="s">
        <v>66</v>
      </c>
      <c r="O9" s="31">
        <v>44875</v>
      </c>
      <c r="P9" s="30" t="s">
        <v>28</v>
      </c>
      <c r="Q9" s="30">
        <f>379798.26/1.2/1000</f>
        <v>316.49855000000002</v>
      </c>
      <c r="R9" s="30">
        <v>1</v>
      </c>
      <c r="S9" s="30">
        <f>379798.26/1.2/1000</f>
        <v>316.49855000000002</v>
      </c>
      <c r="T9" s="31">
        <v>44904</v>
      </c>
      <c r="U9" s="30"/>
      <c r="V9" s="30"/>
    </row>
    <row r="10" spans="1:22" ht="65.25" customHeight="1" x14ac:dyDescent="0.3">
      <c r="A10" s="30">
        <v>6</v>
      </c>
      <c r="B10" s="30" t="s">
        <v>21</v>
      </c>
      <c r="C10" s="520" t="s">
        <v>31</v>
      </c>
      <c r="D10" s="30" t="s">
        <v>58</v>
      </c>
      <c r="E10" s="30" t="s">
        <v>20</v>
      </c>
      <c r="F10" s="30" t="s">
        <v>23</v>
      </c>
      <c r="G10" s="30" t="s">
        <v>25</v>
      </c>
      <c r="H10" s="590"/>
      <c r="I10" s="2">
        <v>6</v>
      </c>
      <c r="J10" s="590">
        <f>8905.68/1.2/1000</f>
        <v>7.4214000000000002</v>
      </c>
      <c r="K10" s="590"/>
      <c r="L10" s="2">
        <v>6</v>
      </c>
      <c r="M10" s="590">
        <f>8905.68/1.2/1000</f>
        <v>7.4214000000000002</v>
      </c>
      <c r="N10" s="3" t="s">
        <v>67</v>
      </c>
      <c r="O10" s="31">
        <v>44875</v>
      </c>
      <c r="P10" s="30" t="s">
        <v>28</v>
      </c>
      <c r="Q10" s="30">
        <f>7693.2/1.2/1000</f>
        <v>6.4109999999999996</v>
      </c>
      <c r="R10" s="30">
        <v>1</v>
      </c>
      <c r="S10" s="30">
        <f>7693.2/1.2/1000</f>
        <v>6.4109999999999996</v>
      </c>
      <c r="T10" s="31">
        <v>44904</v>
      </c>
      <c r="U10" s="30"/>
      <c r="V10" s="30"/>
    </row>
    <row r="11" spans="1:22" ht="84" customHeight="1" x14ac:dyDescent="0.3">
      <c r="A11" s="30">
        <v>7</v>
      </c>
      <c r="B11" s="30" t="s">
        <v>40</v>
      </c>
      <c r="C11" s="520" t="s">
        <v>41</v>
      </c>
      <c r="D11" s="30"/>
      <c r="E11" s="30" t="s">
        <v>20</v>
      </c>
      <c r="F11" s="30" t="s">
        <v>46</v>
      </c>
      <c r="G11" s="30" t="s">
        <v>43</v>
      </c>
      <c r="H11" s="589">
        <f>65558.2/1.2/1000</f>
        <v>54.631833333333333</v>
      </c>
      <c r="I11" s="30">
        <v>1</v>
      </c>
      <c r="J11" s="589">
        <f>65558.2/1.2/1000</f>
        <v>54.631833333333333</v>
      </c>
      <c r="K11" s="589">
        <f>65558.2/1.2/1000</f>
        <v>54.631833333333333</v>
      </c>
      <c r="L11" s="30">
        <v>1</v>
      </c>
      <c r="M11" s="589">
        <f>65558.2/1.2/1000</f>
        <v>54.631833333333333</v>
      </c>
      <c r="N11" s="3" t="s">
        <v>47</v>
      </c>
      <c r="O11" s="31">
        <v>44875</v>
      </c>
      <c r="P11" s="30" t="s">
        <v>48</v>
      </c>
      <c r="Q11" s="30">
        <f>65558.2/1.2/1000</f>
        <v>54.631833333333333</v>
      </c>
      <c r="R11" s="30">
        <v>1</v>
      </c>
      <c r="S11" s="30">
        <f>65558.2/1.2/1000</f>
        <v>54.631833333333333</v>
      </c>
      <c r="T11" s="31">
        <v>44875</v>
      </c>
      <c r="U11" s="30"/>
      <c r="V11" s="30" t="s">
        <v>59</v>
      </c>
    </row>
    <row r="12" spans="1:22" ht="112.5" customHeight="1" x14ac:dyDescent="0.3">
      <c r="A12" s="30">
        <v>8</v>
      </c>
      <c r="B12" s="30" t="s">
        <v>40</v>
      </c>
      <c r="C12" s="520" t="s">
        <v>41</v>
      </c>
      <c r="D12" s="30"/>
      <c r="E12" s="30" t="s">
        <v>20</v>
      </c>
      <c r="F12" s="30" t="s">
        <v>49</v>
      </c>
      <c r="G12" s="30" t="s">
        <v>43</v>
      </c>
      <c r="H12" s="589">
        <f>238641.32/1.2/1000</f>
        <v>198.86776666666668</v>
      </c>
      <c r="I12" s="30">
        <v>1</v>
      </c>
      <c r="J12" s="589">
        <f>238641.32/1.2/1000</f>
        <v>198.86776666666668</v>
      </c>
      <c r="K12" s="589">
        <f>238641.32/1.2/1000</f>
        <v>198.86776666666668</v>
      </c>
      <c r="L12" s="30">
        <v>1</v>
      </c>
      <c r="M12" s="589">
        <f>238641.32/1.2/1000</f>
        <v>198.86776666666668</v>
      </c>
      <c r="N12" s="3" t="s">
        <v>50</v>
      </c>
      <c r="O12" s="31">
        <v>44879</v>
      </c>
      <c r="P12" s="30" t="s">
        <v>51</v>
      </c>
      <c r="Q12" s="30">
        <f>238641.32/1.2/1000</f>
        <v>198.86776666666668</v>
      </c>
      <c r="R12" s="30">
        <v>1</v>
      </c>
      <c r="S12" s="30">
        <f>238641.32/1.2/1000</f>
        <v>198.86776666666668</v>
      </c>
      <c r="T12" s="31">
        <v>44879</v>
      </c>
      <c r="U12" s="30"/>
      <c r="V12" s="30" t="s">
        <v>59</v>
      </c>
    </row>
    <row r="13" spans="1:22" ht="192.75" customHeight="1" x14ac:dyDescent="0.3">
      <c r="A13" s="30">
        <v>9</v>
      </c>
      <c r="B13" s="30" t="s">
        <v>40</v>
      </c>
      <c r="C13" s="520" t="s">
        <v>41</v>
      </c>
      <c r="D13" s="30" t="s">
        <v>58</v>
      </c>
      <c r="E13" s="30" t="s">
        <v>20</v>
      </c>
      <c r="F13" s="30" t="s">
        <v>52</v>
      </c>
      <c r="G13" s="30" t="s">
        <v>43</v>
      </c>
      <c r="H13" s="589">
        <f>3306105/1.2/1000</f>
        <v>2755.0875000000001</v>
      </c>
      <c r="I13" s="30">
        <v>1</v>
      </c>
      <c r="J13" s="589">
        <f>3306105/1.2/1000</f>
        <v>2755.0875000000001</v>
      </c>
      <c r="K13" s="589">
        <f>3306105/1.2/1000</f>
        <v>2755.0875000000001</v>
      </c>
      <c r="L13" s="30">
        <v>1</v>
      </c>
      <c r="M13" s="589">
        <f>3306105/1.2/1000</f>
        <v>2755.0875000000001</v>
      </c>
      <c r="N13" s="3" t="s">
        <v>53</v>
      </c>
      <c r="O13" s="31">
        <v>44881</v>
      </c>
      <c r="P13" s="30" t="s">
        <v>54</v>
      </c>
      <c r="Q13" s="30">
        <f>3306103.51/1.2/1000</f>
        <v>2755.0862583333333</v>
      </c>
      <c r="R13" s="30">
        <v>1</v>
      </c>
      <c r="S13" s="30">
        <f>3306103.51/1.2/1000</f>
        <v>2755.0862583333333</v>
      </c>
      <c r="T13" s="31">
        <v>44903</v>
      </c>
      <c r="U13" s="30"/>
      <c r="V13" s="30"/>
    </row>
    <row r="14" spans="1:22" ht="78" x14ac:dyDescent="0.3">
      <c r="A14" s="30">
        <v>10</v>
      </c>
      <c r="B14" s="30" t="s">
        <v>40</v>
      </c>
      <c r="C14" s="520" t="s">
        <v>41</v>
      </c>
      <c r="D14" s="30" t="s">
        <v>58</v>
      </c>
      <c r="E14" s="30" t="s">
        <v>20</v>
      </c>
      <c r="F14" s="30" t="s">
        <v>55</v>
      </c>
      <c r="G14" s="30" t="s">
        <v>43</v>
      </c>
      <c r="H14" s="589">
        <f>1980000/1.2/1000</f>
        <v>1650</v>
      </c>
      <c r="I14" s="30">
        <v>1</v>
      </c>
      <c r="J14" s="589">
        <f>1980000/1.2/1000</f>
        <v>1650</v>
      </c>
      <c r="K14" s="589">
        <f>1980000/1.2/1000</f>
        <v>1650</v>
      </c>
      <c r="L14" s="30">
        <v>1</v>
      </c>
      <c r="M14" s="589">
        <f>1980000/1.2/1000</f>
        <v>1650</v>
      </c>
      <c r="N14" s="3" t="s">
        <v>56</v>
      </c>
      <c r="O14" s="31">
        <v>44882</v>
      </c>
      <c r="P14" s="30" t="s">
        <v>57</v>
      </c>
      <c r="Q14" s="30">
        <f>1979789.87/1.2/1000</f>
        <v>1649.8248916666669</v>
      </c>
      <c r="R14" s="30">
        <v>1</v>
      </c>
      <c r="S14" s="30">
        <f>1979789.87/1.2/1000</f>
        <v>1649.8248916666669</v>
      </c>
      <c r="T14" s="31">
        <v>44903</v>
      </c>
      <c r="U14" s="30"/>
      <c r="V14" s="30"/>
    </row>
    <row r="15" spans="1:22" ht="93.6" x14ac:dyDescent="0.3">
      <c r="A15" s="30">
        <v>11</v>
      </c>
      <c r="B15" s="30" t="s">
        <v>40</v>
      </c>
      <c r="C15" s="520" t="s">
        <v>41</v>
      </c>
      <c r="D15" s="30"/>
      <c r="E15" s="30" t="s">
        <v>20</v>
      </c>
      <c r="F15" s="30" t="s">
        <v>60</v>
      </c>
      <c r="G15" s="30" t="s">
        <v>43</v>
      </c>
      <c r="H15" s="589">
        <f>529516.15/1.2/1000</f>
        <v>441.26345833333335</v>
      </c>
      <c r="I15" s="30">
        <v>1</v>
      </c>
      <c r="J15" s="589">
        <f>529516.15/1.2/1000</f>
        <v>441.26345833333335</v>
      </c>
      <c r="K15" s="589">
        <f>529516.15/1.2/1000</f>
        <v>441.26345833333335</v>
      </c>
      <c r="L15" s="30">
        <v>1</v>
      </c>
      <c r="M15" s="589">
        <f>529516.15/1.2/1000</f>
        <v>441.26345833333335</v>
      </c>
      <c r="N15" s="3" t="s">
        <v>61</v>
      </c>
      <c r="O15" s="31">
        <v>44882</v>
      </c>
      <c r="P15" s="30" t="s">
        <v>62</v>
      </c>
      <c r="Q15" s="30">
        <f>529516.15/1.2/1000</f>
        <v>441.26345833333335</v>
      </c>
      <c r="R15" s="30">
        <v>1</v>
      </c>
      <c r="S15" s="30">
        <f>529516.15/1.2/1000</f>
        <v>441.26345833333335</v>
      </c>
      <c r="T15" s="31">
        <v>44882</v>
      </c>
      <c r="U15" s="30"/>
      <c r="V15" s="30" t="s">
        <v>59</v>
      </c>
    </row>
    <row r="16" spans="1:22" ht="62.4" x14ac:dyDescent="0.3">
      <c r="A16" s="30">
        <v>12</v>
      </c>
      <c r="B16" s="30" t="s">
        <v>21</v>
      </c>
      <c r="C16" s="520" t="s">
        <v>36</v>
      </c>
      <c r="D16" s="30" t="s">
        <v>68</v>
      </c>
      <c r="E16" s="30" t="s">
        <v>20</v>
      </c>
      <c r="F16" s="30" t="s">
        <v>63</v>
      </c>
      <c r="G16" s="30" t="s">
        <v>24</v>
      </c>
      <c r="H16" s="589"/>
      <c r="I16" s="30">
        <v>84</v>
      </c>
      <c r="J16" s="589">
        <f>202860/1.2/1000</f>
        <v>169.05</v>
      </c>
      <c r="K16" s="589"/>
      <c r="L16" s="30">
        <v>84</v>
      </c>
      <c r="M16" s="589">
        <f>202860/1.2/1000</f>
        <v>169.05</v>
      </c>
      <c r="N16" s="3" t="s">
        <v>64</v>
      </c>
      <c r="O16" s="31">
        <v>44888</v>
      </c>
      <c r="P16" s="30" t="s">
        <v>65</v>
      </c>
      <c r="Q16" s="30"/>
      <c r="R16" s="30">
        <v>84</v>
      </c>
      <c r="S16" s="30">
        <f>202860/1.2/1000</f>
        <v>169.05</v>
      </c>
      <c r="T16" s="31">
        <v>44888</v>
      </c>
      <c r="U16" s="30"/>
      <c r="V16" s="30" t="s">
        <v>59</v>
      </c>
    </row>
    <row r="17" spans="1:22" ht="62.4" x14ac:dyDescent="0.3">
      <c r="A17" s="30">
        <v>13</v>
      </c>
      <c r="B17" s="30" t="s">
        <v>40</v>
      </c>
      <c r="C17" s="520" t="s">
        <v>41</v>
      </c>
      <c r="D17" s="30" t="s">
        <v>58</v>
      </c>
      <c r="E17" s="30" t="s">
        <v>20</v>
      </c>
      <c r="F17" s="30" t="s">
        <v>69</v>
      </c>
      <c r="G17" s="30" t="s">
        <v>43</v>
      </c>
      <c r="H17" s="589">
        <v>486.35840999999999</v>
      </c>
      <c r="I17" s="30">
        <v>1</v>
      </c>
      <c r="J17" s="589">
        <v>486.35840999999999</v>
      </c>
      <c r="K17" s="589">
        <v>486.35840999999999</v>
      </c>
      <c r="L17" s="30">
        <v>1</v>
      </c>
      <c r="M17" s="589">
        <v>486.35840999999999</v>
      </c>
      <c r="N17" s="3" t="s">
        <v>70</v>
      </c>
      <c r="O17" s="31">
        <v>44903</v>
      </c>
      <c r="P17" s="30" t="s">
        <v>71</v>
      </c>
      <c r="Q17" s="30">
        <v>486.35840999999999</v>
      </c>
      <c r="R17" s="30">
        <v>1</v>
      </c>
      <c r="S17" s="30">
        <v>486.35840999999999</v>
      </c>
      <c r="T17" s="31">
        <v>44903</v>
      </c>
      <c r="U17" s="30"/>
      <c r="V17" s="30" t="s">
        <v>59</v>
      </c>
    </row>
    <row r="18" spans="1:22" ht="62.4" x14ac:dyDescent="0.3">
      <c r="A18" s="30">
        <v>14</v>
      </c>
      <c r="B18" s="30" t="s">
        <v>40</v>
      </c>
      <c r="C18" s="12" t="s">
        <v>73</v>
      </c>
      <c r="D18" s="30"/>
      <c r="E18" s="30" t="s">
        <v>75</v>
      </c>
      <c r="F18" s="12" t="s">
        <v>72</v>
      </c>
      <c r="G18" s="30" t="s">
        <v>43</v>
      </c>
      <c r="H18" s="591">
        <f>51.85488/1.2</f>
        <v>43.212400000000002</v>
      </c>
      <c r="I18" s="30">
        <v>1</v>
      </c>
      <c r="J18" s="591">
        <f>51.85488/1.2</f>
        <v>43.212400000000002</v>
      </c>
      <c r="K18" s="591">
        <f>51.85488/1.2</f>
        <v>43.212400000000002</v>
      </c>
      <c r="L18" s="30">
        <v>1</v>
      </c>
      <c r="M18" s="591">
        <f>51.85488/1.2</f>
        <v>43.212400000000002</v>
      </c>
      <c r="N18" s="3" t="s">
        <v>74</v>
      </c>
      <c r="O18" s="31">
        <v>44916</v>
      </c>
      <c r="P18" s="13" t="str">
        <f>HYPERLINK("https://my.zakupki.prom.ua/remote/dispatcher/state_purchase_view/39591644", "UA-2022-12-21-012032-a")</f>
        <v>UA-2022-12-21-012032-a</v>
      </c>
      <c r="Q18" s="5">
        <f>51.85488/1.2</f>
        <v>43.212400000000002</v>
      </c>
      <c r="R18" s="30">
        <v>1</v>
      </c>
      <c r="S18" s="5">
        <f>51.85488/1.2</f>
        <v>43.212400000000002</v>
      </c>
      <c r="T18" s="31">
        <v>44916</v>
      </c>
      <c r="U18" s="30"/>
      <c r="V18" s="30" t="s">
        <v>59</v>
      </c>
    </row>
    <row r="19" spans="1:22" ht="62.4" x14ac:dyDescent="0.3">
      <c r="A19" s="30">
        <v>15</v>
      </c>
      <c r="B19" s="30" t="s">
        <v>40</v>
      </c>
      <c r="C19" s="12" t="s">
        <v>73</v>
      </c>
      <c r="D19" s="30"/>
      <c r="E19" s="30" t="s">
        <v>75</v>
      </c>
      <c r="F19" s="12" t="s">
        <v>76</v>
      </c>
      <c r="G19" s="30" t="s">
        <v>43</v>
      </c>
      <c r="H19" s="591">
        <f>1345698.88/1.2/1000</f>
        <v>1121.4157333333335</v>
      </c>
      <c r="I19" s="30">
        <v>1</v>
      </c>
      <c r="J19" s="591">
        <f>1345698.88/1.2/1000</f>
        <v>1121.4157333333335</v>
      </c>
      <c r="K19" s="591">
        <f>1345698.88/1.2/1000</f>
        <v>1121.4157333333335</v>
      </c>
      <c r="L19" s="30">
        <v>1</v>
      </c>
      <c r="M19" s="591">
        <f>1345698.88/1.2/1000</f>
        <v>1121.4157333333335</v>
      </c>
      <c r="N19" s="3" t="s">
        <v>77</v>
      </c>
      <c r="O19" s="31">
        <v>44921</v>
      </c>
      <c r="P19" s="13" t="str">
        <f>HYPERLINK("https://my.zakupki.prom.ua/remote/dispatcher/state_purchase_view/39730352", "UA-2022-12-26-003873-a")</f>
        <v>UA-2022-12-26-003873-a</v>
      </c>
      <c r="Q19" s="5">
        <f>1345698.88/1.2/1000</f>
        <v>1121.4157333333335</v>
      </c>
      <c r="R19" s="30">
        <v>1</v>
      </c>
      <c r="S19" s="5">
        <f>1345698.88/1.2/1000</f>
        <v>1121.4157333333335</v>
      </c>
      <c r="T19" s="31">
        <v>44921</v>
      </c>
      <c r="U19" s="30"/>
      <c r="V19" s="30" t="s">
        <v>59</v>
      </c>
    </row>
    <row r="20" spans="1:22" ht="62.4" x14ac:dyDescent="0.3">
      <c r="A20" s="30">
        <v>16</v>
      </c>
      <c r="B20" s="30" t="s">
        <v>40</v>
      </c>
      <c r="C20" s="12" t="s">
        <v>73</v>
      </c>
      <c r="D20" s="30"/>
      <c r="E20" s="30" t="s">
        <v>75</v>
      </c>
      <c r="F20" s="12" t="s">
        <v>78</v>
      </c>
      <c r="G20" s="30" t="s">
        <v>43</v>
      </c>
      <c r="H20" s="591">
        <f>201575.17/1.2/100</f>
        <v>1679.7930833333335</v>
      </c>
      <c r="I20" s="30">
        <v>1</v>
      </c>
      <c r="J20" s="591">
        <f>201575.17/1.2/100</f>
        <v>1679.7930833333335</v>
      </c>
      <c r="K20" s="591">
        <f>201575.17/1.2/100</f>
        <v>1679.7930833333335</v>
      </c>
      <c r="L20" s="30">
        <v>1</v>
      </c>
      <c r="M20" s="591">
        <f>201575.17/1.2/100</f>
        <v>1679.7930833333335</v>
      </c>
      <c r="N20" s="3" t="s">
        <v>82</v>
      </c>
      <c r="O20" s="14">
        <v>44943</v>
      </c>
      <c r="P20" s="13" t="str">
        <f>HYPERLINK("https://my.zakupki.prom.ua/remote/dispatcher/state_purchase_view/40092155", "UA-2023-01-17-001178-a")</f>
        <v>UA-2023-01-17-001178-a</v>
      </c>
      <c r="Q20" s="5">
        <f>201575.17/1.2/100</f>
        <v>1679.7930833333335</v>
      </c>
      <c r="R20" s="30">
        <v>1</v>
      </c>
      <c r="S20" s="5">
        <f>201575.17/1.2/100</f>
        <v>1679.7930833333335</v>
      </c>
      <c r="T20" s="14">
        <v>44943</v>
      </c>
      <c r="U20" s="30"/>
      <c r="V20" s="30" t="s">
        <v>59</v>
      </c>
    </row>
    <row r="21" spans="1:22" ht="62.4" x14ac:dyDescent="0.3">
      <c r="A21" s="30">
        <v>17</v>
      </c>
      <c r="B21" s="30" t="s">
        <v>40</v>
      </c>
      <c r="C21" s="12" t="s">
        <v>73</v>
      </c>
      <c r="D21" s="30"/>
      <c r="E21" s="30" t="s">
        <v>75</v>
      </c>
      <c r="F21" s="12" t="s">
        <v>79</v>
      </c>
      <c r="G21" s="12" t="s">
        <v>184</v>
      </c>
      <c r="H21" s="591">
        <f>185417.83/1.2/1000</f>
        <v>154.51485833333334</v>
      </c>
      <c r="I21" s="30">
        <v>1</v>
      </c>
      <c r="J21" s="591">
        <f>185417.83/1.2/1000</f>
        <v>154.51485833333334</v>
      </c>
      <c r="K21" s="591">
        <f>185417.83/1.2/1000</f>
        <v>154.51485833333334</v>
      </c>
      <c r="L21" s="30">
        <v>1</v>
      </c>
      <c r="M21" s="591">
        <f>185417.83/1.2/1000</f>
        <v>154.51485833333334</v>
      </c>
      <c r="N21" s="3" t="s">
        <v>83</v>
      </c>
      <c r="O21" s="14">
        <v>44943</v>
      </c>
      <c r="P21" s="13" t="str">
        <f>HYPERLINK("https://my.zakupki.prom.ua/remote/dispatcher/state_purchase_view/40092152", "UA-2023-01-17-001173-a")</f>
        <v>UA-2023-01-17-001173-a</v>
      </c>
      <c r="Q21" s="5">
        <f>185417.83/1.2/1000</f>
        <v>154.51485833333334</v>
      </c>
      <c r="R21" s="30">
        <v>1</v>
      </c>
      <c r="S21" s="5">
        <f>185417.83/1.2/1000</f>
        <v>154.51485833333334</v>
      </c>
      <c r="T21" s="14">
        <v>44943</v>
      </c>
      <c r="U21" s="30"/>
      <c r="V21" s="30" t="s">
        <v>59</v>
      </c>
    </row>
    <row r="22" spans="1:22" ht="62.4" x14ac:dyDescent="0.3">
      <c r="A22" s="30">
        <v>18</v>
      </c>
      <c r="B22" s="30" t="s">
        <v>40</v>
      </c>
      <c r="C22" s="12" t="s">
        <v>73</v>
      </c>
      <c r="D22" s="30"/>
      <c r="E22" s="30" t="s">
        <v>75</v>
      </c>
      <c r="F22" s="12" t="s">
        <v>80</v>
      </c>
      <c r="G22" s="12" t="s">
        <v>184</v>
      </c>
      <c r="H22" s="591">
        <f>135928.4/1.2/1000</f>
        <v>113.27366666666667</v>
      </c>
      <c r="I22" s="30">
        <v>1</v>
      </c>
      <c r="J22" s="591">
        <f>135928.4/1.2/1000</f>
        <v>113.27366666666667</v>
      </c>
      <c r="K22" s="591">
        <f>135928.4/1.2/1000</f>
        <v>113.27366666666667</v>
      </c>
      <c r="L22" s="30">
        <v>1</v>
      </c>
      <c r="M22" s="591">
        <f>135928.4/1.2/1000</f>
        <v>113.27366666666667</v>
      </c>
      <c r="N22" s="3" t="s">
        <v>84</v>
      </c>
      <c r="O22" s="14">
        <v>44943</v>
      </c>
      <c r="P22" s="13" t="str">
        <f>HYPERLINK("https://my.zakupki.prom.ua/remote/dispatcher/state_purchase_view/40091969", "UA-2023-01-17-001062-a")</f>
        <v>UA-2023-01-17-001062-a</v>
      </c>
      <c r="Q22" s="5">
        <f>135928.4/1.2/1000</f>
        <v>113.27366666666667</v>
      </c>
      <c r="R22" s="30">
        <v>1</v>
      </c>
      <c r="S22" s="5">
        <f>135928.4/1.2/1000</f>
        <v>113.27366666666667</v>
      </c>
      <c r="T22" s="14">
        <v>44943</v>
      </c>
      <c r="U22" s="30"/>
      <c r="V22" s="30" t="s">
        <v>59</v>
      </c>
    </row>
    <row r="23" spans="1:22" ht="62.4" x14ac:dyDescent="0.3">
      <c r="A23" s="30">
        <v>19</v>
      </c>
      <c r="B23" s="30" t="s">
        <v>40</v>
      </c>
      <c r="C23" s="12" t="s">
        <v>73</v>
      </c>
      <c r="D23" s="30"/>
      <c r="E23" s="30" t="s">
        <v>75</v>
      </c>
      <c r="F23" s="12" t="s">
        <v>81</v>
      </c>
      <c r="G23" s="12" t="s">
        <v>184</v>
      </c>
      <c r="H23" s="591">
        <f>189360.37/1.2/1000</f>
        <v>157.80030833333336</v>
      </c>
      <c r="I23" s="30">
        <v>1</v>
      </c>
      <c r="J23" s="591">
        <f>189360.37/1.2/1000</f>
        <v>157.80030833333336</v>
      </c>
      <c r="K23" s="591">
        <f>189360.37/1.2/1000</f>
        <v>157.80030833333336</v>
      </c>
      <c r="L23" s="30">
        <v>1</v>
      </c>
      <c r="M23" s="591">
        <f>189360.37/1.2/1000</f>
        <v>157.80030833333336</v>
      </c>
      <c r="N23" s="3" t="s">
        <v>85</v>
      </c>
      <c r="O23" s="14">
        <v>44943</v>
      </c>
      <c r="P23" s="13" t="str">
        <f>HYPERLINK("https://my.zakupki.prom.ua/remote/dispatcher/state_purchase_view/40091965", "UA-2023-01-17-001056-a")</f>
        <v>UA-2023-01-17-001056-a</v>
      </c>
      <c r="Q23" s="5">
        <f>189360.37/1.2/1000</f>
        <v>157.80030833333336</v>
      </c>
      <c r="R23" s="30">
        <v>1</v>
      </c>
      <c r="S23" s="5">
        <f>189360.37/1.2/1000</f>
        <v>157.80030833333336</v>
      </c>
      <c r="T23" s="14">
        <v>44943</v>
      </c>
      <c r="U23" s="30"/>
      <c r="V23" s="30" t="s">
        <v>59</v>
      </c>
    </row>
    <row r="24" spans="1:22" ht="46.8" x14ac:dyDescent="0.3">
      <c r="A24" s="30">
        <v>20</v>
      </c>
      <c r="B24" s="30" t="s">
        <v>21</v>
      </c>
      <c r="C24" s="12" t="s">
        <v>87</v>
      </c>
      <c r="D24" s="30" t="s">
        <v>58</v>
      </c>
      <c r="E24" s="30" t="s">
        <v>88</v>
      </c>
      <c r="F24" s="12" t="s">
        <v>86</v>
      </c>
      <c r="G24" s="30" t="s">
        <v>25</v>
      </c>
      <c r="H24" s="591"/>
      <c r="I24" s="30">
        <v>10</v>
      </c>
      <c r="J24" s="591">
        <f>11570040/1.2/1000</f>
        <v>9641.7000000000007</v>
      </c>
      <c r="K24" s="591">
        <f>11570040/1.2/1000</f>
        <v>9641.7000000000007</v>
      </c>
      <c r="L24" s="30">
        <v>10</v>
      </c>
      <c r="M24" s="591">
        <f>11570040/1.2/1000</f>
        <v>9641.7000000000007</v>
      </c>
      <c r="N24" s="3" t="s">
        <v>89</v>
      </c>
      <c r="O24" s="14">
        <v>44951</v>
      </c>
      <c r="P24" s="13" t="str">
        <f>HYPERLINK("https://my.zakupki.prom.ua/remote/dispatcher/state_purchase_view/40312420", "UA-2023-01-25-000806-a")</f>
        <v>UA-2023-01-25-000806-a</v>
      </c>
      <c r="Q24" s="5"/>
      <c r="R24" s="30">
        <v>10</v>
      </c>
      <c r="S24" s="5">
        <f>11570040/1.2/1000</f>
        <v>9641.7000000000007</v>
      </c>
      <c r="T24" s="14">
        <v>44987</v>
      </c>
      <c r="U24" s="30"/>
      <c r="V24" s="30"/>
    </row>
    <row r="25" spans="1:22" ht="78" x14ac:dyDescent="0.3">
      <c r="A25" s="30">
        <v>21</v>
      </c>
      <c r="B25" s="30" t="s">
        <v>21</v>
      </c>
      <c r="C25" s="12" t="s">
        <v>36</v>
      </c>
      <c r="D25" s="30" t="s">
        <v>58</v>
      </c>
      <c r="E25" s="30" t="s">
        <v>88</v>
      </c>
      <c r="F25" s="30" t="s">
        <v>90</v>
      </c>
      <c r="G25" s="30" t="s">
        <v>25</v>
      </c>
      <c r="H25" s="589"/>
      <c r="I25" s="30">
        <v>68</v>
      </c>
      <c r="J25" s="589">
        <f>792362.4/1.2/1000</f>
        <v>660.30200000000002</v>
      </c>
      <c r="K25" s="589">
        <f>792362.4/1.2/1000</f>
        <v>660.30200000000002</v>
      </c>
      <c r="L25" s="30">
        <v>68</v>
      </c>
      <c r="M25" s="589">
        <f>792362.4/1.2/1000</f>
        <v>660.30200000000002</v>
      </c>
      <c r="N25" s="3" t="s">
        <v>91</v>
      </c>
      <c r="O25" s="15">
        <v>44958</v>
      </c>
      <c r="P25" s="16" t="s">
        <v>92</v>
      </c>
      <c r="Q25" s="30"/>
      <c r="R25" s="30"/>
      <c r="S25" s="30"/>
      <c r="T25" s="31"/>
      <c r="U25" s="16" t="s">
        <v>93</v>
      </c>
      <c r="V25" s="30"/>
    </row>
    <row r="26" spans="1:22" ht="62.4" x14ac:dyDescent="0.3">
      <c r="A26" s="30">
        <v>22</v>
      </c>
      <c r="B26" s="30" t="s">
        <v>21</v>
      </c>
      <c r="C26" s="12" t="s">
        <v>30</v>
      </c>
      <c r="D26" s="30" t="s">
        <v>58</v>
      </c>
      <c r="E26" s="30" t="s">
        <v>88</v>
      </c>
      <c r="F26" s="30" t="s">
        <v>94</v>
      </c>
      <c r="G26" s="30" t="s">
        <v>25</v>
      </c>
      <c r="H26" s="589"/>
      <c r="I26" s="30">
        <v>13</v>
      </c>
      <c r="J26" s="589">
        <f>402939.84/1.2/1000</f>
        <v>335.78320000000002</v>
      </c>
      <c r="K26" s="589">
        <f>402939.84/1.2/1000</f>
        <v>335.78320000000002</v>
      </c>
      <c r="L26" s="30">
        <v>13</v>
      </c>
      <c r="M26" s="589">
        <f>402939.84/1.2/1000</f>
        <v>335.78320000000002</v>
      </c>
      <c r="N26" s="3" t="s">
        <v>95</v>
      </c>
      <c r="O26" s="14">
        <v>44958</v>
      </c>
      <c r="P26" s="13" t="str">
        <f>HYPERLINK("https://my.zakupki.prom.ua/remote/dispatcher/state_purchase_view/40518990", "UA-2023-02-01-009402-a")</f>
        <v>UA-2023-02-01-009402-a</v>
      </c>
      <c r="Q26" s="5"/>
      <c r="R26" s="30">
        <v>13</v>
      </c>
      <c r="S26" s="5">
        <f>388012.8/1.2/1000</f>
        <v>323.34399999999999</v>
      </c>
      <c r="T26" s="14">
        <v>44972</v>
      </c>
      <c r="U26" s="30"/>
      <c r="V26" s="30"/>
    </row>
    <row r="27" spans="1:22" ht="62.4" x14ac:dyDescent="0.3">
      <c r="A27" s="30">
        <v>23</v>
      </c>
      <c r="B27" s="30" t="s">
        <v>40</v>
      </c>
      <c r="C27" s="12" t="s">
        <v>41</v>
      </c>
      <c r="D27" s="30"/>
      <c r="E27" s="30" t="s">
        <v>75</v>
      </c>
      <c r="F27" s="12" t="s">
        <v>96</v>
      </c>
      <c r="G27" s="12" t="s">
        <v>184</v>
      </c>
      <c r="H27" s="591">
        <f>146052.66/1.2/1000</f>
        <v>121.71055</v>
      </c>
      <c r="I27" s="17">
        <v>1</v>
      </c>
      <c r="J27" s="591">
        <f>146052.66/1.2/1000</f>
        <v>121.71055</v>
      </c>
      <c r="K27" s="591">
        <f>146052.66/1.2/1000</f>
        <v>121.71055</v>
      </c>
      <c r="L27" s="17">
        <v>1</v>
      </c>
      <c r="M27" s="591">
        <f>146052.66/1.2/1000</f>
        <v>121.71055</v>
      </c>
      <c r="N27" s="3" t="s">
        <v>194</v>
      </c>
      <c r="O27" s="14">
        <v>44965</v>
      </c>
      <c r="P27" s="13" t="str">
        <f>HYPERLINK("https://my.zakupki.prom.ua/remote/dispatcher/state_purchase_view/40719635", "UA-2023-02-08-015986-a")</f>
        <v>UA-2023-02-08-015986-a</v>
      </c>
      <c r="Q27" s="5">
        <f>146052.66/1.2/1000</f>
        <v>121.71055</v>
      </c>
      <c r="R27" s="17">
        <v>1</v>
      </c>
      <c r="S27" s="5">
        <f>146052.66/1.2/1000</f>
        <v>121.71055</v>
      </c>
      <c r="T27" s="14">
        <v>44965</v>
      </c>
      <c r="U27" s="30"/>
      <c r="V27" s="30" t="s">
        <v>59</v>
      </c>
    </row>
    <row r="28" spans="1:22" ht="62.4" x14ac:dyDescent="0.3">
      <c r="A28" s="30">
        <v>24</v>
      </c>
      <c r="B28" s="30" t="s">
        <v>40</v>
      </c>
      <c r="C28" s="12" t="s">
        <v>41</v>
      </c>
      <c r="D28" s="30"/>
      <c r="E28" s="30" t="s">
        <v>75</v>
      </c>
      <c r="F28" s="12" t="s">
        <v>97</v>
      </c>
      <c r="G28" s="12" t="s">
        <v>184</v>
      </c>
      <c r="H28" s="591">
        <f>237413.22/1000/1.2</f>
        <v>197.84434999999999</v>
      </c>
      <c r="I28" s="17">
        <v>1</v>
      </c>
      <c r="J28" s="591">
        <f>237413.22/1000/1.2</f>
        <v>197.84434999999999</v>
      </c>
      <c r="K28" s="591">
        <f>237413.22/1000/1.2</f>
        <v>197.84434999999999</v>
      </c>
      <c r="L28" s="17">
        <v>1</v>
      </c>
      <c r="M28" s="591">
        <f>237413.22/1000/1.2</f>
        <v>197.84434999999999</v>
      </c>
      <c r="N28" s="3" t="s">
        <v>195</v>
      </c>
      <c r="O28" s="14">
        <v>44970</v>
      </c>
      <c r="P28" s="13" t="str">
        <f>HYPERLINK("https://my.zakupki.prom.ua/remote/dispatcher/state_purchase_view/40817379", "UA-2023-02-13-012766-a")</f>
        <v>UA-2023-02-13-012766-a</v>
      </c>
      <c r="Q28" s="5">
        <f>237413.22/1000/1.2</f>
        <v>197.84434999999999</v>
      </c>
      <c r="R28" s="17">
        <v>1</v>
      </c>
      <c r="S28" s="5">
        <f>237413.22/1000/1.2</f>
        <v>197.84434999999999</v>
      </c>
      <c r="T28" s="14">
        <v>44970</v>
      </c>
      <c r="U28" s="30"/>
      <c r="V28" s="30" t="s">
        <v>59</v>
      </c>
    </row>
    <row r="29" spans="1:22" ht="78" x14ac:dyDescent="0.3">
      <c r="A29" s="30">
        <v>25</v>
      </c>
      <c r="B29" s="30" t="s">
        <v>40</v>
      </c>
      <c r="C29" s="12" t="s">
        <v>41</v>
      </c>
      <c r="D29" s="30"/>
      <c r="E29" s="30" t="s">
        <v>20</v>
      </c>
      <c r="F29" s="12" t="s">
        <v>98</v>
      </c>
      <c r="G29" s="12" t="s">
        <v>184</v>
      </c>
      <c r="H29" s="591">
        <v>187.58670000000001</v>
      </c>
      <c r="I29" s="17">
        <v>1</v>
      </c>
      <c r="J29" s="591">
        <v>187.58670000000001</v>
      </c>
      <c r="K29" s="591">
        <v>187.58670000000001</v>
      </c>
      <c r="L29" s="17">
        <v>1</v>
      </c>
      <c r="M29" s="591">
        <v>187.58670000000001</v>
      </c>
      <c r="N29" s="3" t="s">
        <v>196</v>
      </c>
      <c r="O29" s="14">
        <v>44972</v>
      </c>
      <c r="P29" s="13" t="str">
        <f>HYPERLINK("https://my.zakupki.prom.ua/remote/dispatcher/state_purchase_view/40865826", "UA-2023-02-15-004269-a")</f>
        <v>UA-2023-02-15-004269-a</v>
      </c>
      <c r="Q29" s="5">
        <v>187.58670000000001</v>
      </c>
      <c r="R29" s="17">
        <v>1</v>
      </c>
      <c r="S29" s="5">
        <v>187.58670000000001</v>
      </c>
      <c r="T29" s="14">
        <v>44972</v>
      </c>
      <c r="U29" s="30"/>
      <c r="V29" s="30" t="s">
        <v>59</v>
      </c>
    </row>
    <row r="30" spans="1:22" ht="62.4" x14ac:dyDescent="0.3">
      <c r="A30" s="30">
        <v>26</v>
      </c>
      <c r="B30" s="30" t="s">
        <v>40</v>
      </c>
      <c r="C30" s="12" t="s">
        <v>41</v>
      </c>
      <c r="D30" s="30"/>
      <c r="E30" s="30" t="s">
        <v>20</v>
      </c>
      <c r="F30" s="12" t="s">
        <v>99</v>
      </c>
      <c r="G30" s="12" t="s">
        <v>184</v>
      </c>
      <c r="H30" s="591">
        <v>590.66898333333336</v>
      </c>
      <c r="I30" s="17">
        <v>1</v>
      </c>
      <c r="J30" s="591">
        <v>590.66898333333336</v>
      </c>
      <c r="K30" s="591">
        <v>590.66898333333336</v>
      </c>
      <c r="L30" s="17">
        <v>1</v>
      </c>
      <c r="M30" s="591">
        <v>590.66898333333336</v>
      </c>
      <c r="N30" s="3" t="s">
        <v>197</v>
      </c>
      <c r="O30" s="14">
        <v>44972</v>
      </c>
      <c r="P30" s="13" t="str">
        <f>HYPERLINK("https://my.zakupki.prom.ua/remote/dispatcher/state_purchase_view/40865423", "UA-2023-02-15-004026-a")</f>
        <v>UA-2023-02-15-004026-a</v>
      </c>
      <c r="Q30" s="5">
        <v>590.66898333333336</v>
      </c>
      <c r="R30" s="17">
        <v>1</v>
      </c>
      <c r="S30" s="5">
        <v>590.66898333333336</v>
      </c>
      <c r="T30" s="14">
        <v>44972</v>
      </c>
      <c r="U30" s="30"/>
      <c r="V30" s="30" t="s">
        <v>59</v>
      </c>
    </row>
    <row r="31" spans="1:22" ht="78" x14ac:dyDescent="0.3">
      <c r="A31" s="30">
        <v>27</v>
      </c>
      <c r="B31" s="30" t="s">
        <v>40</v>
      </c>
      <c r="C31" s="12" t="s">
        <v>41</v>
      </c>
      <c r="D31" s="30"/>
      <c r="E31" s="30" t="s">
        <v>20</v>
      </c>
      <c r="F31" s="12" t="s">
        <v>100</v>
      </c>
      <c r="G31" s="12" t="s">
        <v>184</v>
      </c>
      <c r="H31" s="591">
        <v>75.020333333333326</v>
      </c>
      <c r="I31" s="17">
        <v>1</v>
      </c>
      <c r="J31" s="591">
        <v>75.020333333333326</v>
      </c>
      <c r="K31" s="591">
        <v>75.020333333333326</v>
      </c>
      <c r="L31" s="17">
        <v>1</v>
      </c>
      <c r="M31" s="591">
        <v>75.020333333333326</v>
      </c>
      <c r="N31" s="3" t="s">
        <v>198</v>
      </c>
      <c r="O31" s="14">
        <v>44972</v>
      </c>
      <c r="P31" s="13" t="str">
        <f>HYPERLINK("https://my.zakupki.prom.ua/remote/dispatcher/state_purchase_view/40865081", "UA-2023-02-15-003851-a")</f>
        <v>UA-2023-02-15-003851-a</v>
      </c>
      <c r="Q31" s="5">
        <v>75.020333333333326</v>
      </c>
      <c r="R31" s="17">
        <v>1</v>
      </c>
      <c r="S31" s="5">
        <v>75.020333333333326</v>
      </c>
      <c r="T31" s="14">
        <v>44972</v>
      </c>
      <c r="U31" s="30"/>
      <c r="V31" s="30" t="s">
        <v>59</v>
      </c>
    </row>
    <row r="32" spans="1:22" ht="62.4" x14ac:dyDescent="0.3">
      <c r="A32" s="30">
        <v>28</v>
      </c>
      <c r="B32" s="30" t="s">
        <v>40</v>
      </c>
      <c r="C32" s="12" t="s">
        <v>41</v>
      </c>
      <c r="D32" s="30"/>
      <c r="E32" s="30" t="s">
        <v>20</v>
      </c>
      <c r="F32" s="12" t="s">
        <v>101</v>
      </c>
      <c r="G32" s="12" t="s">
        <v>184</v>
      </c>
      <c r="H32" s="591">
        <v>230.31730000000002</v>
      </c>
      <c r="I32" s="17">
        <v>1</v>
      </c>
      <c r="J32" s="591">
        <v>230.31730000000002</v>
      </c>
      <c r="K32" s="591">
        <v>230.31730000000002</v>
      </c>
      <c r="L32" s="17">
        <v>1</v>
      </c>
      <c r="M32" s="591">
        <v>230.31730000000002</v>
      </c>
      <c r="N32" s="3" t="s">
        <v>199</v>
      </c>
      <c r="O32" s="14">
        <v>44973</v>
      </c>
      <c r="P32" s="13" t="str">
        <f>HYPERLINK("https://my.zakupki.prom.ua/remote/dispatcher/state_purchase_view/40896071", "UA-2023-02-16-004517-a")</f>
        <v>UA-2023-02-16-004517-a</v>
      </c>
      <c r="Q32" s="5">
        <v>230.31730000000002</v>
      </c>
      <c r="R32" s="17">
        <v>1</v>
      </c>
      <c r="S32" s="5">
        <v>230.31730000000002</v>
      </c>
      <c r="T32" s="14">
        <v>44973</v>
      </c>
      <c r="U32" s="30"/>
      <c r="V32" s="30" t="s">
        <v>59</v>
      </c>
    </row>
    <row r="33" spans="1:22" ht="62.4" x14ac:dyDescent="0.3">
      <c r="A33" s="30">
        <v>29</v>
      </c>
      <c r="B33" s="30" t="s">
        <v>40</v>
      </c>
      <c r="C33" s="12" t="s">
        <v>73</v>
      </c>
      <c r="D33" s="30"/>
      <c r="E33" s="30" t="s">
        <v>75</v>
      </c>
      <c r="F33" s="12" t="s">
        <v>102</v>
      </c>
      <c r="G33" s="12" t="s">
        <v>184</v>
      </c>
      <c r="H33" s="591">
        <v>122.59811666666667</v>
      </c>
      <c r="I33" s="17">
        <v>1</v>
      </c>
      <c r="J33" s="591">
        <v>122.59811666666667</v>
      </c>
      <c r="K33" s="591">
        <v>122.59811666666667</v>
      </c>
      <c r="L33" s="17">
        <v>1</v>
      </c>
      <c r="M33" s="591">
        <v>122.59811666666667</v>
      </c>
      <c r="N33" s="3" t="s">
        <v>200</v>
      </c>
      <c r="O33" s="14">
        <v>44977</v>
      </c>
      <c r="P33" s="13" t="str">
        <f>HYPERLINK("https://my.zakupki.prom.ua/remote/dispatcher/state_purchase_view/40976345", "UA-2023-02-20-013513-a")</f>
        <v>UA-2023-02-20-013513-a</v>
      </c>
      <c r="Q33" s="5">
        <v>122.59811666666667</v>
      </c>
      <c r="R33" s="17">
        <v>1</v>
      </c>
      <c r="S33" s="5">
        <v>122.59811666666667</v>
      </c>
      <c r="T33" s="14">
        <v>44977</v>
      </c>
      <c r="U33" s="30"/>
      <c r="V33" s="30" t="s">
        <v>59</v>
      </c>
    </row>
    <row r="34" spans="1:22" ht="62.4" x14ac:dyDescent="0.3">
      <c r="A34" s="30">
        <v>30</v>
      </c>
      <c r="B34" s="30" t="s">
        <v>40</v>
      </c>
      <c r="C34" s="12" t="s">
        <v>73</v>
      </c>
      <c r="D34" s="30"/>
      <c r="E34" s="30" t="s">
        <v>75</v>
      </c>
      <c r="F34" s="12" t="s">
        <v>103</v>
      </c>
      <c r="G34" s="12" t="s">
        <v>184</v>
      </c>
      <c r="H34" s="591">
        <v>109.43154999999999</v>
      </c>
      <c r="I34" s="17">
        <v>1</v>
      </c>
      <c r="J34" s="591">
        <v>109.43154999999999</v>
      </c>
      <c r="K34" s="591">
        <v>109.43154999999999</v>
      </c>
      <c r="L34" s="17">
        <v>1</v>
      </c>
      <c r="M34" s="591">
        <v>109.43154999999999</v>
      </c>
      <c r="N34" s="3" t="s">
        <v>201</v>
      </c>
      <c r="O34" s="14">
        <v>44977</v>
      </c>
      <c r="P34" s="13" t="str">
        <f>HYPERLINK("https://my.zakupki.prom.ua/remote/dispatcher/state_purchase_view/40975928", "UA-2023-02-20-013352-a")</f>
        <v>UA-2023-02-20-013352-a</v>
      </c>
      <c r="Q34" s="5">
        <v>109.43154999999999</v>
      </c>
      <c r="R34" s="17">
        <v>1</v>
      </c>
      <c r="S34" s="5">
        <v>109.43154999999999</v>
      </c>
      <c r="T34" s="14">
        <v>44977</v>
      </c>
      <c r="U34" s="30"/>
      <c r="V34" s="30" t="s">
        <v>59</v>
      </c>
    </row>
    <row r="35" spans="1:22" ht="62.4" x14ac:dyDescent="0.3">
      <c r="A35" s="30">
        <v>31</v>
      </c>
      <c r="B35" s="30" t="s">
        <v>40</v>
      </c>
      <c r="C35" s="12" t="s">
        <v>73</v>
      </c>
      <c r="D35" s="30"/>
      <c r="E35" s="30" t="s">
        <v>75</v>
      </c>
      <c r="F35" s="12" t="s">
        <v>104</v>
      </c>
      <c r="G35" s="12" t="s">
        <v>184</v>
      </c>
      <c r="H35" s="591">
        <v>115.00135</v>
      </c>
      <c r="I35" s="17">
        <v>1</v>
      </c>
      <c r="J35" s="591">
        <v>115.00135</v>
      </c>
      <c r="K35" s="591">
        <v>115.00135</v>
      </c>
      <c r="L35" s="17">
        <v>1</v>
      </c>
      <c r="M35" s="591">
        <v>115.00135</v>
      </c>
      <c r="N35" s="3" t="s">
        <v>202</v>
      </c>
      <c r="O35" s="14">
        <v>44977</v>
      </c>
      <c r="P35" s="13" t="str">
        <f>HYPERLINK("https://my.zakupki.prom.ua/remote/dispatcher/state_purchase_view/40975550", "UA-2023-02-20-013114-a")</f>
        <v>UA-2023-02-20-013114-a</v>
      </c>
      <c r="Q35" s="5">
        <v>115.00135</v>
      </c>
      <c r="R35" s="17">
        <v>1</v>
      </c>
      <c r="S35" s="5">
        <v>115.00135</v>
      </c>
      <c r="T35" s="14">
        <v>44977</v>
      </c>
      <c r="U35" s="30"/>
      <c r="V35" s="30" t="s">
        <v>59</v>
      </c>
    </row>
    <row r="36" spans="1:22" ht="62.4" x14ac:dyDescent="0.3">
      <c r="A36" s="30">
        <v>32</v>
      </c>
      <c r="B36" s="30" t="s">
        <v>40</v>
      </c>
      <c r="C36" s="12" t="s">
        <v>73</v>
      </c>
      <c r="D36" s="30"/>
      <c r="E36" s="30" t="s">
        <v>75</v>
      </c>
      <c r="F36" s="12" t="s">
        <v>105</v>
      </c>
      <c r="G36" s="12" t="s">
        <v>184</v>
      </c>
      <c r="H36" s="591">
        <v>337.14424166666669</v>
      </c>
      <c r="I36" s="17">
        <v>1</v>
      </c>
      <c r="J36" s="591">
        <v>337.14424166666669</v>
      </c>
      <c r="K36" s="591">
        <v>337.14424166666669</v>
      </c>
      <c r="L36" s="17">
        <v>1</v>
      </c>
      <c r="M36" s="591">
        <v>337.14424166666669</v>
      </c>
      <c r="N36" s="3" t="s">
        <v>203</v>
      </c>
      <c r="O36" s="14">
        <v>44977</v>
      </c>
      <c r="P36" s="13" t="str">
        <f>HYPERLINK("https://my.zakupki.prom.ua/remote/dispatcher/state_purchase_view/40975514", "UA-2023-02-20-013068-a")</f>
        <v>UA-2023-02-20-013068-a</v>
      </c>
      <c r="Q36" s="5">
        <v>337.14424166666669</v>
      </c>
      <c r="R36" s="17">
        <v>1</v>
      </c>
      <c r="S36" s="5">
        <v>337.14424166666669</v>
      </c>
      <c r="T36" s="14">
        <v>44977</v>
      </c>
      <c r="U36" s="30"/>
      <c r="V36" s="30" t="s">
        <v>59</v>
      </c>
    </row>
    <row r="37" spans="1:22" ht="78" x14ac:dyDescent="0.3">
      <c r="A37" s="30">
        <v>33</v>
      </c>
      <c r="B37" s="30" t="s">
        <v>21</v>
      </c>
      <c r="C37" s="12" t="s">
        <v>170</v>
      </c>
      <c r="D37" s="30" t="s">
        <v>58</v>
      </c>
      <c r="E37" s="30" t="s">
        <v>88</v>
      </c>
      <c r="F37" s="12" t="s">
        <v>106</v>
      </c>
      <c r="G37" s="12" t="s">
        <v>185</v>
      </c>
      <c r="H37" s="589"/>
      <c r="I37" s="17">
        <v>111</v>
      </c>
      <c r="J37" s="591">
        <v>666</v>
      </c>
      <c r="K37" s="589"/>
      <c r="L37" s="17">
        <v>111</v>
      </c>
      <c r="M37" s="591">
        <v>666</v>
      </c>
      <c r="N37" s="3" t="s">
        <v>204</v>
      </c>
      <c r="O37" s="14">
        <v>44979</v>
      </c>
      <c r="P37" s="13" t="str">
        <f>HYPERLINK("https://my.zakupki.prom.ua/remote/dispatcher/state_purchase_view/41034280", "UA-2023-02-22-011861-a")</f>
        <v>UA-2023-02-22-011861-a</v>
      </c>
      <c r="Q37" s="30"/>
      <c r="R37" s="30"/>
      <c r="S37" s="30"/>
      <c r="T37" s="31"/>
      <c r="U37" s="16" t="s">
        <v>93</v>
      </c>
      <c r="V37" s="30"/>
    </row>
    <row r="38" spans="1:22" ht="78" x14ac:dyDescent="0.3">
      <c r="A38" s="30">
        <v>34</v>
      </c>
      <c r="B38" s="30" t="s">
        <v>21</v>
      </c>
      <c r="C38" s="12" t="s">
        <v>171</v>
      </c>
      <c r="D38" s="30" t="s">
        <v>58</v>
      </c>
      <c r="E38" s="30" t="s">
        <v>88</v>
      </c>
      <c r="F38" s="12" t="s">
        <v>107</v>
      </c>
      <c r="G38" s="12" t="s">
        <v>185</v>
      </c>
      <c r="H38" s="589"/>
      <c r="I38" s="17">
        <v>203</v>
      </c>
      <c r="J38" s="591">
        <v>131.29166666666669</v>
      </c>
      <c r="K38" s="589"/>
      <c r="L38" s="17">
        <v>203</v>
      </c>
      <c r="M38" s="591">
        <v>131.29166666666669</v>
      </c>
      <c r="N38" s="3" t="s">
        <v>205</v>
      </c>
      <c r="O38" s="14">
        <v>44981</v>
      </c>
      <c r="P38" s="13" t="str">
        <f>HYPERLINK("https://my.zakupki.prom.ua/remote/dispatcher/state_purchase_view/41077146", "UA-2023-02-24-003521-a")</f>
        <v>UA-2023-02-24-003521-a</v>
      </c>
      <c r="Q38" s="30"/>
      <c r="R38" s="30"/>
      <c r="S38" s="30"/>
      <c r="T38" s="31"/>
      <c r="U38" s="16" t="s">
        <v>93</v>
      </c>
      <c r="V38" s="30"/>
    </row>
    <row r="39" spans="1:22" ht="78" x14ac:dyDescent="0.3">
      <c r="A39" s="30">
        <v>35</v>
      </c>
      <c r="B39" s="30" t="s">
        <v>40</v>
      </c>
      <c r="C39" s="12" t="s">
        <v>41</v>
      </c>
      <c r="D39" s="30"/>
      <c r="E39" s="30" t="s">
        <v>20</v>
      </c>
      <c r="F39" s="12" t="s">
        <v>108</v>
      </c>
      <c r="G39" s="12" t="s">
        <v>184</v>
      </c>
      <c r="H39" s="591">
        <v>76.942691666666661</v>
      </c>
      <c r="I39" s="17">
        <v>1</v>
      </c>
      <c r="J39" s="591">
        <v>76.942691666666661</v>
      </c>
      <c r="K39" s="591">
        <v>76.942691666666661</v>
      </c>
      <c r="L39" s="17">
        <v>1</v>
      </c>
      <c r="M39" s="591">
        <v>76.942691666666661</v>
      </c>
      <c r="N39" s="3" t="s">
        <v>206</v>
      </c>
      <c r="O39" s="14">
        <v>44984</v>
      </c>
      <c r="P39" s="13" t="str">
        <f>HYPERLINK("https://my.zakupki.prom.ua/remote/dispatcher/state_purchase_view/41115637", "UA-2023-02-27-009421-a")</f>
        <v>UA-2023-02-27-009421-a</v>
      </c>
      <c r="Q39" s="5">
        <v>76.942691666666661</v>
      </c>
      <c r="R39" s="17">
        <v>1</v>
      </c>
      <c r="S39" s="5">
        <v>76.942691666666661</v>
      </c>
      <c r="T39" s="14">
        <v>44984</v>
      </c>
      <c r="U39" s="30"/>
      <c r="V39" s="30" t="s">
        <v>59</v>
      </c>
    </row>
    <row r="40" spans="1:22" ht="109.2" x14ac:dyDescent="0.3">
      <c r="A40" s="30">
        <v>36</v>
      </c>
      <c r="B40" s="30" t="s">
        <v>21</v>
      </c>
      <c r="C40" s="12" t="s">
        <v>172</v>
      </c>
      <c r="D40" s="30"/>
      <c r="E40" s="30" t="s">
        <v>88</v>
      </c>
      <c r="F40" s="12" t="s">
        <v>109</v>
      </c>
      <c r="G40" s="12" t="s">
        <v>186</v>
      </c>
      <c r="H40" s="589"/>
      <c r="I40" s="17">
        <v>7</v>
      </c>
      <c r="J40" s="591">
        <v>258.53650833333336</v>
      </c>
      <c r="K40" s="589"/>
      <c r="L40" s="17">
        <v>7</v>
      </c>
      <c r="M40" s="591">
        <v>258.53650833333336</v>
      </c>
      <c r="N40" s="3" t="s">
        <v>207</v>
      </c>
      <c r="O40" s="14">
        <v>44987</v>
      </c>
      <c r="P40" s="13" t="str">
        <f>HYPERLINK("https://my.zakupki.prom.ua/remote/dispatcher/state_purchase_view/41196363", "UA-2023-03-02-011561-a")</f>
        <v>UA-2023-03-02-011561-a</v>
      </c>
      <c r="Q40" s="30"/>
      <c r="R40" s="17">
        <v>7</v>
      </c>
      <c r="S40" s="5">
        <v>258.53650833333336</v>
      </c>
      <c r="T40" s="14">
        <v>44987</v>
      </c>
      <c r="U40" s="30"/>
      <c r="V40" s="30" t="s">
        <v>59</v>
      </c>
    </row>
    <row r="41" spans="1:22" ht="31.2" x14ac:dyDescent="0.3">
      <c r="A41" s="30">
        <v>37</v>
      </c>
      <c r="B41" s="30" t="s">
        <v>21</v>
      </c>
      <c r="C41" s="12" t="s">
        <v>173</v>
      </c>
      <c r="D41" s="30" t="s">
        <v>58</v>
      </c>
      <c r="E41" s="30" t="s">
        <v>88</v>
      </c>
      <c r="F41" s="12" t="s">
        <v>188</v>
      </c>
      <c r="G41" s="12" t="s">
        <v>185</v>
      </c>
      <c r="H41" s="589"/>
      <c r="I41" s="17">
        <v>33</v>
      </c>
      <c r="J41" s="591">
        <v>2616.89</v>
      </c>
      <c r="K41" s="589"/>
      <c r="L41" s="17">
        <v>33</v>
      </c>
      <c r="M41" s="591">
        <v>2616.89</v>
      </c>
      <c r="N41" s="3" t="s">
        <v>208</v>
      </c>
      <c r="O41" s="14">
        <v>44987</v>
      </c>
      <c r="P41" s="13" t="str">
        <f>HYPERLINK("https://my.zakupki.prom.ua/remote/dispatcher/state_purchase_view/41193065", "UA-2023-03-02-010020-a")</f>
        <v>UA-2023-03-02-010020-a</v>
      </c>
      <c r="Q41" s="30"/>
      <c r="R41" s="30">
        <v>7</v>
      </c>
      <c r="S41" s="30">
        <f>1023120/1.2/1000</f>
        <v>852.6</v>
      </c>
      <c r="T41" s="31">
        <v>45005</v>
      </c>
      <c r="U41" s="30"/>
      <c r="V41" s="30"/>
    </row>
    <row r="42" spans="1:22" ht="78" x14ac:dyDescent="0.3">
      <c r="A42" s="30">
        <v>38</v>
      </c>
      <c r="B42" s="30" t="s">
        <v>21</v>
      </c>
      <c r="C42" s="12" t="s">
        <v>174</v>
      </c>
      <c r="D42" s="30" t="s">
        <v>58</v>
      </c>
      <c r="E42" s="30" t="s">
        <v>88</v>
      </c>
      <c r="F42" s="12" t="s">
        <v>110</v>
      </c>
      <c r="G42" s="12" t="s">
        <v>187</v>
      </c>
      <c r="H42" s="589"/>
      <c r="I42" s="17">
        <v>1</v>
      </c>
      <c r="J42" s="591">
        <v>523.82000000000005</v>
      </c>
      <c r="K42" s="589"/>
      <c r="L42" s="17">
        <v>1</v>
      </c>
      <c r="M42" s="591">
        <v>523.82000000000005</v>
      </c>
      <c r="N42" s="3" t="s">
        <v>209</v>
      </c>
      <c r="O42" s="14">
        <v>44987</v>
      </c>
      <c r="P42" s="13" t="str">
        <f>HYPERLINK("https://my.zakupki.prom.ua/remote/dispatcher/state_purchase_view/41191954", "UA-2023-03-02-009549-a")</f>
        <v>UA-2023-03-02-009549-a</v>
      </c>
      <c r="Q42" s="30"/>
      <c r="R42" s="30"/>
      <c r="S42" s="30"/>
      <c r="T42" s="31"/>
      <c r="U42" s="16" t="s">
        <v>93</v>
      </c>
      <c r="V42" s="30"/>
    </row>
    <row r="43" spans="1:22" ht="78" x14ac:dyDescent="0.3">
      <c r="A43" s="30">
        <v>39</v>
      </c>
      <c r="B43" s="30" t="s">
        <v>21</v>
      </c>
      <c r="C43" s="12" t="s">
        <v>170</v>
      </c>
      <c r="D43" s="30" t="s">
        <v>58</v>
      </c>
      <c r="E43" s="30" t="s">
        <v>88</v>
      </c>
      <c r="F43" s="12" t="s">
        <v>111</v>
      </c>
      <c r="G43" s="12" t="s">
        <v>185</v>
      </c>
      <c r="H43" s="589"/>
      <c r="I43" s="17">
        <v>220</v>
      </c>
      <c r="J43" s="591">
        <v>1320</v>
      </c>
      <c r="K43" s="589"/>
      <c r="L43" s="17">
        <v>220</v>
      </c>
      <c r="M43" s="591">
        <v>1320</v>
      </c>
      <c r="N43" s="3" t="s">
        <v>210</v>
      </c>
      <c r="O43" s="14">
        <v>44987</v>
      </c>
      <c r="P43" s="13" t="str">
        <f>HYPERLINK("https://my.zakupki.prom.ua/remote/dispatcher/state_purchase_view/41191613", "UA-2023-03-02-009369-a")</f>
        <v>UA-2023-03-02-009369-a</v>
      </c>
      <c r="Q43" s="30"/>
      <c r="R43" s="30"/>
      <c r="S43" s="30"/>
      <c r="T43" s="31"/>
      <c r="U43" s="16" t="s">
        <v>93</v>
      </c>
      <c r="V43" s="30"/>
    </row>
    <row r="44" spans="1:22" ht="78" x14ac:dyDescent="0.3">
      <c r="A44" s="30">
        <v>40</v>
      </c>
      <c r="B44" s="30" t="s">
        <v>21</v>
      </c>
      <c r="C44" s="12" t="s">
        <v>87</v>
      </c>
      <c r="D44" s="30" t="s">
        <v>58</v>
      </c>
      <c r="E44" s="30" t="s">
        <v>88</v>
      </c>
      <c r="F44" s="12" t="s">
        <v>112</v>
      </c>
      <c r="G44" s="12" t="s">
        <v>185</v>
      </c>
      <c r="H44" s="589"/>
      <c r="I44" s="17">
        <v>6</v>
      </c>
      <c r="J44" s="591">
        <v>11549.82</v>
      </c>
      <c r="K44" s="589"/>
      <c r="L44" s="17">
        <v>6</v>
      </c>
      <c r="M44" s="591">
        <v>11549.82</v>
      </c>
      <c r="N44" s="3" t="s">
        <v>211</v>
      </c>
      <c r="O44" s="14">
        <v>44987</v>
      </c>
      <c r="P44" s="13" t="str">
        <f>HYPERLINK("https://my.zakupki.prom.ua/remote/dispatcher/state_purchase_view/41190509", "UA-2023-03-02-008908-a")</f>
        <v>UA-2023-03-02-008908-a</v>
      </c>
      <c r="Q44" s="30"/>
      <c r="R44" s="30"/>
      <c r="S44" s="30"/>
      <c r="T44" s="31"/>
      <c r="U44" s="16" t="s">
        <v>93</v>
      </c>
      <c r="V44" s="30"/>
    </row>
    <row r="45" spans="1:22" ht="78" x14ac:dyDescent="0.3">
      <c r="A45" s="30">
        <v>41</v>
      </c>
      <c r="B45" s="30" t="s">
        <v>21</v>
      </c>
      <c r="C45" s="12" t="s">
        <v>175</v>
      </c>
      <c r="D45" s="30" t="s">
        <v>58</v>
      </c>
      <c r="E45" s="30" t="s">
        <v>88</v>
      </c>
      <c r="F45" s="12" t="s">
        <v>113</v>
      </c>
      <c r="G45" s="12" t="s">
        <v>185</v>
      </c>
      <c r="H45" s="589"/>
      <c r="I45" s="17">
        <v>19</v>
      </c>
      <c r="J45" s="591">
        <v>3350</v>
      </c>
      <c r="K45" s="589"/>
      <c r="L45" s="17">
        <v>19</v>
      </c>
      <c r="M45" s="591">
        <v>3350</v>
      </c>
      <c r="N45" s="3" t="s">
        <v>212</v>
      </c>
      <c r="O45" s="14">
        <v>44987</v>
      </c>
      <c r="P45" s="13" t="str">
        <f>HYPERLINK("https://my.zakupki.prom.ua/remote/dispatcher/state_purchase_view/41190348", "UA-2023-03-02-008797-a")</f>
        <v>UA-2023-03-02-008797-a</v>
      </c>
      <c r="Q45" s="30"/>
      <c r="R45" s="30"/>
      <c r="S45" s="30"/>
      <c r="T45" s="31"/>
      <c r="U45" s="16" t="s">
        <v>93</v>
      </c>
      <c r="V45" s="30"/>
    </row>
    <row r="46" spans="1:22" ht="78" x14ac:dyDescent="0.3">
      <c r="A46" s="30">
        <v>42</v>
      </c>
      <c r="B46" s="30" t="s">
        <v>21</v>
      </c>
      <c r="C46" s="12" t="s">
        <v>176</v>
      </c>
      <c r="D46" s="30" t="s">
        <v>58</v>
      </c>
      <c r="E46" s="30" t="s">
        <v>88</v>
      </c>
      <c r="F46" s="12" t="s">
        <v>189</v>
      </c>
      <c r="G46" s="12" t="s">
        <v>185</v>
      </c>
      <c r="H46" s="589"/>
      <c r="I46" s="17">
        <v>1311</v>
      </c>
      <c r="J46" s="591">
        <v>6962</v>
      </c>
      <c r="K46" s="589"/>
      <c r="L46" s="17">
        <v>1311</v>
      </c>
      <c r="M46" s="591">
        <v>6962</v>
      </c>
      <c r="N46" s="3" t="s">
        <v>213</v>
      </c>
      <c r="O46" s="14">
        <v>44987</v>
      </c>
      <c r="P46" s="13" t="str">
        <f>HYPERLINK("https://my.zakupki.prom.ua/remote/dispatcher/state_purchase_view/41189548", "UA-2023-03-02-008425-a")</f>
        <v>UA-2023-03-02-008425-a</v>
      </c>
      <c r="Q46" s="30"/>
      <c r="R46" s="30"/>
      <c r="S46" s="30"/>
      <c r="T46" s="31"/>
      <c r="U46" s="16" t="s">
        <v>93</v>
      </c>
      <c r="V46" s="30"/>
    </row>
    <row r="47" spans="1:22" ht="93.6" x14ac:dyDescent="0.3">
      <c r="A47" s="30">
        <v>43</v>
      </c>
      <c r="B47" s="30" t="s">
        <v>21</v>
      </c>
      <c r="C47" s="12" t="s">
        <v>32</v>
      </c>
      <c r="D47" s="30" t="s">
        <v>58</v>
      </c>
      <c r="E47" s="30" t="s">
        <v>88</v>
      </c>
      <c r="F47" s="12" t="s">
        <v>190</v>
      </c>
      <c r="G47" s="12" t="s">
        <v>185</v>
      </c>
      <c r="H47" s="589"/>
      <c r="I47" s="17">
        <v>2985</v>
      </c>
      <c r="J47" s="591">
        <v>2425.2833333333333</v>
      </c>
      <c r="K47" s="589"/>
      <c r="L47" s="17">
        <v>2985</v>
      </c>
      <c r="M47" s="591">
        <v>2425.2833333333333</v>
      </c>
      <c r="N47" s="3" t="s">
        <v>214</v>
      </c>
      <c r="O47" s="14">
        <v>44987</v>
      </c>
      <c r="P47" s="13" t="str">
        <f>HYPERLINK("https://my.zakupki.prom.ua/remote/dispatcher/state_purchase_view/41189546", "UA-2023-03-02-008423-a")</f>
        <v>UA-2023-03-02-008423-a</v>
      </c>
      <c r="Q47" s="30"/>
      <c r="R47" s="30"/>
      <c r="S47" s="30"/>
      <c r="T47" s="31"/>
      <c r="U47" s="30" t="s">
        <v>191</v>
      </c>
      <c r="V47" s="12" t="s">
        <v>215</v>
      </c>
    </row>
    <row r="48" spans="1:22" ht="78" x14ac:dyDescent="0.3">
      <c r="A48" s="30">
        <v>44</v>
      </c>
      <c r="B48" s="30" t="s">
        <v>21</v>
      </c>
      <c r="C48" s="12" t="s">
        <v>87</v>
      </c>
      <c r="D48" s="30" t="s">
        <v>58</v>
      </c>
      <c r="E48" s="30" t="s">
        <v>88</v>
      </c>
      <c r="F48" s="12" t="s">
        <v>115</v>
      </c>
      <c r="G48" s="12" t="s">
        <v>185</v>
      </c>
      <c r="H48" s="589"/>
      <c r="I48" s="17">
        <v>7</v>
      </c>
      <c r="J48" s="591">
        <v>8155</v>
      </c>
      <c r="K48" s="589"/>
      <c r="L48" s="17">
        <v>7</v>
      </c>
      <c r="M48" s="591">
        <v>8155</v>
      </c>
      <c r="N48" s="3" t="s">
        <v>216</v>
      </c>
      <c r="O48" s="14">
        <v>44987</v>
      </c>
      <c r="P48" s="13" t="str">
        <f>HYPERLINK("https://my.zakupki.prom.ua/remote/dispatcher/state_purchase_view/41188280", "UA-2023-03-02-007860-a")</f>
        <v>UA-2023-03-02-007860-a</v>
      </c>
      <c r="Q48" s="30"/>
      <c r="R48" s="30"/>
      <c r="S48" s="30"/>
      <c r="T48" s="31"/>
      <c r="U48" s="16" t="s">
        <v>93</v>
      </c>
      <c r="V48" s="30"/>
    </row>
    <row r="49" spans="1:22" ht="93.6" x14ac:dyDescent="0.3">
      <c r="A49" s="30">
        <v>45</v>
      </c>
      <c r="B49" s="30" t="s">
        <v>40</v>
      </c>
      <c r="C49" s="12" t="s">
        <v>41</v>
      </c>
      <c r="D49" s="30" t="s">
        <v>58</v>
      </c>
      <c r="E49" s="30" t="s">
        <v>88</v>
      </c>
      <c r="F49" s="12" t="s">
        <v>192</v>
      </c>
      <c r="G49" s="12" t="s">
        <v>184</v>
      </c>
      <c r="H49" s="589">
        <f>17937191.99/1.2/1000</f>
        <v>14947.659991666666</v>
      </c>
      <c r="I49" s="17">
        <v>1</v>
      </c>
      <c r="J49" s="591">
        <v>14947.659991666666</v>
      </c>
      <c r="K49" s="589">
        <f>17937191.99/1.2/1000</f>
        <v>14947.659991666666</v>
      </c>
      <c r="L49" s="17">
        <v>1</v>
      </c>
      <c r="M49" s="589">
        <f>17937191.99/1.2/1000</f>
        <v>14947.659991666666</v>
      </c>
      <c r="N49" s="3" t="s">
        <v>217</v>
      </c>
      <c r="O49" s="14">
        <v>44988</v>
      </c>
      <c r="P49" s="13" t="str">
        <f>HYPERLINK("https://my.zakupki.prom.ua/remote/dispatcher/state_purchase_view/41222289", "UA-2023-03-03-009686-a")</f>
        <v>UA-2023-03-03-009686-a</v>
      </c>
      <c r="Q49" s="4" t="s">
        <v>218</v>
      </c>
      <c r="R49" s="30">
        <v>1</v>
      </c>
      <c r="S49" s="4" t="s">
        <v>218</v>
      </c>
      <c r="T49" s="15">
        <v>45014</v>
      </c>
      <c r="U49" s="30"/>
      <c r="V49" s="30"/>
    </row>
    <row r="50" spans="1:22" ht="78" x14ac:dyDescent="0.3">
      <c r="A50" s="30">
        <v>46</v>
      </c>
      <c r="B50" s="30" t="s">
        <v>21</v>
      </c>
      <c r="C50" s="12" t="s">
        <v>32</v>
      </c>
      <c r="D50" s="30" t="s">
        <v>58</v>
      </c>
      <c r="E50" s="30" t="s">
        <v>88</v>
      </c>
      <c r="F50" s="12" t="s">
        <v>114</v>
      </c>
      <c r="G50" s="12" t="s">
        <v>185</v>
      </c>
      <c r="H50" s="589"/>
      <c r="I50" s="17">
        <v>2883</v>
      </c>
      <c r="J50" s="591">
        <v>2021.069441666667</v>
      </c>
      <c r="K50" s="589"/>
      <c r="L50" s="17">
        <v>2883</v>
      </c>
      <c r="M50" s="591">
        <v>2021.069441666667</v>
      </c>
      <c r="N50" s="3" t="s">
        <v>219</v>
      </c>
      <c r="O50" s="14">
        <v>44988</v>
      </c>
      <c r="P50" s="13" t="str">
        <f>HYPERLINK("https://my.zakupki.prom.ua/remote/dispatcher/state_purchase_view/41204144", "UA-2023-03-03-001590-a")</f>
        <v>UA-2023-03-03-001590-a</v>
      </c>
      <c r="Q50" s="30"/>
      <c r="R50" s="30"/>
      <c r="S50" s="30"/>
      <c r="T50" s="31"/>
      <c r="U50" s="16" t="s">
        <v>93</v>
      </c>
      <c r="V50" s="30"/>
    </row>
    <row r="51" spans="1:22" ht="78" x14ac:dyDescent="0.3">
      <c r="A51" s="30">
        <v>47</v>
      </c>
      <c r="B51" s="30" t="s">
        <v>21</v>
      </c>
      <c r="C51" s="12" t="s">
        <v>177</v>
      </c>
      <c r="D51" s="30" t="s">
        <v>58</v>
      </c>
      <c r="E51" s="30" t="s">
        <v>88</v>
      </c>
      <c r="F51" s="12" t="s">
        <v>116</v>
      </c>
      <c r="G51" s="12" t="s">
        <v>185</v>
      </c>
      <c r="H51" s="589"/>
      <c r="I51" s="17">
        <v>5</v>
      </c>
      <c r="J51" s="591">
        <v>231.75</v>
      </c>
      <c r="K51" s="589"/>
      <c r="L51" s="17">
        <v>5</v>
      </c>
      <c r="M51" s="591">
        <v>231.75</v>
      </c>
      <c r="N51" s="3" t="s">
        <v>220</v>
      </c>
      <c r="O51" s="14">
        <v>44991</v>
      </c>
      <c r="P51" s="13" t="str">
        <f>HYPERLINK("https://my.zakupki.prom.ua/remote/dispatcher/state_purchase_view/41235144", "UA-2023-03-06-002683-a")</f>
        <v>UA-2023-03-06-002683-a</v>
      </c>
      <c r="Q51" s="30"/>
      <c r="R51" s="30"/>
      <c r="S51" s="30"/>
      <c r="T51" s="31"/>
      <c r="U51" s="16" t="s">
        <v>93</v>
      </c>
      <c r="V51" s="30"/>
    </row>
    <row r="52" spans="1:22" ht="78" x14ac:dyDescent="0.3">
      <c r="A52" s="30">
        <v>48</v>
      </c>
      <c r="B52" s="30" t="s">
        <v>21</v>
      </c>
      <c r="C52" s="12" t="s">
        <v>178</v>
      </c>
      <c r="D52" s="30" t="s">
        <v>58</v>
      </c>
      <c r="E52" s="30" t="s">
        <v>88</v>
      </c>
      <c r="F52" s="12" t="s">
        <v>117</v>
      </c>
      <c r="G52" s="12" t="s">
        <v>185</v>
      </c>
      <c r="H52" s="589"/>
      <c r="I52" s="17">
        <v>20</v>
      </c>
      <c r="J52" s="591">
        <v>125.4</v>
      </c>
      <c r="K52" s="589"/>
      <c r="L52" s="17">
        <v>20</v>
      </c>
      <c r="M52" s="591">
        <v>125.4</v>
      </c>
      <c r="N52" s="3" t="s">
        <v>221</v>
      </c>
      <c r="O52" s="14">
        <v>44991</v>
      </c>
      <c r="P52" s="13" t="str">
        <f>HYPERLINK("https://my.zakupki.prom.ua/remote/dispatcher/state_purchase_view/41234669", "UA-2023-03-06-002508-a")</f>
        <v>UA-2023-03-06-002508-a</v>
      </c>
      <c r="Q52" s="30"/>
      <c r="R52" s="17"/>
      <c r="S52" s="30"/>
      <c r="T52" s="31"/>
      <c r="U52" s="16" t="s">
        <v>93</v>
      </c>
      <c r="V52" s="30"/>
    </row>
    <row r="53" spans="1:22" ht="46.8" x14ac:dyDescent="0.3">
      <c r="A53" s="30">
        <v>49</v>
      </c>
      <c r="B53" s="30" t="s">
        <v>40</v>
      </c>
      <c r="C53" s="12" t="s">
        <v>41</v>
      </c>
      <c r="D53" s="30" t="s">
        <v>58</v>
      </c>
      <c r="E53" s="30" t="s">
        <v>88</v>
      </c>
      <c r="F53" s="12" t="s">
        <v>118</v>
      </c>
      <c r="G53" s="12" t="s">
        <v>184</v>
      </c>
      <c r="H53" s="591">
        <v>42557.229450000006</v>
      </c>
      <c r="I53" s="17">
        <v>1</v>
      </c>
      <c r="J53" s="591">
        <v>42557.229450000006</v>
      </c>
      <c r="K53" s="591">
        <v>42557.229450000006</v>
      </c>
      <c r="L53" s="17">
        <v>1</v>
      </c>
      <c r="M53" s="591">
        <v>42557.229450000006</v>
      </c>
      <c r="N53" s="3" t="s">
        <v>222</v>
      </c>
      <c r="O53" s="14">
        <v>44991</v>
      </c>
      <c r="P53" s="13" t="str">
        <f>HYPERLINK("https://my.zakupki.prom.ua/remote/dispatcher/state_purchase_view/41234599", "UA-2023-03-06-002447-a")</f>
        <v>UA-2023-03-06-002447-a</v>
      </c>
      <c r="Q53" s="30"/>
      <c r="R53" s="17">
        <v>1</v>
      </c>
      <c r="S53" s="30">
        <f>51038540.35/1.2/1000</f>
        <v>42532.116958333339</v>
      </c>
      <c r="T53" s="31">
        <v>45015</v>
      </c>
      <c r="U53" s="30"/>
      <c r="V53" s="30"/>
    </row>
    <row r="54" spans="1:22" ht="78" x14ac:dyDescent="0.3">
      <c r="A54" s="30">
        <v>50</v>
      </c>
      <c r="B54" s="30" t="s">
        <v>21</v>
      </c>
      <c r="C54" s="12" t="s">
        <v>179</v>
      </c>
      <c r="D54" s="30" t="s">
        <v>58</v>
      </c>
      <c r="E54" s="30" t="s">
        <v>88</v>
      </c>
      <c r="F54" s="12" t="s">
        <v>119</v>
      </c>
      <c r="G54" s="12" t="s">
        <v>185</v>
      </c>
      <c r="H54" s="589"/>
      <c r="I54" s="17">
        <v>1</v>
      </c>
      <c r="J54" s="591">
        <v>95.23</v>
      </c>
      <c r="K54" s="589"/>
      <c r="L54" s="17">
        <v>1</v>
      </c>
      <c r="M54" s="591">
        <v>95.23</v>
      </c>
      <c r="N54" s="3" t="s">
        <v>223</v>
      </c>
      <c r="O54" s="14">
        <v>44991</v>
      </c>
      <c r="P54" s="13" t="str">
        <f>HYPERLINK("https://my.zakupki.prom.ua/remote/dispatcher/state_purchase_view/41234545", "UA-2023-03-06-002433-a")</f>
        <v>UA-2023-03-06-002433-a</v>
      </c>
      <c r="Q54" s="30"/>
      <c r="R54" s="17">
        <v>1</v>
      </c>
      <c r="S54" s="30"/>
      <c r="T54" s="31"/>
      <c r="U54" s="16" t="s">
        <v>93</v>
      </c>
      <c r="V54" s="30"/>
    </row>
    <row r="55" spans="1:22" ht="46.8" x14ac:dyDescent="0.3">
      <c r="A55" s="30">
        <v>51</v>
      </c>
      <c r="B55" s="30" t="s">
        <v>21</v>
      </c>
      <c r="C55" s="12" t="s">
        <v>173</v>
      </c>
      <c r="D55" s="30" t="s">
        <v>58</v>
      </c>
      <c r="E55" s="30" t="s">
        <v>88</v>
      </c>
      <c r="F55" s="12" t="s">
        <v>120</v>
      </c>
      <c r="G55" s="12" t="s">
        <v>185</v>
      </c>
      <c r="H55" s="589"/>
      <c r="I55" s="17">
        <v>44</v>
      </c>
      <c r="J55" s="591">
        <v>3769.83</v>
      </c>
      <c r="K55" s="589"/>
      <c r="L55" s="17">
        <v>44</v>
      </c>
      <c r="M55" s="591">
        <v>3769.83</v>
      </c>
      <c r="N55" s="3" t="s">
        <v>231</v>
      </c>
      <c r="O55" s="14">
        <v>44995</v>
      </c>
      <c r="P55" s="13" t="str">
        <f>HYPERLINK("https://my.zakupki.prom.ua/remote/dispatcher/state_purchase_view/41339013", "UA-2023-03-10-004740-a")</f>
        <v>UA-2023-03-10-004740-a</v>
      </c>
      <c r="Q55" s="30"/>
      <c r="R55" s="17">
        <v>44</v>
      </c>
      <c r="S55" s="30">
        <f>4523.796/1.2</f>
        <v>3769.8300000000004</v>
      </c>
      <c r="T55" s="31">
        <v>45015</v>
      </c>
      <c r="U55" s="30"/>
      <c r="V55" s="30"/>
    </row>
    <row r="56" spans="1:22" ht="46.8" x14ac:dyDescent="0.3">
      <c r="A56" s="30">
        <v>52</v>
      </c>
      <c r="B56" s="30" t="s">
        <v>21</v>
      </c>
      <c r="C56" s="12" t="s">
        <v>170</v>
      </c>
      <c r="D56" s="30" t="s">
        <v>58</v>
      </c>
      <c r="E56" s="30" t="s">
        <v>88</v>
      </c>
      <c r="F56" s="12" t="s">
        <v>121</v>
      </c>
      <c r="G56" s="12" t="s">
        <v>185</v>
      </c>
      <c r="H56" s="589"/>
      <c r="I56" s="17">
        <v>220</v>
      </c>
      <c r="J56" s="591">
        <v>1320</v>
      </c>
      <c r="K56" s="589"/>
      <c r="L56" s="30">
        <v>220</v>
      </c>
      <c r="M56" s="589">
        <f>1584/1.2</f>
        <v>1320</v>
      </c>
      <c r="N56" s="3" t="s">
        <v>232</v>
      </c>
      <c r="O56" s="14">
        <v>44995</v>
      </c>
      <c r="P56" s="13" t="str">
        <f>HYPERLINK("https://my.zakupki.prom.ua/remote/dispatcher/state_purchase_view/41336632", "UA-2023-03-10-003712-a")</f>
        <v>UA-2023-03-10-003712-a</v>
      </c>
      <c r="Q56" s="30"/>
      <c r="R56" s="17">
        <v>220</v>
      </c>
      <c r="S56" s="30">
        <f>1584/1.2</f>
        <v>1320</v>
      </c>
      <c r="T56" s="31">
        <v>45014</v>
      </c>
      <c r="U56" s="30"/>
      <c r="V56" s="30"/>
    </row>
    <row r="57" spans="1:22" ht="78" x14ac:dyDescent="0.3">
      <c r="A57" s="30">
        <v>53</v>
      </c>
      <c r="B57" s="30" t="s">
        <v>21</v>
      </c>
      <c r="C57" s="12" t="s">
        <v>180</v>
      </c>
      <c r="D57" s="30" t="s">
        <v>58</v>
      </c>
      <c r="E57" s="30" t="s">
        <v>88</v>
      </c>
      <c r="F57" s="12" t="s">
        <v>122</v>
      </c>
      <c r="G57" s="12" t="s">
        <v>186</v>
      </c>
      <c r="H57" s="589"/>
      <c r="I57" s="17">
        <v>5</v>
      </c>
      <c r="J57" s="591">
        <v>1802.08</v>
      </c>
      <c r="K57" s="589"/>
      <c r="L57" s="30">
        <v>5</v>
      </c>
      <c r="M57" s="589">
        <f>2162.496/1.2</f>
        <v>1802.0800000000002</v>
      </c>
      <c r="N57" s="3" t="s">
        <v>233</v>
      </c>
      <c r="O57" s="14">
        <v>44995</v>
      </c>
      <c r="P57" s="13" t="str">
        <f>HYPERLINK("https://my.zakupki.prom.ua/remote/dispatcher/state_purchase_view/41329517", "UA-2023-03-10-000555-a")</f>
        <v>UA-2023-03-10-000555-a</v>
      </c>
      <c r="Q57" s="30"/>
      <c r="R57" s="30"/>
      <c r="S57" s="30"/>
      <c r="T57" s="31"/>
      <c r="U57" s="16" t="s">
        <v>93</v>
      </c>
      <c r="V57" s="30"/>
    </row>
    <row r="58" spans="1:22" ht="62.4" x14ac:dyDescent="0.3">
      <c r="A58" s="30">
        <v>54</v>
      </c>
      <c r="B58" s="30" t="s">
        <v>40</v>
      </c>
      <c r="C58" s="12" t="s">
        <v>41</v>
      </c>
      <c r="D58" s="30" t="s">
        <v>58</v>
      </c>
      <c r="E58" s="30" t="s">
        <v>88</v>
      </c>
      <c r="F58" s="12" t="s">
        <v>123</v>
      </c>
      <c r="G58" s="12" t="s">
        <v>184</v>
      </c>
      <c r="H58" s="591">
        <v>1753.2614250000001</v>
      </c>
      <c r="I58" s="17">
        <v>1</v>
      </c>
      <c r="J58" s="591">
        <v>1753.2614250000001</v>
      </c>
      <c r="K58" s="591">
        <v>1753.2614250000001</v>
      </c>
      <c r="L58" s="17">
        <v>1</v>
      </c>
      <c r="M58" s="591">
        <v>1753.2614250000001</v>
      </c>
      <c r="N58" s="3" t="s">
        <v>234</v>
      </c>
      <c r="O58" s="14">
        <v>44995</v>
      </c>
      <c r="P58" s="13" t="str">
        <f>HYPERLINK("https://my.zakupki.prom.ua/remote/dispatcher/state_purchase_view/41329000", "UA-2023-03-10-000312-a")</f>
        <v>UA-2023-03-10-000312-a</v>
      </c>
      <c r="Q58" s="30">
        <f>2062.0625/1.2</f>
        <v>1718.3854166666667</v>
      </c>
      <c r="R58" s="17">
        <v>1</v>
      </c>
      <c r="S58" s="30">
        <f>2062.0625/1.2</f>
        <v>1718.3854166666667</v>
      </c>
      <c r="T58" s="31">
        <v>45016</v>
      </c>
      <c r="U58" s="30"/>
      <c r="V58" s="30"/>
    </row>
    <row r="59" spans="1:22" ht="78" x14ac:dyDescent="0.3">
      <c r="A59" s="30">
        <v>55</v>
      </c>
      <c r="B59" s="30" t="s">
        <v>40</v>
      </c>
      <c r="C59" s="12" t="s">
        <v>41</v>
      </c>
      <c r="D59" s="30" t="s">
        <v>58</v>
      </c>
      <c r="E59" s="30" t="s">
        <v>88</v>
      </c>
      <c r="F59" s="12" t="s">
        <v>124</v>
      </c>
      <c r="G59" s="12" t="s">
        <v>184</v>
      </c>
      <c r="H59" s="591">
        <v>2892.375</v>
      </c>
      <c r="I59" s="17">
        <v>1</v>
      </c>
      <c r="J59" s="591">
        <v>2892.375</v>
      </c>
      <c r="K59" s="591">
        <v>2892.375</v>
      </c>
      <c r="L59" s="17">
        <v>1</v>
      </c>
      <c r="M59" s="591">
        <v>2892.375</v>
      </c>
      <c r="N59" s="3" t="s">
        <v>235</v>
      </c>
      <c r="O59" s="14">
        <v>44995</v>
      </c>
      <c r="P59" s="13" t="str">
        <f>HYPERLINK("https://my.zakupki.prom.ua/remote/dispatcher/state_purchase_view/41328966", "UA-2023-03-10-000295-a")</f>
        <v>UA-2023-03-10-000295-a</v>
      </c>
      <c r="Q59" s="30">
        <f>3469.624/1.2</f>
        <v>2891.3533333333335</v>
      </c>
      <c r="R59" s="17">
        <v>1</v>
      </c>
      <c r="S59" s="30">
        <f>3469.624/1.2</f>
        <v>2891.3533333333335</v>
      </c>
      <c r="T59" s="31">
        <v>45016</v>
      </c>
      <c r="U59" s="30"/>
      <c r="V59" s="30"/>
    </row>
    <row r="60" spans="1:22" ht="62.4" x14ac:dyDescent="0.3">
      <c r="A60" s="30">
        <v>56</v>
      </c>
      <c r="B60" s="30" t="s">
        <v>40</v>
      </c>
      <c r="C60" s="12" t="s">
        <v>41</v>
      </c>
      <c r="D60" s="30" t="s">
        <v>58</v>
      </c>
      <c r="E60" s="30" t="s">
        <v>88</v>
      </c>
      <c r="F60" s="12" t="s">
        <v>125</v>
      </c>
      <c r="G60" s="12" t="s">
        <v>184</v>
      </c>
      <c r="H60" s="591">
        <v>2611.0114750000002</v>
      </c>
      <c r="I60" s="17">
        <v>1</v>
      </c>
      <c r="J60" s="591">
        <v>2611.0114750000002</v>
      </c>
      <c r="K60" s="591">
        <v>2611.0114750000002</v>
      </c>
      <c r="L60" s="17">
        <v>1</v>
      </c>
      <c r="M60" s="591">
        <v>2611.0114750000002</v>
      </c>
      <c r="N60" s="3" t="s">
        <v>236</v>
      </c>
      <c r="O60" s="14">
        <v>44995</v>
      </c>
      <c r="P60" s="13" t="str">
        <f>HYPERLINK("https://my.zakupki.prom.ua/remote/dispatcher/state_purchase_view/41328917", "UA-2023-03-10-000274-a")</f>
        <v>UA-2023-03-10-000274-a</v>
      </c>
      <c r="Q60" s="30">
        <f>3133.03369/1.2</f>
        <v>2610.8614083333337</v>
      </c>
      <c r="R60" s="17">
        <v>1</v>
      </c>
      <c r="S60" s="30">
        <f>3133.03369/1.2</f>
        <v>2610.8614083333337</v>
      </c>
      <c r="T60" s="31">
        <v>45019</v>
      </c>
      <c r="U60" s="30"/>
      <c r="V60" s="30"/>
    </row>
    <row r="61" spans="1:22" ht="62.4" x14ac:dyDescent="0.3">
      <c r="A61" s="30">
        <v>57</v>
      </c>
      <c r="B61" s="30" t="s">
        <v>40</v>
      </c>
      <c r="C61" s="12" t="s">
        <v>41</v>
      </c>
      <c r="D61" s="30" t="s">
        <v>58</v>
      </c>
      <c r="E61" s="30" t="s">
        <v>88</v>
      </c>
      <c r="F61" s="12" t="s">
        <v>126</v>
      </c>
      <c r="G61" s="12" t="s">
        <v>184</v>
      </c>
      <c r="H61" s="591">
        <v>1568.5536083333334</v>
      </c>
      <c r="I61" s="17">
        <v>1</v>
      </c>
      <c r="J61" s="591">
        <v>1568.5536083333334</v>
      </c>
      <c r="K61" s="591">
        <v>1568.5536083333334</v>
      </c>
      <c r="L61" s="17">
        <v>1</v>
      </c>
      <c r="M61" s="591">
        <v>1568.5536083333334</v>
      </c>
      <c r="N61" s="3" t="s">
        <v>237</v>
      </c>
      <c r="O61" s="14">
        <v>44995</v>
      </c>
      <c r="P61" s="3" t="str">
        <f>HYPERLINK("https://my.zakupki.prom.ua/remote/dispatcher/state_purchase_view/41328890", "UA-2023-03-10-000247-a")</f>
        <v>UA-2023-03-10-000247-a</v>
      </c>
      <c r="Q61" s="30">
        <f>1846.75629/1.2</f>
        <v>1538.963575</v>
      </c>
      <c r="R61" s="17">
        <v>1</v>
      </c>
      <c r="S61" s="30">
        <f>1846.75629/1.2</f>
        <v>1538.963575</v>
      </c>
      <c r="T61" s="31">
        <v>45016</v>
      </c>
      <c r="U61" s="30"/>
      <c r="V61" s="30"/>
    </row>
    <row r="62" spans="1:22" ht="62.4" x14ac:dyDescent="0.3">
      <c r="A62" s="30">
        <v>58</v>
      </c>
      <c r="B62" s="30" t="s">
        <v>40</v>
      </c>
      <c r="C62" s="12" t="s">
        <v>41</v>
      </c>
      <c r="D62" s="30" t="s">
        <v>58</v>
      </c>
      <c r="E62" s="30" t="s">
        <v>88</v>
      </c>
      <c r="F62" s="12" t="s">
        <v>127</v>
      </c>
      <c r="G62" s="12" t="s">
        <v>184</v>
      </c>
      <c r="H62" s="591">
        <v>4437.0822250000001</v>
      </c>
      <c r="I62" s="17">
        <v>1</v>
      </c>
      <c r="J62" s="591">
        <v>4437.0822250000001</v>
      </c>
      <c r="K62" s="591">
        <v>4437.0822250000001</v>
      </c>
      <c r="L62" s="17">
        <v>1</v>
      </c>
      <c r="M62" s="591">
        <v>4437.0822250000001</v>
      </c>
      <c r="N62" s="3" t="s">
        <v>238</v>
      </c>
      <c r="O62" s="14">
        <v>44995</v>
      </c>
      <c r="P62" s="3" t="str">
        <f>HYPERLINK("https://my.zakupki.prom.ua/remote/dispatcher/state_purchase_view/41328762", "UA-2023-03-10-000208-a")</f>
        <v>UA-2023-03-10-000208-a</v>
      </c>
      <c r="Q62" s="30">
        <f>5097.12242/1.2</f>
        <v>4247.6020166666667</v>
      </c>
      <c r="R62" s="17">
        <v>1</v>
      </c>
      <c r="S62" s="30">
        <f>5097.12242/1.2</f>
        <v>4247.6020166666667</v>
      </c>
      <c r="T62" s="31">
        <v>45019</v>
      </c>
      <c r="U62" s="30"/>
      <c r="V62" s="30"/>
    </row>
    <row r="63" spans="1:22" ht="62.4" x14ac:dyDescent="0.3">
      <c r="A63" s="30">
        <v>59</v>
      </c>
      <c r="B63" s="30" t="s">
        <v>40</v>
      </c>
      <c r="C63" s="12" t="s">
        <v>41</v>
      </c>
      <c r="D63" s="30" t="s">
        <v>58</v>
      </c>
      <c r="E63" s="30" t="s">
        <v>88</v>
      </c>
      <c r="F63" s="12" t="s">
        <v>128</v>
      </c>
      <c r="G63" s="12" t="s">
        <v>184</v>
      </c>
      <c r="H63" s="591">
        <v>1814.2742500000002</v>
      </c>
      <c r="I63" s="17">
        <v>1</v>
      </c>
      <c r="J63" s="591">
        <v>1814.2742500000002</v>
      </c>
      <c r="K63" s="591">
        <v>1814.2742500000002</v>
      </c>
      <c r="L63" s="17">
        <v>1</v>
      </c>
      <c r="M63" s="591">
        <v>1814.2742500000002</v>
      </c>
      <c r="N63" s="3" t="s">
        <v>239</v>
      </c>
      <c r="O63" s="14">
        <v>44995</v>
      </c>
      <c r="P63" s="13" t="str">
        <f>HYPERLINK("https://my.zakupki.prom.ua/remote/dispatcher/state_purchase_view/41328752", "UA-2023-03-10-000196-a")</f>
        <v>UA-2023-03-10-000196-a</v>
      </c>
      <c r="Q63" s="30">
        <f>2176.62168/1.2</f>
        <v>1813.8514000000002</v>
      </c>
      <c r="R63" s="17">
        <v>1</v>
      </c>
      <c r="S63" s="30">
        <f>2176.62168/1.2</f>
        <v>1813.8514000000002</v>
      </c>
      <c r="T63" s="31">
        <v>45016</v>
      </c>
      <c r="U63" s="30"/>
      <c r="V63" s="30"/>
    </row>
    <row r="64" spans="1:22" ht="62.4" x14ac:dyDescent="0.3">
      <c r="A64" s="30">
        <v>60</v>
      </c>
      <c r="B64" s="30" t="s">
        <v>40</v>
      </c>
      <c r="C64" s="12" t="s">
        <v>41</v>
      </c>
      <c r="D64" s="30" t="s">
        <v>58</v>
      </c>
      <c r="E64" s="30" t="s">
        <v>88</v>
      </c>
      <c r="F64" s="12" t="s">
        <v>129</v>
      </c>
      <c r="G64" s="12" t="s">
        <v>184</v>
      </c>
      <c r="H64" s="591">
        <v>4839.9405166666666</v>
      </c>
      <c r="I64" s="17">
        <v>1</v>
      </c>
      <c r="J64" s="591">
        <v>4839.9405166666666</v>
      </c>
      <c r="K64" s="591">
        <v>4839.9405166666666</v>
      </c>
      <c r="L64" s="17">
        <v>1</v>
      </c>
      <c r="M64" s="591">
        <v>4839.9405166666666</v>
      </c>
      <c r="N64" s="3" t="s">
        <v>240</v>
      </c>
      <c r="O64" s="14">
        <v>44995</v>
      </c>
      <c r="P64" s="13" t="str">
        <f>HYPERLINK("https://my.zakupki.prom.ua/remote/dispatcher/state_purchase_view/41328638", "UA-2023-03-10-000148-a")</f>
        <v>UA-2023-03-10-000148-a</v>
      </c>
      <c r="Q64" s="30">
        <f>5570.64129/1.2</f>
        <v>4642.2010749999999</v>
      </c>
      <c r="R64" s="17">
        <v>1</v>
      </c>
      <c r="S64" s="30">
        <f>5570.64129/1.2</f>
        <v>4642.2010749999999</v>
      </c>
      <c r="T64" s="31">
        <v>45016</v>
      </c>
      <c r="U64" s="30"/>
      <c r="V64" s="30"/>
    </row>
    <row r="65" spans="1:22" ht="46.8" x14ac:dyDescent="0.3">
      <c r="A65" s="30">
        <v>61</v>
      </c>
      <c r="B65" s="30" t="s">
        <v>21</v>
      </c>
      <c r="C65" s="12" t="s">
        <v>181</v>
      </c>
      <c r="D65" s="30" t="s">
        <v>58</v>
      </c>
      <c r="E65" s="30" t="s">
        <v>88</v>
      </c>
      <c r="F65" s="12" t="s">
        <v>130</v>
      </c>
      <c r="G65" s="12" t="s">
        <v>185</v>
      </c>
      <c r="H65" s="589"/>
      <c r="I65" s="17">
        <v>990</v>
      </c>
      <c r="J65" s="591">
        <v>4536.68</v>
      </c>
      <c r="K65" s="589"/>
      <c r="L65" s="30">
        <v>990</v>
      </c>
      <c r="M65" s="589">
        <f>5444.016/1.2</f>
        <v>4536.68</v>
      </c>
      <c r="N65" s="3" t="s">
        <v>241</v>
      </c>
      <c r="O65" s="14">
        <v>44998</v>
      </c>
      <c r="P65" s="13" t="str">
        <f>HYPERLINK("https://my.zakupki.prom.ua/remote/dispatcher/state_purchase_view/41371338", "UA-2023-03-13-007155-a")</f>
        <v>UA-2023-03-13-007155-a</v>
      </c>
      <c r="Q65" s="30"/>
      <c r="R65" s="17">
        <v>990</v>
      </c>
      <c r="S65" s="30">
        <f>4841.1/1.2</f>
        <v>4034.2500000000005</v>
      </c>
      <c r="T65" s="31">
        <v>45016</v>
      </c>
      <c r="U65" s="30"/>
      <c r="V65" s="30"/>
    </row>
    <row r="66" spans="1:22" ht="46.8" x14ac:dyDescent="0.3">
      <c r="A66" s="30">
        <v>62</v>
      </c>
      <c r="B66" s="30" t="s">
        <v>21</v>
      </c>
      <c r="C66" s="12" t="s">
        <v>173</v>
      </c>
      <c r="D66" s="30" t="s">
        <v>58</v>
      </c>
      <c r="E66" s="30" t="s">
        <v>88</v>
      </c>
      <c r="F66" s="12" t="s">
        <v>131</v>
      </c>
      <c r="G66" s="12" t="s">
        <v>185</v>
      </c>
      <c r="H66" s="589"/>
      <c r="I66" s="17">
        <v>20</v>
      </c>
      <c r="J66" s="591">
        <v>113.6</v>
      </c>
      <c r="K66" s="589"/>
      <c r="L66" s="30">
        <v>20</v>
      </c>
      <c r="M66" s="589">
        <f>136.32/1.2</f>
        <v>113.6</v>
      </c>
      <c r="N66" s="3" t="s">
        <v>242</v>
      </c>
      <c r="O66" s="14">
        <v>44998</v>
      </c>
      <c r="P66" s="13" t="str">
        <f>HYPERLINK("https://my.zakupki.prom.ua/remote/dispatcher/state_purchase_view/41363968", "UA-2023-03-13-003744-a")</f>
        <v>UA-2023-03-13-003744-a</v>
      </c>
      <c r="Q66" s="30"/>
      <c r="R66" s="17">
        <v>20</v>
      </c>
      <c r="S66" s="30">
        <f>108/1.2</f>
        <v>90</v>
      </c>
      <c r="T66" s="31">
        <v>45015</v>
      </c>
      <c r="U66" s="30"/>
      <c r="V66" s="30"/>
    </row>
    <row r="67" spans="1:22" ht="78" x14ac:dyDescent="0.3">
      <c r="A67" s="30">
        <v>63</v>
      </c>
      <c r="B67" s="30" t="s">
        <v>40</v>
      </c>
      <c r="C67" s="12" t="s">
        <v>41</v>
      </c>
      <c r="D67" s="30" t="s">
        <v>58</v>
      </c>
      <c r="E67" s="30" t="s">
        <v>88</v>
      </c>
      <c r="F67" s="12" t="s">
        <v>132</v>
      </c>
      <c r="G67" s="12" t="s">
        <v>184</v>
      </c>
      <c r="H67" s="591">
        <v>5063.9220000000005</v>
      </c>
      <c r="I67" s="17">
        <v>1</v>
      </c>
      <c r="J67" s="591">
        <v>5063.9220000000005</v>
      </c>
      <c r="K67" s="591">
        <v>5063.9220000000005</v>
      </c>
      <c r="L67" s="17">
        <v>1</v>
      </c>
      <c r="M67" s="591">
        <v>5063.9220000000005</v>
      </c>
      <c r="N67" s="3" t="s">
        <v>243</v>
      </c>
      <c r="O67" s="14">
        <v>44999</v>
      </c>
      <c r="P67" s="13" t="str">
        <f>HYPERLINK("https://my.zakupki.prom.ua/remote/dispatcher/state_purchase_view/41401307", "UA-2023-03-14-007942-a")</f>
        <v>UA-2023-03-14-007942-a</v>
      </c>
      <c r="Q67" s="30">
        <f>2693.73535/1.2</f>
        <v>2244.7794583333334</v>
      </c>
      <c r="R67" s="17">
        <v>1</v>
      </c>
      <c r="S67" s="30">
        <f>2693.73535/1.2</f>
        <v>2244.7794583333334</v>
      </c>
      <c r="T67" s="31">
        <v>45016</v>
      </c>
      <c r="U67" s="30"/>
      <c r="V67" s="30"/>
    </row>
    <row r="68" spans="1:22" ht="62.4" x14ac:dyDescent="0.3">
      <c r="A68" s="30">
        <v>64</v>
      </c>
      <c r="B68" s="30" t="s">
        <v>21</v>
      </c>
      <c r="C68" s="12" t="s">
        <v>182</v>
      </c>
      <c r="D68" s="30" t="s">
        <v>58</v>
      </c>
      <c r="E68" s="30" t="s">
        <v>88</v>
      </c>
      <c r="F68" s="12" t="s">
        <v>133</v>
      </c>
      <c r="G68" s="12" t="s">
        <v>185</v>
      </c>
      <c r="H68" s="591">
        <v>779.63</v>
      </c>
      <c r="I68" s="17">
        <v>1</v>
      </c>
      <c r="J68" s="591">
        <v>779.63</v>
      </c>
      <c r="K68" s="591">
        <v>779.63</v>
      </c>
      <c r="L68" s="17">
        <v>1</v>
      </c>
      <c r="M68" s="591">
        <v>779.63</v>
      </c>
      <c r="N68" s="3" t="s">
        <v>244</v>
      </c>
      <c r="O68" s="14">
        <v>44999</v>
      </c>
      <c r="P68" s="13" t="str">
        <f>HYPERLINK("https://my.zakupki.prom.ua/remote/dispatcher/state_purchase_view/41385730", "UA-2023-03-14-001150-a")</f>
        <v>UA-2023-03-14-001150-a</v>
      </c>
      <c r="Q68" s="30">
        <f>935.46/1.2</f>
        <v>779.55000000000007</v>
      </c>
      <c r="R68" s="17">
        <v>1</v>
      </c>
      <c r="S68" s="30">
        <f>935.46/1.2</f>
        <v>779.55000000000007</v>
      </c>
      <c r="T68" s="31">
        <v>45014</v>
      </c>
      <c r="U68" s="30"/>
      <c r="V68" s="30"/>
    </row>
    <row r="69" spans="1:22" ht="93.6" x14ac:dyDescent="0.3">
      <c r="A69" s="30">
        <v>65</v>
      </c>
      <c r="B69" s="30" t="s">
        <v>21</v>
      </c>
      <c r="C69" s="12" t="s">
        <v>183</v>
      </c>
      <c r="D69" s="30" t="s">
        <v>58</v>
      </c>
      <c r="E69" s="30" t="s">
        <v>88</v>
      </c>
      <c r="F69" s="12" t="s">
        <v>134</v>
      </c>
      <c r="G69" s="12" t="s">
        <v>185</v>
      </c>
      <c r="H69" s="591">
        <v>536.25</v>
      </c>
      <c r="I69" s="17">
        <v>1</v>
      </c>
      <c r="J69" s="591">
        <v>536.25</v>
      </c>
      <c r="K69" s="591">
        <v>536.25</v>
      </c>
      <c r="L69" s="17">
        <v>1</v>
      </c>
      <c r="M69" s="591">
        <v>536.25</v>
      </c>
      <c r="N69" s="3" t="s">
        <v>245</v>
      </c>
      <c r="O69" s="14">
        <v>44999</v>
      </c>
      <c r="P69" s="13" t="str">
        <f>HYPERLINK("https://my.zakupki.prom.ua/remote/dispatcher/state_purchase_view/41385337", "UA-2023-03-14-000978-a")</f>
        <v>UA-2023-03-14-000978-a</v>
      </c>
      <c r="Q69" s="30">
        <f>640.38/1.2</f>
        <v>533.65</v>
      </c>
      <c r="R69" s="17">
        <v>1</v>
      </c>
      <c r="S69" s="30">
        <f>640.38/1.2</f>
        <v>533.65</v>
      </c>
      <c r="T69" s="31">
        <v>45014</v>
      </c>
      <c r="U69" s="30"/>
      <c r="V69" s="30"/>
    </row>
    <row r="70" spans="1:22" ht="78" x14ac:dyDescent="0.3">
      <c r="A70" s="30">
        <v>66</v>
      </c>
      <c r="B70" s="30" t="s">
        <v>40</v>
      </c>
      <c r="C70" s="12" t="s">
        <v>41</v>
      </c>
      <c r="D70" s="30" t="s">
        <v>58</v>
      </c>
      <c r="E70" s="30" t="s">
        <v>88</v>
      </c>
      <c r="F70" s="12" t="s">
        <v>135</v>
      </c>
      <c r="G70" s="12" t="s">
        <v>184</v>
      </c>
      <c r="H70" s="591">
        <v>10976.597466666668</v>
      </c>
      <c r="I70" s="17">
        <v>1</v>
      </c>
      <c r="J70" s="591">
        <v>10976.597466666668</v>
      </c>
      <c r="K70" s="591">
        <v>10976.597466666668</v>
      </c>
      <c r="L70" s="17">
        <v>1</v>
      </c>
      <c r="M70" s="591">
        <v>10976.597466666668</v>
      </c>
      <c r="N70" s="3" t="s">
        <v>246</v>
      </c>
      <c r="O70" s="14">
        <v>45000</v>
      </c>
      <c r="P70" s="13" t="str">
        <f>HYPERLINK("https://my.zakupki.prom.ua/remote/dispatcher/state_purchase_view/41435209", "UA-2023-03-15-010399-a")</f>
        <v>UA-2023-03-15-010399-a</v>
      </c>
      <c r="Q70" s="30">
        <f>13100/1.2</f>
        <v>10916.666666666668</v>
      </c>
      <c r="R70" s="17">
        <v>1</v>
      </c>
      <c r="S70" s="30">
        <f>13100/1.2</f>
        <v>10916.666666666668</v>
      </c>
      <c r="T70" s="31">
        <v>45016</v>
      </c>
      <c r="U70" s="30"/>
      <c r="V70" s="30"/>
    </row>
    <row r="71" spans="1:22" ht="78" x14ac:dyDescent="0.3">
      <c r="A71" s="30">
        <v>67</v>
      </c>
      <c r="B71" s="30" t="s">
        <v>40</v>
      </c>
      <c r="C71" s="12" t="s">
        <v>41</v>
      </c>
      <c r="D71" s="30" t="s">
        <v>58</v>
      </c>
      <c r="E71" s="30" t="s">
        <v>88</v>
      </c>
      <c r="F71" s="12" t="s">
        <v>136</v>
      </c>
      <c r="G71" s="12" t="s">
        <v>184</v>
      </c>
      <c r="H71" s="591">
        <v>11223.566733333335</v>
      </c>
      <c r="I71" s="17">
        <v>1</v>
      </c>
      <c r="J71" s="591">
        <v>11223.566733333335</v>
      </c>
      <c r="K71" s="591">
        <v>11223.566733333335</v>
      </c>
      <c r="L71" s="17">
        <v>1</v>
      </c>
      <c r="M71" s="591">
        <v>11223.566733333335</v>
      </c>
      <c r="N71" s="3" t="s">
        <v>247</v>
      </c>
      <c r="O71" s="14">
        <v>45000</v>
      </c>
      <c r="P71" s="13" t="str">
        <f>HYPERLINK("https://my.zakupki.prom.ua/remote/dispatcher/state_purchase_view/41434270", "UA-2023-03-15-009913-a")</f>
        <v>UA-2023-03-15-009913-a</v>
      </c>
      <c r="Q71" s="30">
        <f>13395/1.2</f>
        <v>11162.5</v>
      </c>
      <c r="R71" s="17">
        <v>1</v>
      </c>
      <c r="S71" s="30">
        <f>13395/1.2</f>
        <v>11162.5</v>
      </c>
      <c r="T71" s="31">
        <v>45016</v>
      </c>
      <c r="U71" s="30"/>
      <c r="V71" s="30"/>
    </row>
    <row r="72" spans="1:22" ht="78" x14ac:dyDescent="0.3">
      <c r="A72" s="30">
        <v>68</v>
      </c>
      <c r="B72" s="30" t="s">
        <v>40</v>
      </c>
      <c r="C72" s="12" t="s">
        <v>41</v>
      </c>
      <c r="D72" s="30" t="s">
        <v>58</v>
      </c>
      <c r="E72" s="30" t="s">
        <v>88</v>
      </c>
      <c r="F72" s="12" t="s">
        <v>137</v>
      </c>
      <c r="G72" s="12" t="s">
        <v>184</v>
      </c>
      <c r="H72" s="591">
        <v>11550.103533333333</v>
      </c>
      <c r="I72" s="17">
        <v>1</v>
      </c>
      <c r="J72" s="591">
        <v>11550.103533333333</v>
      </c>
      <c r="K72" s="591">
        <v>11550.103533333333</v>
      </c>
      <c r="L72" s="17">
        <v>1</v>
      </c>
      <c r="M72" s="591">
        <v>11550.103533333333</v>
      </c>
      <c r="N72" s="3" t="s">
        <v>248</v>
      </c>
      <c r="O72" s="14">
        <v>45000</v>
      </c>
      <c r="P72" s="3" t="str">
        <f>HYPERLINK("https://my.zakupki.prom.ua/remote/dispatcher/state_purchase_view/41432337", "UA-2023-03-15-009047-a")</f>
        <v>UA-2023-03-15-009047-a</v>
      </c>
      <c r="Q72" s="30">
        <f>13790/1.2</f>
        <v>11491.666666666668</v>
      </c>
      <c r="R72" s="17">
        <v>1</v>
      </c>
      <c r="S72" s="30">
        <f>13790/1.2</f>
        <v>11491.666666666668</v>
      </c>
      <c r="T72" s="31">
        <v>45016</v>
      </c>
      <c r="U72" s="30"/>
      <c r="V72" s="30"/>
    </row>
    <row r="73" spans="1:22" ht="62.4" x14ac:dyDescent="0.3">
      <c r="A73" s="30">
        <v>69</v>
      </c>
      <c r="B73" s="30" t="s">
        <v>40</v>
      </c>
      <c r="C73" s="12" t="s">
        <v>41</v>
      </c>
      <c r="D73" s="30" t="s">
        <v>58</v>
      </c>
      <c r="E73" s="30" t="s">
        <v>88</v>
      </c>
      <c r="F73" s="12" t="s">
        <v>138</v>
      </c>
      <c r="G73" s="12" t="s">
        <v>184</v>
      </c>
      <c r="H73" s="591">
        <v>22769.216683333332</v>
      </c>
      <c r="I73" s="17">
        <v>1</v>
      </c>
      <c r="J73" s="591">
        <v>22769.216683333332</v>
      </c>
      <c r="K73" s="591">
        <v>22769.216683333332</v>
      </c>
      <c r="L73" s="17">
        <v>1</v>
      </c>
      <c r="M73" s="591">
        <v>22769.216683333332</v>
      </c>
      <c r="N73" s="3" t="s">
        <v>249</v>
      </c>
      <c r="O73" s="14">
        <v>45000</v>
      </c>
      <c r="P73" s="13" t="str">
        <f>HYPERLINK("https://my.zakupki.prom.ua/remote/dispatcher/state_purchase_view/41429057", "UA-2023-03-15-007635-a")</f>
        <v>UA-2023-03-15-007635-a</v>
      </c>
      <c r="Q73" s="30">
        <f>26459.5992/1.2</f>
        <v>22049.666000000001</v>
      </c>
      <c r="R73" s="17">
        <v>1</v>
      </c>
      <c r="S73" s="30">
        <f>26459.5992/1.2</f>
        <v>22049.666000000001</v>
      </c>
      <c r="T73" s="31">
        <v>45023</v>
      </c>
      <c r="U73" s="30"/>
      <c r="V73" s="30"/>
    </row>
    <row r="74" spans="1:22" ht="62.4" x14ac:dyDescent="0.3">
      <c r="A74" s="30">
        <v>70</v>
      </c>
      <c r="B74" s="30" t="s">
        <v>40</v>
      </c>
      <c r="C74" s="12" t="s">
        <v>41</v>
      </c>
      <c r="D74" s="30" t="s">
        <v>58</v>
      </c>
      <c r="E74" s="30" t="s">
        <v>88</v>
      </c>
      <c r="F74" s="12" t="s">
        <v>139</v>
      </c>
      <c r="G74" s="12" t="s">
        <v>184</v>
      </c>
      <c r="H74" s="591">
        <v>8007.6770000000006</v>
      </c>
      <c r="I74" s="17">
        <v>1</v>
      </c>
      <c r="J74" s="591">
        <v>8007.6770000000006</v>
      </c>
      <c r="K74" s="591">
        <v>8007.6770000000006</v>
      </c>
      <c r="L74" s="17">
        <v>1</v>
      </c>
      <c r="M74" s="591">
        <v>8007.6770000000006</v>
      </c>
      <c r="N74" s="3" t="s">
        <v>250</v>
      </c>
      <c r="O74" s="14">
        <v>45000</v>
      </c>
      <c r="P74" s="13" t="str">
        <f>HYPERLINK("https://my.zakupki.prom.ua/remote/dispatcher/state_purchase_view/41428807", "UA-2023-03-15-007484-a")</f>
        <v>UA-2023-03-15-007484-a</v>
      </c>
      <c r="Q74" s="30">
        <f>9600/1.2</f>
        <v>8000</v>
      </c>
      <c r="R74" s="17">
        <v>1</v>
      </c>
      <c r="S74" s="30">
        <f>9600/1.2</f>
        <v>8000</v>
      </c>
      <c r="T74" s="31">
        <v>45016</v>
      </c>
      <c r="U74" s="30"/>
      <c r="V74" s="30"/>
    </row>
    <row r="75" spans="1:22" ht="62.4" x14ac:dyDescent="0.3">
      <c r="A75" s="30">
        <v>71</v>
      </c>
      <c r="B75" s="30" t="s">
        <v>40</v>
      </c>
      <c r="C75" s="12" t="s">
        <v>41</v>
      </c>
      <c r="D75" s="30" t="s">
        <v>58</v>
      </c>
      <c r="E75" s="30" t="s">
        <v>88</v>
      </c>
      <c r="F75" s="12" t="s">
        <v>140</v>
      </c>
      <c r="G75" s="12" t="s">
        <v>184</v>
      </c>
      <c r="H75" s="591">
        <v>9955.5533000000014</v>
      </c>
      <c r="I75" s="17">
        <v>1</v>
      </c>
      <c r="J75" s="591">
        <v>9955.5533000000014</v>
      </c>
      <c r="K75" s="591">
        <v>9955.5533000000014</v>
      </c>
      <c r="L75" s="17">
        <v>1</v>
      </c>
      <c r="M75" s="591">
        <v>9955.5533000000014</v>
      </c>
      <c r="N75" s="3" t="s">
        <v>251</v>
      </c>
      <c r="O75" s="14">
        <v>45000</v>
      </c>
      <c r="P75" s="13" t="str">
        <f>HYPERLINK("https://my.zakupki.prom.ua/remote/dispatcher/state_purchase_view/41428016", "UA-2023-03-15-007191-a")</f>
        <v>UA-2023-03-15-007191-a</v>
      </c>
      <c r="Q75" s="30">
        <f>11932.9032/1.2</f>
        <v>9944.0860000000011</v>
      </c>
      <c r="R75" s="17">
        <v>1</v>
      </c>
      <c r="S75" s="30">
        <f>11932.9032/1.2</f>
        <v>9944.0860000000011</v>
      </c>
      <c r="T75" s="31">
        <v>45021</v>
      </c>
      <c r="U75" s="30"/>
      <c r="V75" s="30"/>
    </row>
    <row r="76" spans="1:22" ht="62.4" x14ac:dyDescent="0.3">
      <c r="A76" s="30">
        <v>72</v>
      </c>
      <c r="B76" s="30" t="s">
        <v>40</v>
      </c>
      <c r="C76" s="12" t="s">
        <v>41</v>
      </c>
      <c r="D76" s="30" t="s">
        <v>58</v>
      </c>
      <c r="E76" s="30" t="s">
        <v>88</v>
      </c>
      <c r="F76" s="12" t="s">
        <v>141</v>
      </c>
      <c r="G76" s="12" t="s">
        <v>184</v>
      </c>
      <c r="H76" s="591">
        <v>30543.989266666667</v>
      </c>
      <c r="I76" s="17">
        <v>1</v>
      </c>
      <c r="J76" s="591">
        <v>30543.989266666667</v>
      </c>
      <c r="K76" s="591">
        <v>30543.989266666667</v>
      </c>
      <c r="L76" s="17">
        <v>1</v>
      </c>
      <c r="M76" s="591">
        <v>30543.989266666667</v>
      </c>
      <c r="N76" s="3" t="s">
        <v>252</v>
      </c>
      <c r="O76" s="14">
        <v>45000</v>
      </c>
      <c r="P76" s="13" t="str">
        <f>HYPERLINK("https://my.zakupki.prom.ua/remote/dispatcher/state_purchase_view/41427937", "UA-2023-03-15-007154-a")</f>
        <v>UA-2023-03-15-007154-a</v>
      </c>
      <c r="Q76" s="30">
        <f>26652.65348/1.2</f>
        <v>22210.544566666667</v>
      </c>
      <c r="R76" s="17">
        <v>1</v>
      </c>
      <c r="S76" s="30">
        <f>26652.65348/1.2</f>
        <v>22210.544566666667</v>
      </c>
      <c r="T76" s="31">
        <v>45022</v>
      </c>
      <c r="U76" s="30"/>
      <c r="V76" s="30"/>
    </row>
    <row r="77" spans="1:22" ht="78" x14ac:dyDescent="0.3">
      <c r="A77" s="30">
        <v>73</v>
      </c>
      <c r="B77" s="30" t="s">
        <v>40</v>
      </c>
      <c r="C77" s="12" t="s">
        <v>41</v>
      </c>
      <c r="D77" s="30" t="s">
        <v>58</v>
      </c>
      <c r="E77" s="30" t="s">
        <v>88</v>
      </c>
      <c r="F77" s="12" t="s">
        <v>142</v>
      </c>
      <c r="G77" s="12" t="s">
        <v>184</v>
      </c>
      <c r="H77" s="591">
        <v>2456.56</v>
      </c>
      <c r="I77" s="17">
        <v>1</v>
      </c>
      <c r="J77" s="591">
        <v>2456.56</v>
      </c>
      <c r="K77" s="591">
        <v>2456.56</v>
      </c>
      <c r="L77" s="17">
        <v>1</v>
      </c>
      <c r="M77" s="591">
        <v>2456.56</v>
      </c>
      <c r="N77" s="3" t="s">
        <v>253</v>
      </c>
      <c r="O77" s="14">
        <v>45000</v>
      </c>
      <c r="P77" s="13" t="str">
        <f>HYPERLINK("https://my.zakupki.prom.ua/remote/dispatcher/state_purchase_view/41427498", "UA-2023-03-15-006954-a")</f>
        <v>UA-2023-03-15-006954-a</v>
      </c>
      <c r="Q77" s="30">
        <f>2947.73092/1.2</f>
        <v>2456.4424333333336</v>
      </c>
      <c r="R77" s="17">
        <v>1</v>
      </c>
      <c r="S77" s="30">
        <f>2947.73092/1.2</f>
        <v>2456.4424333333336</v>
      </c>
      <c r="T77" s="31">
        <v>45016</v>
      </c>
      <c r="U77" s="30"/>
      <c r="V77" s="30"/>
    </row>
    <row r="78" spans="1:22" ht="93.6" x14ac:dyDescent="0.3">
      <c r="A78" s="30">
        <v>74</v>
      </c>
      <c r="B78" s="30" t="s">
        <v>40</v>
      </c>
      <c r="C78" s="12" t="s">
        <v>41</v>
      </c>
      <c r="D78" s="30" t="s">
        <v>58</v>
      </c>
      <c r="E78" s="30" t="s">
        <v>88</v>
      </c>
      <c r="F78" s="12" t="s">
        <v>143</v>
      </c>
      <c r="G78" s="12" t="s">
        <v>184</v>
      </c>
      <c r="H78" s="591">
        <v>2438.35</v>
      </c>
      <c r="I78" s="17">
        <v>1</v>
      </c>
      <c r="J78" s="591">
        <v>2438.35</v>
      </c>
      <c r="K78" s="591">
        <v>2438.35</v>
      </c>
      <c r="L78" s="17">
        <v>1</v>
      </c>
      <c r="M78" s="591">
        <v>2438.35</v>
      </c>
      <c r="N78" s="3" t="s">
        <v>254</v>
      </c>
      <c r="O78" s="14">
        <v>45000</v>
      </c>
      <c r="P78" s="13" t="str">
        <f>HYPERLINK("https://my.zakupki.prom.ua/remote/dispatcher/state_purchase_view/41427101", "UA-2023-03-15-006780-a")</f>
        <v>UA-2023-03-15-006780-a</v>
      </c>
      <c r="Q78" s="30">
        <f>2921.13972/1.2</f>
        <v>2434.2831000000001</v>
      </c>
      <c r="R78" s="17">
        <v>1</v>
      </c>
      <c r="S78" s="30">
        <f>2921.13972/1.2</f>
        <v>2434.2831000000001</v>
      </c>
      <c r="T78" s="31">
        <v>45016</v>
      </c>
      <c r="U78" s="30"/>
      <c r="V78" s="30"/>
    </row>
    <row r="79" spans="1:22" ht="93.6" x14ac:dyDescent="0.3">
      <c r="A79" s="30">
        <v>75</v>
      </c>
      <c r="B79" s="30" t="s">
        <v>40</v>
      </c>
      <c r="C79" s="12" t="s">
        <v>41</v>
      </c>
      <c r="D79" s="30" t="s">
        <v>58</v>
      </c>
      <c r="E79" s="30" t="s">
        <v>88</v>
      </c>
      <c r="F79" s="12" t="s">
        <v>144</v>
      </c>
      <c r="G79" s="12" t="s">
        <v>184</v>
      </c>
      <c r="H79" s="591">
        <v>1540.42</v>
      </c>
      <c r="I79" s="17">
        <v>1</v>
      </c>
      <c r="J79" s="591">
        <v>1540.42</v>
      </c>
      <c r="K79" s="591">
        <v>1540.42</v>
      </c>
      <c r="L79" s="17">
        <v>1</v>
      </c>
      <c r="M79" s="591">
        <v>1540.42</v>
      </c>
      <c r="N79" s="3" t="s">
        <v>255</v>
      </c>
      <c r="O79" s="14">
        <v>45000</v>
      </c>
      <c r="P79" s="13" t="str">
        <f>HYPERLINK("https://my.zakupki.prom.ua/remote/dispatcher/state_purchase_view/41426939", "UA-2023-03-15-006678-a")</f>
        <v>UA-2023-03-15-006678-a</v>
      </c>
      <c r="Q79" s="30">
        <f>1848.00768/1.2</f>
        <v>1540.0064</v>
      </c>
      <c r="R79" s="17">
        <v>1</v>
      </c>
      <c r="S79" s="30">
        <f>1848.00768/1.2</f>
        <v>1540.0064</v>
      </c>
      <c r="T79" s="31">
        <v>45016</v>
      </c>
      <c r="U79" s="30"/>
      <c r="V79" s="30"/>
    </row>
    <row r="80" spans="1:22" ht="46.8" x14ac:dyDescent="0.3">
      <c r="A80" s="30">
        <v>76</v>
      </c>
      <c r="B80" s="30" t="s">
        <v>40</v>
      </c>
      <c r="C80" s="12" t="s">
        <v>41</v>
      </c>
      <c r="D80" s="30" t="s">
        <v>58</v>
      </c>
      <c r="E80" s="30" t="s">
        <v>88</v>
      </c>
      <c r="F80" s="12" t="s">
        <v>145</v>
      </c>
      <c r="G80" s="12" t="s">
        <v>184</v>
      </c>
      <c r="H80" s="591">
        <v>14879.444308333335</v>
      </c>
      <c r="I80" s="17">
        <v>1</v>
      </c>
      <c r="J80" s="591">
        <v>14879.444308333335</v>
      </c>
      <c r="K80" s="591">
        <v>14879.444308333335</v>
      </c>
      <c r="L80" s="17">
        <v>1</v>
      </c>
      <c r="M80" s="591">
        <v>14879.444308333335</v>
      </c>
      <c r="N80" s="3" t="s">
        <v>256</v>
      </c>
      <c r="O80" s="14">
        <v>45000</v>
      </c>
      <c r="P80" s="13" t="str">
        <f>HYPERLINK("https://my.zakupki.prom.ua/remote/dispatcher/state_purchase_view/41426867", "UA-2023-03-15-006643-a")</f>
        <v>UA-2023-03-15-006643-a</v>
      </c>
      <c r="Q80" s="30">
        <f>17614.29922/1.2</f>
        <v>14678.582683333334</v>
      </c>
      <c r="R80" s="17">
        <v>1</v>
      </c>
      <c r="S80" s="30">
        <f>17614.29922/1.2</f>
        <v>14678.582683333334</v>
      </c>
      <c r="T80" s="31">
        <v>45023</v>
      </c>
      <c r="U80" s="30"/>
      <c r="V80" s="30"/>
    </row>
    <row r="81" spans="1:22" ht="62.4" x14ac:dyDescent="0.3">
      <c r="A81" s="30">
        <v>77</v>
      </c>
      <c r="B81" s="30" t="s">
        <v>40</v>
      </c>
      <c r="C81" s="12" t="s">
        <v>41</v>
      </c>
      <c r="D81" s="30" t="s">
        <v>58</v>
      </c>
      <c r="E81" s="30" t="s">
        <v>88</v>
      </c>
      <c r="F81" s="12" t="s">
        <v>146</v>
      </c>
      <c r="G81" s="12" t="s">
        <v>184</v>
      </c>
      <c r="H81" s="591">
        <v>16220.156625</v>
      </c>
      <c r="I81" s="17">
        <v>1</v>
      </c>
      <c r="J81" s="591">
        <v>16220.156625</v>
      </c>
      <c r="K81" s="591">
        <v>16220.156625</v>
      </c>
      <c r="L81" s="17">
        <v>1</v>
      </c>
      <c r="M81" s="591">
        <v>16220.156625</v>
      </c>
      <c r="N81" s="3" t="s">
        <v>257</v>
      </c>
      <c r="O81" s="14">
        <v>45000</v>
      </c>
      <c r="P81" s="13" t="str">
        <f>HYPERLINK("https://my.zakupki.prom.ua/remote/dispatcher/state_purchase_view/41426613", "UA-2023-03-15-006562-a")</f>
        <v>UA-2023-03-15-006562-a</v>
      </c>
      <c r="Q81" s="30">
        <f>19380/1.2</f>
        <v>16150</v>
      </c>
      <c r="R81" s="17">
        <v>1</v>
      </c>
      <c r="S81" s="30">
        <f>19380/1.2</f>
        <v>16150</v>
      </c>
      <c r="T81" s="31">
        <v>45016</v>
      </c>
      <c r="U81" s="30"/>
      <c r="V81" s="30"/>
    </row>
    <row r="82" spans="1:22" ht="62.4" x14ac:dyDescent="0.3">
      <c r="A82" s="30">
        <v>78</v>
      </c>
      <c r="B82" s="30" t="s">
        <v>40</v>
      </c>
      <c r="C82" s="12" t="s">
        <v>41</v>
      </c>
      <c r="D82" s="30" t="s">
        <v>58</v>
      </c>
      <c r="E82" s="30" t="s">
        <v>88</v>
      </c>
      <c r="F82" s="12" t="s">
        <v>147</v>
      </c>
      <c r="G82" s="12" t="s">
        <v>184</v>
      </c>
      <c r="H82" s="591">
        <v>30451.739091666666</v>
      </c>
      <c r="I82" s="17">
        <v>1</v>
      </c>
      <c r="J82" s="591">
        <v>30451.739091666666</v>
      </c>
      <c r="K82" s="591">
        <v>30451.739091666666</v>
      </c>
      <c r="L82" s="17">
        <v>1</v>
      </c>
      <c r="M82" s="591">
        <v>30451.739091666666</v>
      </c>
      <c r="N82" s="3" t="s">
        <v>258</v>
      </c>
      <c r="O82" s="14">
        <v>45000</v>
      </c>
      <c r="P82" s="13" t="str">
        <f>HYPERLINK("https://my.zakupki.prom.ua/remote/dispatcher/state_purchase_view/41426508", "UA-2023-03-15-006488-a")</f>
        <v>UA-2023-03-15-006488-a</v>
      </c>
      <c r="Q82" s="30">
        <f>36542.2152/1.2</f>
        <v>30451.846000000001</v>
      </c>
      <c r="R82" s="17">
        <v>1</v>
      </c>
      <c r="S82" s="30">
        <f>36542.2152/1.2</f>
        <v>30451.846000000001</v>
      </c>
      <c r="T82" s="31">
        <v>45052</v>
      </c>
      <c r="U82" s="30"/>
      <c r="V82" s="30"/>
    </row>
    <row r="83" spans="1:22" ht="93.6" x14ac:dyDescent="0.3">
      <c r="A83" s="30">
        <v>79</v>
      </c>
      <c r="B83" s="30" t="s">
        <v>40</v>
      </c>
      <c r="C83" s="12" t="s">
        <v>41</v>
      </c>
      <c r="D83" s="30" t="s">
        <v>58</v>
      </c>
      <c r="E83" s="30" t="s">
        <v>88</v>
      </c>
      <c r="F83" s="12" t="s">
        <v>148</v>
      </c>
      <c r="G83" s="12" t="s">
        <v>184</v>
      </c>
      <c r="H83" s="591">
        <v>1803.85</v>
      </c>
      <c r="I83" s="17">
        <v>1</v>
      </c>
      <c r="J83" s="591">
        <v>1803.85</v>
      </c>
      <c r="K83" s="591">
        <v>1803.85</v>
      </c>
      <c r="L83" s="17">
        <v>1</v>
      </c>
      <c r="M83" s="591">
        <v>1803.85</v>
      </c>
      <c r="N83" s="3" t="s">
        <v>259</v>
      </c>
      <c r="O83" s="14">
        <v>45000</v>
      </c>
      <c r="P83" s="13" t="str">
        <f>HYPERLINK("https://my.zakupki.prom.ua/remote/dispatcher/state_purchase_view/41426342", "UA-2023-03-15-006405-a")</f>
        <v>UA-2023-03-15-006405-a</v>
      </c>
      <c r="Q83" s="30">
        <f>2164.56335/1.2</f>
        <v>1803.8027916666667</v>
      </c>
      <c r="R83" s="17">
        <v>1</v>
      </c>
      <c r="S83" s="30">
        <f>2164.56335/1.2</f>
        <v>1803.8027916666667</v>
      </c>
      <c r="T83" s="31">
        <v>45016</v>
      </c>
      <c r="U83" s="30"/>
      <c r="V83" s="30"/>
    </row>
    <row r="84" spans="1:22" ht="78" x14ac:dyDescent="0.3">
      <c r="A84" s="30">
        <v>80</v>
      </c>
      <c r="B84" s="30" t="s">
        <v>40</v>
      </c>
      <c r="C84" s="12" t="s">
        <v>41</v>
      </c>
      <c r="D84" s="30" t="s">
        <v>58</v>
      </c>
      <c r="E84" s="30" t="s">
        <v>88</v>
      </c>
      <c r="F84" s="12" t="s">
        <v>149</v>
      </c>
      <c r="G84" s="12" t="s">
        <v>184</v>
      </c>
      <c r="H84" s="591">
        <v>1746.94</v>
      </c>
      <c r="I84" s="17">
        <v>1</v>
      </c>
      <c r="J84" s="591">
        <v>1746.94</v>
      </c>
      <c r="K84" s="591">
        <v>1746.94</v>
      </c>
      <c r="L84" s="17">
        <v>1</v>
      </c>
      <c r="M84" s="591">
        <v>1746.94</v>
      </c>
      <c r="N84" s="3" t="s">
        <v>260</v>
      </c>
      <c r="O84" s="14">
        <v>45000</v>
      </c>
      <c r="P84" s="13" t="str">
        <f>HYPERLINK("https://my.zakupki.prom.ua/remote/dispatcher/state_purchase_view/41425999", "UA-2023-03-15-006274-a")</f>
        <v>UA-2023-03-15-006274-a</v>
      </c>
      <c r="Q84" s="30">
        <f>2096.01493/1.2</f>
        <v>1746.6791083333333</v>
      </c>
      <c r="R84" s="17">
        <v>1</v>
      </c>
      <c r="S84" s="30">
        <f>2096.01493/1.2</f>
        <v>1746.6791083333333</v>
      </c>
      <c r="T84" s="31">
        <v>45016</v>
      </c>
      <c r="U84" s="30"/>
      <c r="V84" s="30"/>
    </row>
    <row r="85" spans="1:22" ht="62.4" x14ac:dyDescent="0.3">
      <c r="A85" s="30">
        <v>81</v>
      </c>
      <c r="B85" s="30" t="s">
        <v>40</v>
      </c>
      <c r="C85" s="12" t="s">
        <v>41</v>
      </c>
      <c r="D85" s="30"/>
      <c r="E85" s="30" t="s">
        <v>88</v>
      </c>
      <c r="F85" s="12" t="s">
        <v>150</v>
      </c>
      <c r="G85" s="12" t="s">
        <v>184</v>
      </c>
      <c r="H85" s="591">
        <v>1061.1895</v>
      </c>
      <c r="I85" s="17">
        <v>1</v>
      </c>
      <c r="J85" s="591">
        <v>1061.1895</v>
      </c>
      <c r="K85" s="591">
        <v>1061.1895</v>
      </c>
      <c r="L85" s="17">
        <v>1</v>
      </c>
      <c r="M85" s="591">
        <v>1061.1895</v>
      </c>
      <c r="N85" s="3" t="s">
        <v>261</v>
      </c>
      <c r="O85" s="14">
        <v>45005</v>
      </c>
      <c r="P85" s="13" t="str">
        <f>HYPERLINK("https://my.zakupki.prom.ua/remote/dispatcher/state_purchase_view/41521877", "UA-2023-03-20-011139-a")</f>
        <v>UA-2023-03-20-011139-a</v>
      </c>
      <c r="Q85" s="30">
        <f>1273.4274/1.2</f>
        <v>1061.1895000000002</v>
      </c>
      <c r="R85" s="17">
        <v>1</v>
      </c>
      <c r="S85" s="30">
        <f>1273.4274/1.2</f>
        <v>1061.1895000000002</v>
      </c>
      <c r="T85" s="14">
        <v>45005</v>
      </c>
      <c r="U85" s="30"/>
      <c r="V85" s="30" t="s">
        <v>59</v>
      </c>
    </row>
    <row r="86" spans="1:22" ht="78" x14ac:dyDescent="0.3">
      <c r="A86" s="30">
        <v>82</v>
      </c>
      <c r="B86" s="30" t="s">
        <v>40</v>
      </c>
      <c r="C86" s="12" t="s">
        <v>41</v>
      </c>
      <c r="D86" s="30"/>
      <c r="E86" s="30" t="s">
        <v>88</v>
      </c>
      <c r="F86" s="12" t="s">
        <v>151</v>
      </c>
      <c r="G86" s="12" t="s">
        <v>184</v>
      </c>
      <c r="H86" s="591">
        <v>580.37230833333331</v>
      </c>
      <c r="I86" s="17">
        <v>1</v>
      </c>
      <c r="J86" s="591">
        <v>580.37230833333331</v>
      </c>
      <c r="K86" s="591">
        <v>580.37230833333331</v>
      </c>
      <c r="L86" s="17">
        <v>1</v>
      </c>
      <c r="M86" s="591">
        <v>580.37230833333331</v>
      </c>
      <c r="N86" s="3" t="s">
        <v>262</v>
      </c>
      <c r="O86" s="14">
        <v>45005</v>
      </c>
      <c r="P86" s="13" t="str">
        <f>HYPERLINK("https://my.zakupki.prom.ua/remote/dispatcher/state_purchase_view/41521176", "UA-2023-03-20-010821-a")</f>
        <v>UA-2023-03-20-010821-a</v>
      </c>
      <c r="Q86" s="30">
        <v>580.37230999999997</v>
      </c>
      <c r="R86" s="17">
        <v>1</v>
      </c>
      <c r="S86" s="30">
        <v>580.37230999999997</v>
      </c>
      <c r="T86" s="14">
        <v>45005</v>
      </c>
      <c r="U86" s="30"/>
      <c r="V86" s="30" t="s">
        <v>59</v>
      </c>
    </row>
    <row r="87" spans="1:22" ht="62.4" x14ac:dyDescent="0.3">
      <c r="A87" s="30">
        <v>83</v>
      </c>
      <c r="B87" s="30" t="s">
        <v>40</v>
      </c>
      <c r="C87" s="12" t="s">
        <v>41</v>
      </c>
      <c r="D87" s="30"/>
      <c r="E87" s="30" t="s">
        <v>88</v>
      </c>
      <c r="F87" s="12" t="s">
        <v>152</v>
      </c>
      <c r="G87" s="12" t="s">
        <v>184</v>
      </c>
      <c r="H87" s="591">
        <v>1126.4987166666667</v>
      </c>
      <c r="I87" s="17">
        <v>1</v>
      </c>
      <c r="J87" s="591">
        <v>1126.4987166666667</v>
      </c>
      <c r="K87" s="591">
        <v>1126.4987166666667</v>
      </c>
      <c r="L87" s="17">
        <v>1</v>
      </c>
      <c r="M87" s="591">
        <v>1126.4987166666667</v>
      </c>
      <c r="N87" s="3" t="s">
        <v>263</v>
      </c>
      <c r="O87" s="14">
        <v>45005</v>
      </c>
      <c r="P87" s="13" t="str">
        <f>HYPERLINK("https://my.zakupki.prom.ua/remote/dispatcher/state_purchase_view/41520898", "UA-2023-03-20-010690-a")</f>
        <v>UA-2023-03-20-010690-a</v>
      </c>
      <c r="Q87" s="30">
        <v>1126.49872</v>
      </c>
      <c r="R87" s="17">
        <v>1</v>
      </c>
      <c r="S87" s="30">
        <v>1126.49872</v>
      </c>
      <c r="T87" s="14">
        <v>45005</v>
      </c>
      <c r="U87" s="30"/>
      <c r="V87" s="30" t="s">
        <v>59</v>
      </c>
    </row>
    <row r="88" spans="1:22" ht="62.4" x14ac:dyDescent="0.3">
      <c r="A88" s="30">
        <v>84</v>
      </c>
      <c r="B88" s="30" t="s">
        <v>40</v>
      </c>
      <c r="C88" s="12" t="s">
        <v>41</v>
      </c>
      <c r="D88" s="30"/>
      <c r="E88" s="30" t="s">
        <v>88</v>
      </c>
      <c r="F88" s="12" t="s">
        <v>153</v>
      </c>
      <c r="G88" s="12" t="s">
        <v>184</v>
      </c>
      <c r="H88" s="591">
        <v>1059.8841916666665</v>
      </c>
      <c r="I88" s="17">
        <v>1</v>
      </c>
      <c r="J88" s="591">
        <v>1059.8841916666665</v>
      </c>
      <c r="K88" s="591">
        <v>1059.8841916666665</v>
      </c>
      <c r="L88" s="17">
        <v>1</v>
      </c>
      <c r="M88" s="591">
        <v>1059.8841916666665</v>
      </c>
      <c r="N88" s="3" t="s">
        <v>264</v>
      </c>
      <c r="O88" s="14">
        <v>45005</v>
      </c>
      <c r="P88" s="13" t="str">
        <f>HYPERLINK("https://my.zakupki.prom.ua/remote/dispatcher/state_purchase_view/41520613", "UA-2023-03-20-010574-a")</f>
        <v>UA-2023-03-20-010574-a</v>
      </c>
      <c r="Q88" s="30">
        <v>1059.88419</v>
      </c>
      <c r="R88" s="17">
        <v>1</v>
      </c>
      <c r="S88" s="30">
        <v>1059.88419</v>
      </c>
      <c r="T88" s="14">
        <v>45005</v>
      </c>
      <c r="U88" s="30"/>
      <c r="V88" s="30" t="s">
        <v>59</v>
      </c>
    </row>
    <row r="89" spans="1:22" ht="78" x14ac:dyDescent="0.3">
      <c r="A89" s="30">
        <v>85</v>
      </c>
      <c r="B89" s="30" t="s">
        <v>40</v>
      </c>
      <c r="C89" s="12" t="s">
        <v>41</v>
      </c>
      <c r="D89" s="30"/>
      <c r="E89" s="30" t="s">
        <v>88</v>
      </c>
      <c r="F89" s="12" t="s">
        <v>154</v>
      </c>
      <c r="G89" s="12" t="s">
        <v>184</v>
      </c>
      <c r="H89" s="591">
        <v>379.50758333333329</v>
      </c>
      <c r="I89" s="17">
        <v>1</v>
      </c>
      <c r="J89" s="591">
        <v>379.50758333333329</v>
      </c>
      <c r="K89" s="591">
        <v>379.50758333333329</v>
      </c>
      <c r="L89" s="17">
        <v>1</v>
      </c>
      <c r="M89" s="591">
        <v>379.50758333333329</v>
      </c>
      <c r="N89" s="3" t="s">
        <v>265</v>
      </c>
      <c r="O89" s="14">
        <v>45005</v>
      </c>
      <c r="P89" s="13" t="str">
        <f>HYPERLINK("https://my.zakupki.prom.ua/remote/dispatcher/state_purchase_view/41520444", "UA-2023-03-20-010476-a")</f>
        <v>UA-2023-03-20-010476-a</v>
      </c>
      <c r="Q89" s="30">
        <v>379.50758999999999</v>
      </c>
      <c r="R89" s="17">
        <v>1</v>
      </c>
      <c r="S89" s="30">
        <v>379.50758999999999</v>
      </c>
      <c r="T89" s="14">
        <v>45005</v>
      </c>
      <c r="U89" s="30"/>
      <c r="V89" s="30" t="s">
        <v>59</v>
      </c>
    </row>
    <row r="90" spans="1:22" ht="62.4" x14ac:dyDescent="0.3">
      <c r="A90" s="30">
        <v>86</v>
      </c>
      <c r="B90" s="30" t="s">
        <v>40</v>
      </c>
      <c r="C90" s="12" t="s">
        <v>41</v>
      </c>
      <c r="D90" s="30"/>
      <c r="E90" s="30" t="s">
        <v>88</v>
      </c>
      <c r="F90" s="12" t="s">
        <v>155</v>
      </c>
      <c r="G90" s="12" t="s">
        <v>184</v>
      </c>
      <c r="H90" s="591">
        <v>218.54481666666672</v>
      </c>
      <c r="I90" s="17">
        <v>1</v>
      </c>
      <c r="J90" s="591">
        <v>218.54481666666672</v>
      </c>
      <c r="K90" s="591">
        <v>218.54481666666672</v>
      </c>
      <c r="L90" s="17">
        <v>1</v>
      </c>
      <c r="M90" s="591">
        <v>218.54481666666672</v>
      </c>
      <c r="N90" s="3" t="s">
        <v>266</v>
      </c>
      <c r="O90" s="14">
        <v>45005</v>
      </c>
      <c r="P90" s="13" t="str">
        <f>HYPERLINK("https://my.zakupki.prom.ua/remote/dispatcher/state_purchase_view/41520379", "UA-2023-03-20-010412-a")</f>
        <v>UA-2023-03-20-010412-a</v>
      </c>
      <c r="Q90" s="30">
        <v>218.54481699999999</v>
      </c>
      <c r="R90" s="17">
        <v>1</v>
      </c>
      <c r="S90" s="30">
        <v>218.54481699999999</v>
      </c>
      <c r="T90" s="14">
        <v>45005</v>
      </c>
      <c r="U90" s="30"/>
      <c r="V90" s="30" t="s">
        <v>59</v>
      </c>
    </row>
    <row r="91" spans="1:22" ht="78" x14ac:dyDescent="0.3">
      <c r="A91" s="30">
        <v>87</v>
      </c>
      <c r="B91" s="30" t="s">
        <v>40</v>
      </c>
      <c r="C91" s="12" t="s">
        <v>41</v>
      </c>
      <c r="D91" s="30"/>
      <c r="E91" s="30" t="s">
        <v>88</v>
      </c>
      <c r="F91" s="12" t="s">
        <v>156</v>
      </c>
      <c r="G91" s="12" t="s">
        <v>184</v>
      </c>
      <c r="H91" s="591">
        <v>315.9595333333333</v>
      </c>
      <c r="I91" s="17">
        <v>1</v>
      </c>
      <c r="J91" s="591">
        <v>315.9595333333333</v>
      </c>
      <c r="K91" s="591">
        <v>315.9595333333333</v>
      </c>
      <c r="L91" s="17">
        <v>1</v>
      </c>
      <c r="M91" s="591">
        <v>315.9595333333333</v>
      </c>
      <c r="N91" s="3" t="s">
        <v>267</v>
      </c>
      <c r="O91" s="14">
        <v>45005</v>
      </c>
      <c r="P91" s="13" t="str">
        <f>HYPERLINK("https://my.zakupki.prom.ua/remote/dispatcher/state_purchase_view/41520214", "UA-2023-03-20-010365-a")</f>
        <v>UA-2023-03-20-010365-a</v>
      </c>
      <c r="Q91" s="30">
        <v>315.95952999999997</v>
      </c>
      <c r="R91" s="17">
        <v>1</v>
      </c>
      <c r="S91" s="30">
        <v>315.95952999999997</v>
      </c>
      <c r="T91" s="14">
        <v>45005</v>
      </c>
      <c r="U91" s="30"/>
      <c r="V91" s="30" t="s">
        <v>59</v>
      </c>
    </row>
    <row r="92" spans="1:22" ht="62.4" x14ac:dyDescent="0.3">
      <c r="A92" s="30">
        <v>88</v>
      </c>
      <c r="B92" s="30" t="s">
        <v>40</v>
      </c>
      <c r="C92" s="12" t="s">
        <v>41</v>
      </c>
      <c r="D92" s="30"/>
      <c r="E92" s="30" t="s">
        <v>88</v>
      </c>
      <c r="F92" s="12" t="s">
        <v>157</v>
      </c>
      <c r="G92" s="12" t="s">
        <v>184</v>
      </c>
      <c r="H92" s="591">
        <v>421.47824166666669</v>
      </c>
      <c r="I92" s="17">
        <v>1</v>
      </c>
      <c r="J92" s="591">
        <v>421.47824166666669</v>
      </c>
      <c r="K92" s="591">
        <v>421.47824166666669</v>
      </c>
      <c r="L92" s="17">
        <v>1</v>
      </c>
      <c r="M92" s="591">
        <v>421.47824166666669</v>
      </c>
      <c r="N92" s="3" t="s">
        <v>268</v>
      </c>
      <c r="O92" s="14">
        <v>45005</v>
      </c>
      <c r="P92" s="13" t="str">
        <f>HYPERLINK("https://my.zakupki.prom.ua/remote/dispatcher/state_purchase_view/41520193", "UA-2023-03-20-010348-a")</f>
        <v>UA-2023-03-20-010348-a</v>
      </c>
      <c r="Q92" s="30">
        <v>421.47824000000003</v>
      </c>
      <c r="R92" s="17">
        <v>1</v>
      </c>
      <c r="S92" s="30">
        <v>421.47824000000003</v>
      </c>
      <c r="T92" s="14">
        <v>45005</v>
      </c>
      <c r="U92" s="30"/>
      <c r="V92" s="30" t="s">
        <v>59</v>
      </c>
    </row>
    <row r="93" spans="1:22" ht="78" x14ac:dyDescent="0.3">
      <c r="A93" s="30">
        <v>89</v>
      </c>
      <c r="B93" s="30" t="s">
        <v>40</v>
      </c>
      <c r="C93" s="12" t="s">
        <v>41</v>
      </c>
      <c r="D93" s="30"/>
      <c r="E93" s="30" t="s">
        <v>88</v>
      </c>
      <c r="F93" s="12" t="s">
        <v>158</v>
      </c>
      <c r="G93" s="12" t="s">
        <v>184</v>
      </c>
      <c r="H93" s="591">
        <v>750.01798333333329</v>
      </c>
      <c r="I93" s="17">
        <v>1</v>
      </c>
      <c r="J93" s="591">
        <v>750.01798333333329</v>
      </c>
      <c r="K93" s="591">
        <v>750.01798333333329</v>
      </c>
      <c r="L93" s="17">
        <v>1</v>
      </c>
      <c r="M93" s="591">
        <v>750.01798333333329</v>
      </c>
      <c r="N93" s="3" t="s">
        <v>269</v>
      </c>
      <c r="O93" s="14">
        <v>45005</v>
      </c>
      <c r="P93" s="13" t="str">
        <f>HYPERLINK("https://my.zakupki.prom.ua/remote/dispatcher/state_purchase_view/41520067", "UA-2023-03-20-010273-a")</f>
        <v>UA-2023-03-20-010273-a</v>
      </c>
      <c r="Q93" s="30">
        <v>750.01799000000005</v>
      </c>
      <c r="R93" s="17">
        <v>1</v>
      </c>
      <c r="S93" s="30">
        <v>750.01799000000005</v>
      </c>
      <c r="T93" s="14">
        <v>45005</v>
      </c>
      <c r="U93" s="30"/>
      <c r="V93" s="30" t="s">
        <v>59</v>
      </c>
    </row>
    <row r="94" spans="1:22" ht="78" x14ac:dyDescent="0.3">
      <c r="A94" s="30">
        <v>90</v>
      </c>
      <c r="B94" s="30" t="s">
        <v>40</v>
      </c>
      <c r="C94" s="12" t="s">
        <v>41</v>
      </c>
      <c r="D94" s="30"/>
      <c r="E94" s="30" t="s">
        <v>88</v>
      </c>
      <c r="F94" s="12" t="s">
        <v>159</v>
      </c>
      <c r="G94" s="12" t="s">
        <v>184</v>
      </c>
      <c r="H94" s="591">
        <v>337.77145833333338</v>
      </c>
      <c r="I94" s="17">
        <v>1</v>
      </c>
      <c r="J94" s="591">
        <v>337.77145833333338</v>
      </c>
      <c r="K94" s="591">
        <v>337.77145833333338</v>
      </c>
      <c r="L94" s="17">
        <v>1</v>
      </c>
      <c r="M94" s="591">
        <v>337.77145833333338</v>
      </c>
      <c r="N94" s="3" t="s">
        <v>270</v>
      </c>
      <c r="O94" s="14">
        <v>45005</v>
      </c>
      <c r="P94" s="13" t="str">
        <f>HYPERLINK("https://my.zakupki.prom.ua/remote/dispatcher/state_purchase_view/41519874", "UA-2023-03-20-010255-a")</f>
        <v>UA-2023-03-20-010255-a</v>
      </c>
      <c r="Q94" s="30">
        <v>337.77145999999999</v>
      </c>
      <c r="R94" s="17">
        <v>1</v>
      </c>
      <c r="S94" s="30">
        <v>337.77145999999999</v>
      </c>
      <c r="T94" s="14">
        <v>45005</v>
      </c>
      <c r="U94" s="30"/>
      <c r="V94" s="30" t="s">
        <v>59</v>
      </c>
    </row>
    <row r="95" spans="1:22" ht="62.4" x14ac:dyDescent="0.3">
      <c r="A95" s="30">
        <v>91</v>
      </c>
      <c r="B95" s="30" t="s">
        <v>40</v>
      </c>
      <c r="C95" s="12" t="s">
        <v>41</v>
      </c>
      <c r="D95" s="30"/>
      <c r="E95" s="30" t="s">
        <v>88</v>
      </c>
      <c r="F95" s="12" t="s">
        <v>160</v>
      </c>
      <c r="G95" s="12" t="s">
        <v>184</v>
      </c>
      <c r="H95" s="591">
        <v>239.70174166666669</v>
      </c>
      <c r="I95" s="17">
        <v>1</v>
      </c>
      <c r="J95" s="591">
        <v>239.70174166666669</v>
      </c>
      <c r="K95" s="591">
        <v>239.70174166666669</v>
      </c>
      <c r="L95" s="17">
        <v>1</v>
      </c>
      <c r="M95" s="591">
        <v>239.70174166666669</v>
      </c>
      <c r="N95" s="3" t="s">
        <v>271</v>
      </c>
      <c r="O95" s="14">
        <v>45005</v>
      </c>
      <c r="P95" s="13" t="str">
        <f>HYPERLINK("https://my.zakupki.prom.ua/remote/dispatcher/state_purchase_view/41519753", "UA-2023-03-20-010178-a")</f>
        <v>UA-2023-03-20-010178-a</v>
      </c>
      <c r="Q95" s="30">
        <v>239.70174</v>
      </c>
      <c r="R95" s="17">
        <v>1</v>
      </c>
      <c r="S95" s="30">
        <v>239.70174</v>
      </c>
      <c r="T95" s="14">
        <v>45005</v>
      </c>
      <c r="U95" s="30"/>
      <c r="V95" s="30" t="s">
        <v>59</v>
      </c>
    </row>
    <row r="96" spans="1:22" ht="78" x14ac:dyDescent="0.3">
      <c r="A96" s="30">
        <v>92</v>
      </c>
      <c r="B96" s="30" t="s">
        <v>40</v>
      </c>
      <c r="C96" s="12" t="s">
        <v>41</v>
      </c>
      <c r="D96" s="30"/>
      <c r="E96" s="30" t="s">
        <v>88</v>
      </c>
      <c r="F96" s="12" t="s">
        <v>161</v>
      </c>
      <c r="G96" s="12" t="s">
        <v>184</v>
      </c>
      <c r="H96" s="591">
        <v>274.92998333333333</v>
      </c>
      <c r="I96" s="17">
        <v>1</v>
      </c>
      <c r="J96" s="591">
        <v>274.92998333333333</v>
      </c>
      <c r="K96" s="591">
        <v>274.92998333333333</v>
      </c>
      <c r="L96" s="17">
        <v>1</v>
      </c>
      <c r="M96" s="591">
        <v>274.92998333333333</v>
      </c>
      <c r="N96" s="3" t="s">
        <v>272</v>
      </c>
      <c r="O96" s="14">
        <v>45005</v>
      </c>
      <c r="P96" s="13" t="str">
        <f>HYPERLINK("https://my.zakupki.prom.ua/remote/dispatcher/state_purchase_view/41519653", "UA-2023-03-20-010114-a")</f>
        <v>UA-2023-03-20-010114-a</v>
      </c>
      <c r="Q96" s="30">
        <v>274.92998</v>
      </c>
      <c r="R96" s="17">
        <v>1</v>
      </c>
      <c r="S96" s="30">
        <v>274.92998</v>
      </c>
      <c r="T96" s="14">
        <v>45005</v>
      </c>
      <c r="U96" s="30"/>
      <c r="V96" s="30" t="s">
        <v>59</v>
      </c>
    </row>
    <row r="97" spans="1:22" ht="62.4" x14ac:dyDescent="0.3">
      <c r="A97" s="30">
        <v>93</v>
      </c>
      <c r="B97" s="30" t="s">
        <v>40</v>
      </c>
      <c r="C97" s="12" t="s">
        <v>41</v>
      </c>
      <c r="D97" s="30"/>
      <c r="E97" s="30" t="s">
        <v>88</v>
      </c>
      <c r="F97" s="12" t="s">
        <v>162</v>
      </c>
      <c r="G97" s="12" t="s">
        <v>184</v>
      </c>
      <c r="H97" s="591">
        <v>322.49216666666666</v>
      </c>
      <c r="I97" s="17">
        <v>1</v>
      </c>
      <c r="J97" s="591">
        <v>322.49216666666666</v>
      </c>
      <c r="K97" s="591">
        <v>322.49216666666666</v>
      </c>
      <c r="L97" s="17">
        <v>1</v>
      </c>
      <c r="M97" s="591">
        <v>322.49216666666666</v>
      </c>
      <c r="N97" s="3" t="s">
        <v>273</v>
      </c>
      <c r="O97" s="14">
        <v>45005</v>
      </c>
      <c r="P97" s="13" t="str">
        <f>HYPERLINK("https://my.zakupki.prom.ua/remote/dispatcher/state_purchase_view/41519552", "UA-2023-03-20-010049-a")</f>
        <v>UA-2023-03-20-010049-a</v>
      </c>
      <c r="Q97" s="30">
        <v>322.49216000000001</v>
      </c>
      <c r="R97" s="17">
        <v>1</v>
      </c>
      <c r="S97" s="30">
        <v>322.49216000000001</v>
      </c>
      <c r="T97" s="14">
        <v>45005</v>
      </c>
      <c r="U97" s="30"/>
      <c r="V97" s="30" t="s">
        <v>59</v>
      </c>
    </row>
    <row r="98" spans="1:22" ht="78" x14ac:dyDescent="0.3">
      <c r="A98" s="30">
        <v>94</v>
      </c>
      <c r="B98" s="30" t="s">
        <v>40</v>
      </c>
      <c r="C98" s="12" t="s">
        <v>41</v>
      </c>
      <c r="D98" s="30"/>
      <c r="E98" s="30" t="s">
        <v>88</v>
      </c>
      <c r="F98" s="12" t="s">
        <v>163</v>
      </c>
      <c r="G98" s="12" t="s">
        <v>184</v>
      </c>
      <c r="H98" s="591">
        <v>390.85191666666668</v>
      </c>
      <c r="I98" s="17">
        <v>1</v>
      </c>
      <c r="J98" s="591">
        <v>390.85191666666668</v>
      </c>
      <c r="K98" s="591">
        <v>390.85191666666668</v>
      </c>
      <c r="L98" s="17">
        <v>1</v>
      </c>
      <c r="M98" s="591">
        <v>390.85191666666668</v>
      </c>
      <c r="N98" s="3" t="s">
        <v>274</v>
      </c>
      <c r="O98" s="14">
        <v>45005</v>
      </c>
      <c r="P98" s="13" t="str">
        <f>HYPERLINK("https://my.zakupki.prom.ua/remote/dispatcher/state_purchase_view/41519534", "UA-2023-03-20-010028-a")</f>
        <v>UA-2023-03-20-010028-a</v>
      </c>
      <c r="Q98" s="30">
        <v>390.85192000000001</v>
      </c>
      <c r="R98" s="17">
        <v>1</v>
      </c>
      <c r="S98" s="30">
        <v>390.85192000000001</v>
      </c>
      <c r="T98" s="14">
        <v>45005</v>
      </c>
      <c r="U98" s="30"/>
      <c r="V98" s="30" t="s">
        <v>59</v>
      </c>
    </row>
    <row r="99" spans="1:22" ht="78" x14ac:dyDescent="0.3">
      <c r="A99" s="30">
        <v>95</v>
      </c>
      <c r="B99" s="30" t="s">
        <v>40</v>
      </c>
      <c r="C99" s="12" t="s">
        <v>41</v>
      </c>
      <c r="D99" s="30"/>
      <c r="E99" s="30" t="s">
        <v>88</v>
      </c>
      <c r="F99" s="12" t="s">
        <v>164</v>
      </c>
      <c r="G99" s="12" t="s">
        <v>184</v>
      </c>
      <c r="H99" s="591">
        <v>742.09535000000005</v>
      </c>
      <c r="I99" s="17">
        <v>1</v>
      </c>
      <c r="J99" s="591">
        <v>742.09535000000005</v>
      </c>
      <c r="K99" s="591">
        <v>742.09535000000005</v>
      </c>
      <c r="L99" s="17">
        <v>1</v>
      </c>
      <c r="M99" s="591">
        <v>742.09535000000005</v>
      </c>
      <c r="N99" s="3" t="s">
        <v>275</v>
      </c>
      <c r="O99" s="14">
        <v>45005</v>
      </c>
      <c r="P99" s="13" t="str">
        <f>HYPERLINK("https://my.zakupki.prom.ua/remote/dispatcher/state_purchase_view/41519330", "UA-2023-03-20-010007-a")</f>
        <v>UA-2023-03-20-010007-a</v>
      </c>
      <c r="Q99" s="30">
        <v>742.09535000000005</v>
      </c>
      <c r="R99" s="17">
        <v>1</v>
      </c>
      <c r="S99" s="30">
        <v>742.09535000000005</v>
      </c>
      <c r="T99" s="14">
        <v>45005</v>
      </c>
      <c r="U99" s="30"/>
      <c r="V99" s="30" t="s">
        <v>59</v>
      </c>
    </row>
    <row r="100" spans="1:22" ht="62.4" x14ac:dyDescent="0.3">
      <c r="A100" s="30">
        <v>96</v>
      </c>
      <c r="B100" s="30" t="s">
        <v>40</v>
      </c>
      <c r="C100" s="12" t="s">
        <v>41</v>
      </c>
      <c r="D100" s="30"/>
      <c r="E100" s="30" t="s">
        <v>88</v>
      </c>
      <c r="F100" s="12" t="s">
        <v>165</v>
      </c>
      <c r="G100" s="12" t="s">
        <v>184</v>
      </c>
      <c r="H100" s="591">
        <v>365.38350000000003</v>
      </c>
      <c r="I100" s="17">
        <v>1</v>
      </c>
      <c r="J100" s="591">
        <v>365.38350000000003</v>
      </c>
      <c r="K100" s="591">
        <v>365.38350000000003</v>
      </c>
      <c r="L100" s="17">
        <v>1</v>
      </c>
      <c r="M100" s="591">
        <v>365.38350000000003</v>
      </c>
      <c r="N100" s="3" t="s">
        <v>276</v>
      </c>
      <c r="O100" s="14">
        <v>45005</v>
      </c>
      <c r="P100" s="13" t="str">
        <f>HYPERLINK("https://my.zakupki.prom.ua/remote/dispatcher/state_purchase_view/41519085", "UA-2023-03-20-009888-a")</f>
        <v>UA-2023-03-20-009888-a</v>
      </c>
      <c r="Q100" s="30">
        <v>365.38350000000003</v>
      </c>
      <c r="R100" s="17">
        <v>1</v>
      </c>
      <c r="S100" s="30">
        <v>365.38350000000003</v>
      </c>
      <c r="T100" s="14">
        <v>45005</v>
      </c>
      <c r="U100" s="30"/>
      <c r="V100" s="30" t="s">
        <v>59</v>
      </c>
    </row>
    <row r="101" spans="1:22" ht="62.4" x14ac:dyDescent="0.3">
      <c r="A101" s="30">
        <v>97</v>
      </c>
      <c r="B101" s="30" t="s">
        <v>40</v>
      </c>
      <c r="C101" s="12" t="s">
        <v>73</v>
      </c>
      <c r="D101" s="30"/>
      <c r="E101" s="30" t="s">
        <v>75</v>
      </c>
      <c r="F101" s="12" t="s">
        <v>166</v>
      </c>
      <c r="G101" s="12" t="s">
        <v>184</v>
      </c>
      <c r="H101" s="591">
        <v>1245.8333</v>
      </c>
      <c r="I101" s="17">
        <v>1</v>
      </c>
      <c r="J101" s="591">
        <v>1245.8333</v>
      </c>
      <c r="K101" s="591">
        <v>1245.8333</v>
      </c>
      <c r="L101" s="17">
        <v>1</v>
      </c>
      <c r="M101" s="591">
        <v>1245.8333</v>
      </c>
      <c r="N101" s="3" t="s">
        <v>277</v>
      </c>
      <c r="O101" s="14">
        <v>45005</v>
      </c>
      <c r="P101" s="13" t="str">
        <f>HYPERLINK("https://my.zakupki.prom.ua/remote/dispatcher/state_purchase_view/41512826", "UA-2023-03-20-007084-a")</f>
        <v>UA-2023-03-20-007084-a</v>
      </c>
      <c r="Q101" s="30">
        <v>1245.8333</v>
      </c>
      <c r="R101" s="17">
        <v>1</v>
      </c>
      <c r="S101" s="30">
        <v>1245.8333</v>
      </c>
      <c r="T101" s="14">
        <v>45005</v>
      </c>
      <c r="U101" s="30"/>
      <c r="V101" s="30" t="s">
        <v>59</v>
      </c>
    </row>
    <row r="102" spans="1:22" ht="46.8" x14ac:dyDescent="0.3">
      <c r="A102" s="30">
        <v>98</v>
      </c>
      <c r="B102" s="30" t="s">
        <v>21</v>
      </c>
      <c r="C102" s="12" t="s">
        <v>32</v>
      </c>
      <c r="D102" s="30" t="s">
        <v>58</v>
      </c>
      <c r="E102" s="30" t="s">
        <v>88</v>
      </c>
      <c r="F102" s="12" t="s">
        <v>167</v>
      </c>
      <c r="G102" s="12" t="s">
        <v>185</v>
      </c>
      <c r="H102" s="589"/>
      <c r="I102" s="17">
        <v>979</v>
      </c>
      <c r="J102" s="591">
        <v>727.25</v>
      </c>
      <c r="K102" s="589"/>
      <c r="L102" s="30">
        <v>979</v>
      </c>
      <c r="M102" s="589">
        <f>872.7/1.2</f>
        <v>727.25000000000011</v>
      </c>
      <c r="N102" s="3" t="s">
        <v>278</v>
      </c>
      <c r="O102" s="14">
        <v>45005</v>
      </c>
      <c r="P102" s="13" t="str">
        <f>HYPERLINK("https://my.zakupki.prom.ua/remote/dispatcher/state_purchase_view/41510975", "UA-2023-03-20-006270-a")</f>
        <v>UA-2023-03-20-006270-a</v>
      </c>
      <c r="Q102" s="30"/>
      <c r="R102" s="17">
        <v>939</v>
      </c>
      <c r="S102" s="30">
        <f>662.7/1.2</f>
        <v>552.25000000000011</v>
      </c>
      <c r="T102" s="31">
        <v>45019</v>
      </c>
      <c r="U102" s="30"/>
      <c r="V102" s="30"/>
    </row>
    <row r="103" spans="1:22" ht="78" x14ac:dyDescent="0.3">
      <c r="A103" s="30">
        <v>99</v>
      </c>
      <c r="B103" s="30" t="s">
        <v>21</v>
      </c>
      <c r="C103" s="12" t="s">
        <v>173</v>
      </c>
      <c r="D103" s="30" t="s">
        <v>58</v>
      </c>
      <c r="E103" s="30" t="s">
        <v>88</v>
      </c>
      <c r="F103" s="12" t="s">
        <v>168</v>
      </c>
      <c r="G103" s="12" t="s">
        <v>185</v>
      </c>
      <c r="H103" s="589"/>
      <c r="I103" s="17">
        <v>20</v>
      </c>
      <c r="J103" s="591">
        <v>89.4</v>
      </c>
      <c r="K103" s="589"/>
      <c r="L103" s="30">
        <v>20</v>
      </c>
      <c r="M103" s="589">
        <f>107.28/1.2</f>
        <v>89.4</v>
      </c>
      <c r="N103" s="3" t="s">
        <v>279</v>
      </c>
      <c r="O103" s="14">
        <v>45006</v>
      </c>
      <c r="P103" s="13" t="str">
        <f>HYPERLINK("https://my.zakupki.prom.ua/remote/dispatcher/state_purchase_view/41550489", "UA-2023-03-21-011539-a")</f>
        <v>UA-2023-03-21-011539-a</v>
      </c>
      <c r="Q103" s="30"/>
      <c r="R103" s="17"/>
      <c r="S103" s="30"/>
      <c r="T103" s="31"/>
      <c r="U103" s="16" t="s">
        <v>93</v>
      </c>
      <c r="V103" s="30"/>
    </row>
    <row r="104" spans="1:22" ht="46.8" x14ac:dyDescent="0.3">
      <c r="A104" s="30">
        <v>100</v>
      </c>
      <c r="B104" s="30" t="s">
        <v>21</v>
      </c>
      <c r="C104" s="12" t="s">
        <v>173</v>
      </c>
      <c r="D104" s="30" t="s">
        <v>58</v>
      </c>
      <c r="E104" s="30" t="s">
        <v>88</v>
      </c>
      <c r="F104" s="12" t="s">
        <v>169</v>
      </c>
      <c r="G104" s="12" t="s">
        <v>185</v>
      </c>
      <c r="H104" s="589"/>
      <c r="I104" s="17">
        <v>1</v>
      </c>
      <c r="J104" s="591">
        <v>140</v>
      </c>
      <c r="K104" s="589"/>
      <c r="L104" s="30">
        <v>1</v>
      </c>
      <c r="M104" s="589">
        <f>168/1.2</f>
        <v>140</v>
      </c>
      <c r="N104" s="3" t="s">
        <v>280</v>
      </c>
      <c r="O104" s="14">
        <v>45006</v>
      </c>
      <c r="P104" s="13" t="str">
        <f>HYPERLINK("https://my.zakupki.prom.ua/remote/dispatcher/state_purchase_view/41548910", "UA-2023-03-21-010868-a")</f>
        <v>UA-2023-03-21-010868-a</v>
      </c>
      <c r="Q104" s="30"/>
      <c r="R104" s="17">
        <v>1</v>
      </c>
      <c r="S104" s="30">
        <f>167.49/1.2</f>
        <v>139.57500000000002</v>
      </c>
      <c r="T104" s="31">
        <v>45030</v>
      </c>
      <c r="U104" s="30"/>
      <c r="V104" s="30"/>
    </row>
    <row r="105" spans="1:22" ht="78" x14ac:dyDescent="0.3">
      <c r="A105" s="30">
        <v>101</v>
      </c>
      <c r="B105" s="30" t="s">
        <v>40</v>
      </c>
      <c r="C105" s="12" t="s">
        <v>41</v>
      </c>
      <c r="D105" s="30" t="s">
        <v>58</v>
      </c>
      <c r="E105" s="30" t="s">
        <v>88</v>
      </c>
      <c r="F105" s="12" t="s">
        <v>193</v>
      </c>
      <c r="G105" s="12" t="s">
        <v>184</v>
      </c>
      <c r="H105" s="591">
        <v>2679.66</v>
      </c>
      <c r="I105" s="17">
        <v>1</v>
      </c>
      <c r="J105" s="591">
        <v>2679.66</v>
      </c>
      <c r="K105" s="591">
        <v>2679.66</v>
      </c>
      <c r="L105" s="17">
        <v>1</v>
      </c>
      <c r="M105" s="591">
        <v>2679.66</v>
      </c>
      <c r="N105" s="3" t="s">
        <v>281</v>
      </c>
      <c r="O105" s="14">
        <v>45007</v>
      </c>
      <c r="P105" s="13" t="str">
        <f>HYPERLINK("https://my.zakupki.prom.ua/remote/dispatcher/state_purchase_view/41576956", "UA-2023-03-22-010199-a")</f>
        <v>UA-2023-03-22-010199-a</v>
      </c>
      <c r="Q105" s="30"/>
      <c r="R105" s="17">
        <v>1</v>
      </c>
      <c r="S105" s="5">
        <v>2679.66</v>
      </c>
      <c r="T105" s="31">
        <v>45022</v>
      </c>
      <c r="U105" s="30"/>
      <c r="V105" s="30"/>
    </row>
    <row r="106" spans="1:22" ht="46.8" x14ac:dyDescent="0.3">
      <c r="A106" s="30">
        <v>102</v>
      </c>
      <c r="B106" s="30" t="s">
        <v>40</v>
      </c>
      <c r="C106" s="12" t="s">
        <v>41</v>
      </c>
      <c r="D106" s="30" t="s">
        <v>58</v>
      </c>
      <c r="E106" s="30" t="s">
        <v>88</v>
      </c>
      <c r="F106" s="12" t="s">
        <v>357</v>
      </c>
      <c r="G106" s="12" t="s">
        <v>184</v>
      </c>
      <c r="H106" s="591">
        <v>17914.346766666669</v>
      </c>
      <c r="I106" s="17">
        <v>1</v>
      </c>
      <c r="J106" s="591">
        <v>17914.346766666669</v>
      </c>
      <c r="K106" s="591">
        <v>17914.346766666669</v>
      </c>
      <c r="L106" s="17">
        <v>1</v>
      </c>
      <c r="M106" s="591">
        <v>17914.346766666669</v>
      </c>
      <c r="N106" s="3" t="s">
        <v>282</v>
      </c>
      <c r="O106" s="14">
        <v>45007</v>
      </c>
      <c r="P106" s="13" t="str">
        <f>HYPERLINK("https://my.zakupki.prom.ua/remote/dispatcher/state_purchase_view/41563913", "UA-2023-03-22-004354-a")</f>
        <v>UA-2023-03-22-004354-a</v>
      </c>
      <c r="Q106" s="30"/>
      <c r="R106" s="17"/>
      <c r="S106" s="30"/>
      <c r="T106" s="31"/>
      <c r="U106" s="30" t="s">
        <v>457</v>
      </c>
      <c r="V106" s="30"/>
    </row>
    <row r="107" spans="1:22" ht="78" x14ac:dyDescent="0.3">
      <c r="A107" s="30">
        <v>103</v>
      </c>
      <c r="B107" s="30" t="s">
        <v>40</v>
      </c>
      <c r="C107" s="12" t="s">
        <v>41</v>
      </c>
      <c r="D107" s="30" t="s">
        <v>58</v>
      </c>
      <c r="E107" s="30" t="s">
        <v>88</v>
      </c>
      <c r="F107" s="12" t="s">
        <v>358</v>
      </c>
      <c r="G107" s="12" t="s">
        <v>184</v>
      </c>
      <c r="H107" s="589">
        <v>17914.346766666669</v>
      </c>
      <c r="I107" s="17">
        <v>1</v>
      </c>
      <c r="J107" s="591">
        <v>17914.346766666669</v>
      </c>
      <c r="K107" s="589">
        <v>17914.346766666669</v>
      </c>
      <c r="L107" s="17">
        <v>1</v>
      </c>
      <c r="M107" s="591">
        <v>17914.346766666669</v>
      </c>
      <c r="N107" s="3" t="s">
        <v>282</v>
      </c>
      <c r="O107" s="14">
        <v>45007</v>
      </c>
      <c r="P107" s="13" t="str">
        <f>HYPERLINK("https://my.zakupki.prom.ua/remote/dispatcher/state_purchase_view/41563913", "UA-2023-03-22-004354-a")</f>
        <v>UA-2023-03-22-004354-a</v>
      </c>
      <c r="Q107" s="30"/>
      <c r="R107" s="30"/>
      <c r="S107" s="30"/>
      <c r="T107" s="31"/>
      <c r="U107" s="16" t="s">
        <v>93</v>
      </c>
      <c r="V107" s="30"/>
    </row>
    <row r="108" spans="1:22" ht="140.4" x14ac:dyDescent="0.3">
      <c r="A108" s="30">
        <v>104</v>
      </c>
      <c r="B108" s="30" t="s">
        <v>40</v>
      </c>
      <c r="C108" s="12" t="s">
        <v>73</v>
      </c>
      <c r="D108" s="30"/>
      <c r="E108" s="30" t="s">
        <v>75</v>
      </c>
      <c r="F108" s="12" t="s">
        <v>224</v>
      </c>
      <c r="G108" s="12" t="s">
        <v>184</v>
      </c>
      <c r="H108" s="589">
        <v>186.94049166666667</v>
      </c>
      <c r="I108" s="17">
        <v>1</v>
      </c>
      <c r="J108" s="591">
        <f>224328.59/1.2/1000</f>
        <v>186.94049166666667</v>
      </c>
      <c r="K108" s="589">
        <v>186.94049166666667</v>
      </c>
      <c r="L108" s="17">
        <v>1</v>
      </c>
      <c r="M108" s="591">
        <f>224328.59/1.2/1000</f>
        <v>186.94049166666667</v>
      </c>
      <c r="N108" s="3" t="s">
        <v>283</v>
      </c>
      <c r="O108" s="14">
        <v>45008</v>
      </c>
      <c r="P108" s="13" t="str">
        <f>HYPERLINK("https://my.zakupki.prom.ua/remote/dispatcher/state_purchase_view/41607111", "UA-2023-03-23-011146-a")</f>
        <v>UA-2023-03-23-011146-a</v>
      </c>
      <c r="Q108" s="30">
        <f>224.32859/1.2</f>
        <v>186.94049166666667</v>
      </c>
      <c r="R108" s="17">
        <v>1</v>
      </c>
      <c r="S108" s="30">
        <f>224.32859/1.2</f>
        <v>186.94049166666667</v>
      </c>
      <c r="T108" s="14">
        <v>45008</v>
      </c>
      <c r="U108" s="30"/>
      <c r="V108" s="30" t="s">
        <v>59</v>
      </c>
    </row>
    <row r="109" spans="1:22" ht="156" x14ac:dyDescent="0.3">
      <c r="A109" s="30">
        <v>105</v>
      </c>
      <c r="B109" s="30" t="s">
        <v>40</v>
      </c>
      <c r="C109" s="12" t="s">
        <v>73</v>
      </c>
      <c r="D109" s="30"/>
      <c r="E109" s="30" t="s">
        <v>75</v>
      </c>
      <c r="F109" s="12" t="s">
        <v>225</v>
      </c>
      <c r="G109" s="12" t="s">
        <v>184</v>
      </c>
      <c r="H109" s="589">
        <v>176.64009166666668</v>
      </c>
      <c r="I109" s="17">
        <v>1</v>
      </c>
      <c r="J109" s="591">
        <v>176.64009166666668</v>
      </c>
      <c r="K109" s="589">
        <v>176.64009166666668</v>
      </c>
      <c r="L109" s="17">
        <v>1</v>
      </c>
      <c r="M109" s="591">
        <v>176.64009166666668</v>
      </c>
      <c r="N109" s="3" t="s">
        <v>284</v>
      </c>
      <c r="O109" s="14">
        <v>45008</v>
      </c>
      <c r="P109" s="13" t="str">
        <f>HYPERLINK("https://my.zakupki.prom.ua/remote/dispatcher/state_purchase_view/41606604", "UA-2023-03-23-010947-a")</f>
        <v>UA-2023-03-23-010947-a</v>
      </c>
      <c r="Q109" s="30">
        <v>176.64009999999999</v>
      </c>
      <c r="R109" s="17">
        <v>1</v>
      </c>
      <c r="S109" s="30">
        <v>176.64009999999999</v>
      </c>
      <c r="T109" s="14">
        <v>45008</v>
      </c>
      <c r="U109" s="30"/>
      <c r="V109" s="30" t="s">
        <v>59</v>
      </c>
    </row>
    <row r="110" spans="1:22" ht="171.6" x14ac:dyDescent="0.3">
      <c r="A110" s="30">
        <v>106</v>
      </c>
      <c r="B110" s="30" t="s">
        <v>40</v>
      </c>
      <c r="C110" s="12" t="s">
        <v>73</v>
      </c>
      <c r="D110" s="30"/>
      <c r="E110" s="30" t="s">
        <v>75</v>
      </c>
      <c r="F110" s="12" t="s">
        <v>226</v>
      </c>
      <c r="G110" s="12" t="s">
        <v>184</v>
      </c>
      <c r="H110" s="589">
        <v>128.66041666666669</v>
      </c>
      <c r="I110" s="17">
        <v>1</v>
      </c>
      <c r="J110" s="591">
        <v>128.66041666666669</v>
      </c>
      <c r="K110" s="589">
        <v>128.66041666666669</v>
      </c>
      <c r="L110" s="17">
        <v>1</v>
      </c>
      <c r="M110" s="591">
        <v>128.66041666666669</v>
      </c>
      <c r="N110" s="3" t="s">
        <v>285</v>
      </c>
      <c r="O110" s="14">
        <v>45008</v>
      </c>
      <c r="P110" s="13" t="str">
        <f>HYPERLINK("https://my.zakupki.prom.ua/remote/dispatcher/state_purchase_view/41606245", "UA-2023-03-23-010751-a")</f>
        <v>UA-2023-03-23-010751-a</v>
      </c>
      <c r="Q110" s="30">
        <v>128.66041999999999</v>
      </c>
      <c r="R110" s="17">
        <v>1</v>
      </c>
      <c r="S110" s="30">
        <v>128.66041999999999</v>
      </c>
      <c r="T110" s="14">
        <v>45008</v>
      </c>
      <c r="U110" s="30"/>
      <c r="V110" s="30" t="s">
        <v>59</v>
      </c>
    </row>
    <row r="111" spans="1:22" ht="156" x14ac:dyDescent="0.3">
      <c r="A111" s="30">
        <v>107</v>
      </c>
      <c r="B111" s="30" t="s">
        <v>40</v>
      </c>
      <c r="C111" s="12" t="s">
        <v>73</v>
      </c>
      <c r="D111" s="30"/>
      <c r="E111" s="30" t="s">
        <v>75</v>
      </c>
      <c r="F111" s="12" t="s">
        <v>227</v>
      </c>
      <c r="G111" s="12" t="s">
        <v>184</v>
      </c>
      <c r="H111" s="589">
        <v>248.58900000000003</v>
      </c>
      <c r="I111" s="17">
        <v>1</v>
      </c>
      <c r="J111" s="591">
        <v>248.58900000000003</v>
      </c>
      <c r="K111" s="589">
        <v>248.58900000000003</v>
      </c>
      <c r="L111" s="17">
        <v>1</v>
      </c>
      <c r="M111" s="591">
        <v>248.58900000000003</v>
      </c>
      <c r="N111" s="3" t="s">
        <v>286</v>
      </c>
      <c r="O111" s="14">
        <v>45008</v>
      </c>
      <c r="P111" s="13" t="str">
        <f>HYPERLINK("https://my.zakupki.prom.ua/remote/dispatcher/state_purchase_view/41606005", "UA-2023-03-23-010680-a")</f>
        <v>UA-2023-03-23-010680-a</v>
      </c>
      <c r="Q111" s="30">
        <v>248.589</v>
      </c>
      <c r="R111" s="17">
        <v>1</v>
      </c>
      <c r="S111" s="30">
        <v>248.589</v>
      </c>
      <c r="T111" s="14">
        <v>45008</v>
      </c>
      <c r="U111" s="30"/>
      <c r="V111" s="30" t="s">
        <v>59</v>
      </c>
    </row>
    <row r="112" spans="1:22" ht="156" x14ac:dyDescent="0.3">
      <c r="A112" s="30">
        <v>108</v>
      </c>
      <c r="B112" s="30" t="s">
        <v>40</v>
      </c>
      <c r="C112" s="12" t="s">
        <v>73</v>
      </c>
      <c r="D112" s="30"/>
      <c r="E112" s="30" t="s">
        <v>75</v>
      </c>
      <c r="F112" s="12" t="s">
        <v>228</v>
      </c>
      <c r="G112" s="12" t="s">
        <v>184</v>
      </c>
      <c r="H112" s="589">
        <v>192.21574999999999</v>
      </c>
      <c r="I112" s="17">
        <v>1</v>
      </c>
      <c r="J112" s="591">
        <v>192.21574999999999</v>
      </c>
      <c r="K112" s="589">
        <v>192.21574999999999</v>
      </c>
      <c r="L112" s="17">
        <v>1</v>
      </c>
      <c r="M112" s="591">
        <v>192.21574999999999</v>
      </c>
      <c r="N112" s="3" t="s">
        <v>287</v>
      </c>
      <c r="O112" s="14">
        <v>45008</v>
      </c>
      <c r="P112" s="13" t="str">
        <f>HYPERLINK("https://my.zakupki.prom.ua/remote/dispatcher/state_purchase_view/41605692", "UA-2023-03-23-010505-a")</f>
        <v>UA-2023-03-23-010505-a</v>
      </c>
      <c r="Q112" s="30">
        <v>230.65889999999999</v>
      </c>
      <c r="R112" s="17">
        <v>1</v>
      </c>
      <c r="S112" s="30">
        <v>230.65889999999999</v>
      </c>
      <c r="T112" s="14">
        <v>45008</v>
      </c>
      <c r="U112" s="30"/>
      <c r="V112" s="30" t="s">
        <v>59</v>
      </c>
    </row>
    <row r="113" spans="1:22" ht="156" x14ac:dyDescent="0.3">
      <c r="A113" s="30">
        <v>109</v>
      </c>
      <c r="B113" s="30" t="s">
        <v>40</v>
      </c>
      <c r="C113" s="12" t="s">
        <v>73</v>
      </c>
      <c r="D113" s="30"/>
      <c r="E113" s="30" t="s">
        <v>75</v>
      </c>
      <c r="F113" s="12" t="s">
        <v>229</v>
      </c>
      <c r="G113" s="12" t="s">
        <v>184</v>
      </c>
      <c r="H113" s="589">
        <v>201.14333333333335</v>
      </c>
      <c r="I113" s="17">
        <v>1</v>
      </c>
      <c r="J113" s="591">
        <v>201.14333333333335</v>
      </c>
      <c r="K113" s="589">
        <v>201.14333333333335</v>
      </c>
      <c r="L113" s="17">
        <v>1</v>
      </c>
      <c r="M113" s="591">
        <v>201.14333333333335</v>
      </c>
      <c r="N113" s="3" t="s">
        <v>288</v>
      </c>
      <c r="O113" s="14">
        <v>45008</v>
      </c>
      <c r="P113" s="13" t="str">
        <f>HYPERLINK("https://my.zakupki.prom.ua/remote/dispatcher/state_purchase_view/41605571", "UA-2023-03-23-010434-a")</f>
        <v>UA-2023-03-23-010434-a</v>
      </c>
      <c r="Q113" s="30">
        <v>201.14333999999999</v>
      </c>
      <c r="R113" s="17">
        <v>1</v>
      </c>
      <c r="S113" s="30">
        <v>201.14333999999999</v>
      </c>
      <c r="T113" s="14">
        <v>45008</v>
      </c>
      <c r="U113" s="30"/>
      <c r="V113" s="30" t="s">
        <v>59</v>
      </c>
    </row>
    <row r="114" spans="1:22" ht="171.6" x14ac:dyDescent="0.3">
      <c r="A114" s="30">
        <v>110</v>
      </c>
      <c r="B114" s="30" t="s">
        <v>40</v>
      </c>
      <c r="C114" s="12" t="s">
        <v>73</v>
      </c>
      <c r="D114" s="30"/>
      <c r="E114" s="30" t="s">
        <v>75</v>
      </c>
      <c r="F114" s="12" t="s">
        <v>230</v>
      </c>
      <c r="G114" s="12" t="s">
        <v>184</v>
      </c>
      <c r="H114" s="589">
        <v>200.39616666666669</v>
      </c>
      <c r="I114" s="17">
        <v>1</v>
      </c>
      <c r="J114" s="591">
        <v>200.39616666666669</v>
      </c>
      <c r="K114" s="589">
        <v>200.39616666666669</v>
      </c>
      <c r="L114" s="17">
        <v>1</v>
      </c>
      <c r="M114" s="591">
        <v>200.39616666666669</v>
      </c>
      <c r="N114" s="3" t="s">
        <v>289</v>
      </c>
      <c r="O114" s="14">
        <v>45008</v>
      </c>
      <c r="P114" s="13" t="str">
        <f>HYPERLINK("https://my.zakupki.prom.ua/remote/dispatcher/state_purchase_view/41605144", "UA-2023-03-23-010247-a")</f>
        <v>UA-2023-03-23-010247-a</v>
      </c>
      <c r="Q114" s="30">
        <v>200.39617000000001</v>
      </c>
      <c r="R114" s="17">
        <v>1</v>
      </c>
      <c r="S114" s="30">
        <v>200.39617000000001</v>
      </c>
      <c r="T114" s="14">
        <v>45008</v>
      </c>
      <c r="U114" s="30"/>
      <c r="V114" s="30" t="s">
        <v>59</v>
      </c>
    </row>
    <row r="115" spans="1:22" ht="62.4" x14ac:dyDescent="0.3">
      <c r="A115" s="30">
        <v>111</v>
      </c>
      <c r="B115" s="18" t="s">
        <v>184</v>
      </c>
      <c r="C115" s="12" t="s">
        <v>73</v>
      </c>
      <c r="D115" s="30"/>
      <c r="E115" s="30" t="s">
        <v>75</v>
      </c>
      <c r="F115" s="12" t="s">
        <v>290</v>
      </c>
      <c r="G115" s="12" t="s">
        <v>184</v>
      </c>
      <c r="H115" s="589">
        <v>82.108391666666677</v>
      </c>
      <c r="I115" s="19">
        <v>1</v>
      </c>
      <c r="J115" s="589">
        <v>82.108391666666677</v>
      </c>
      <c r="K115" s="589">
        <v>82.108391666666677</v>
      </c>
      <c r="L115" s="19">
        <v>1</v>
      </c>
      <c r="M115" s="589">
        <v>82.108391666666677</v>
      </c>
      <c r="N115" s="3" t="s">
        <v>301</v>
      </c>
      <c r="O115" s="31">
        <v>45012</v>
      </c>
      <c r="P115" s="20" t="str">
        <f>HYPERLINK("https://my.zakupki.prom.ua/remote/dispatcher/state_purchase_view/41650806", "UA-2023-03-27-006723-a")</f>
        <v>UA-2023-03-27-006723-a</v>
      </c>
      <c r="Q115" s="30">
        <v>82.10839</v>
      </c>
      <c r="R115" s="30">
        <v>1</v>
      </c>
      <c r="S115" s="30">
        <v>82.10839</v>
      </c>
      <c r="T115" s="31">
        <v>45012</v>
      </c>
      <c r="U115" s="30"/>
      <c r="V115" s="30" t="s">
        <v>59</v>
      </c>
    </row>
    <row r="116" spans="1:22" ht="62.4" x14ac:dyDescent="0.3">
      <c r="A116" s="30">
        <v>112</v>
      </c>
      <c r="B116" s="18" t="s">
        <v>184</v>
      </c>
      <c r="C116" s="12" t="s">
        <v>73</v>
      </c>
      <c r="D116" s="30"/>
      <c r="E116" s="30" t="s">
        <v>75</v>
      </c>
      <c r="F116" s="12" t="s">
        <v>291</v>
      </c>
      <c r="G116" s="12" t="s">
        <v>184</v>
      </c>
      <c r="H116" s="589">
        <v>150.86134166666665</v>
      </c>
      <c r="I116" s="19">
        <v>1</v>
      </c>
      <c r="J116" s="589">
        <v>150.86134166666665</v>
      </c>
      <c r="K116" s="589">
        <v>150.86134166666665</v>
      </c>
      <c r="L116" s="19">
        <v>1</v>
      </c>
      <c r="M116" s="589">
        <v>150.86134166666665</v>
      </c>
      <c r="N116" s="3" t="s">
        <v>302</v>
      </c>
      <c r="O116" s="31">
        <v>45012</v>
      </c>
      <c r="P116" s="20" t="str">
        <f>HYPERLINK("https://my.zakupki.prom.ua/remote/dispatcher/state_purchase_view/41649991", "UA-2023-03-27-006317-a")</f>
        <v>UA-2023-03-27-006317-a</v>
      </c>
      <c r="Q116" s="30">
        <v>150.86134000000001</v>
      </c>
      <c r="R116" s="30">
        <v>1</v>
      </c>
      <c r="S116" s="30">
        <v>150.86134000000001</v>
      </c>
      <c r="T116" s="31">
        <v>45012</v>
      </c>
      <c r="U116" s="30"/>
      <c r="V116" s="30" t="s">
        <v>59</v>
      </c>
    </row>
    <row r="117" spans="1:22" ht="62.4" x14ac:dyDescent="0.3">
      <c r="A117" s="30">
        <v>113</v>
      </c>
      <c r="B117" s="18" t="s">
        <v>184</v>
      </c>
      <c r="C117" s="12" t="s">
        <v>73</v>
      </c>
      <c r="D117" s="30"/>
      <c r="E117" s="30" t="s">
        <v>75</v>
      </c>
      <c r="F117" s="12" t="s">
        <v>292</v>
      </c>
      <c r="G117" s="12" t="s">
        <v>184</v>
      </c>
      <c r="H117" s="589">
        <v>197.69570833333333</v>
      </c>
      <c r="I117" s="19">
        <v>1</v>
      </c>
      <c r="J117" s="589">
        <v>197.69570833333333</v>
      </c>
      <c r="K117" s="589">
        <v>197.69570833333333</v>
      </c>
      <c r="L117" s="19">
        <v>1</v>
      </c>
      <c r="M117" s="589">
        <v>197.69570833333333</v>
      </c>
      <c r="N117" s="3" t="s">
        <v>303</v>
      </c>
      <c r="O117" s="31">
        <v>45012</v>
      </c>
      <c r="P117" s="20" t="str">
        <f>HYPERLINK("https://my.zakupki.prom.ua/remote/dispatcher/state_purchase_view/41648944", "UA-2023-03-27-005875-a")</f>
        <v>UA-2023-03-27-005875-a</v>
      </c>
      <c r="Q117" s="30">
        <v>197.69570999999999</v>
      </c>
      <c r="R117" s="30">
        <v>1</v>
      </c>
      <c r="S117" s="30">
        <v>197.69570999999999</v>
      </c>
      <c r="T117" s="31">
        <v>45012</v>
      </c>
      <c r="U117" s="30"/>
      <c r="V117" s="30" t="s">
        <v>59</v>
      </c>
    </row>
    <row r="118" spans="1:22" ht="171.6" x14ac:dyDescent="0.3">
      <c r="A118" s="30">
        <v>114</v>
      </c>
      <c r="B118" s="18" t="s">
        <v>184</v>
      </c>
      <c r="C118" s="12" t="s">
        <v>73</v>
      </c>
      <c r="D118" s="30"/>
      <c r="E118" s="30" t="s">
        <v>75</v>
      </c>
      <c r="F118" s="12" t="s">
        <v>293</v>
      </c>
      <c r="G118" s="12" t="s">
        <v>184</v>
      </c>
      <c r="H118" s="589">
        <v>232.07635000000002</v>
      </c>
      <c r="I118" s="19">
        <v>1</v>
      </c>
      <c r="J118" s="589">
        <v>232.07635000000002</v>
      </c>
      <c r="K118" s="589">
        <v>232.07635000000002</v>
      </c>
      <c r="L118" s="19">
        <v>1</v>
      </c>
      <c r="M118" s="589">
        <v>232.07635000000002</v>
      </c>
      <c r="N118" s="3" t="s">
        <v>304</v>
      </c>
      <c r="O118" s="31">
        <v>45012</v>
      </c>
      <c r="P118" s="20" t="str">
        <f>HYPERLINK("https://my.zakupki.prom.ua/remote/dispatcher/state_purchase_view/41648147", "UA-2023-03-27-005517-a")</f>
        <v>UA-2023-03-27-005517-a</v>
      </c>
      <c r="Q118" s="30">
        <v>232.07634999999999</v>
      </c>
      <c r="R118" s="30">
        <v>1</v>
      </c>
      <c r="S118" s="30">
        <v>232.07634999999999</v>
      </c>
      <c r="T118" s="31">
        <v>45012</v>
      </c>
      <c r="U118" s="30"/>
      <c r="V118" s="30" t="s">
        <v>59</v>
      </c>
    </row>
    <row r="119" spans="1:22" ht="187.2" x14ac:dyDescent="0.3">
      <c r="A119" s="30">
        <v>115</v>
      </c>
      <c r="B119" s="18" t="s">
        <v>184</v>
      </c>
      <c r="C119" s="12" t="s">
        <v>73</v>
      </c>
      <c r="D119" s="30"/>
      <c r="E119" s="30" t="s">
        <v>75</v>
      </c>
      <c r="F119" s="12" t="s">
        <v>294</v>
      </c>
      <c r="G119" s="12" t="s">
        <v>184</v>
      </c>
      <c r="H119" s="589">
        <v>52.414616666666667</v>
      </c>
      <c r="I119" s="19">
        <v>1</v>
      </c>
      <c r="J119" s="589">
        <v>52.414616666666667</v>
      </c>
      <c r="K119" s="589">
        <v>52.414616666666667</v>
      </c>
      <c r="L119" s="19">
        <v>1</v>
      </c>
      <c r="M119" s="589">
        <v>52.414616666666667</v>
      </c>
      <c r="N119" s="3" t="s">
        <v>305</v>
      </c>
      <c r="O119" s="31">
        <v>45012</v>
      </c>
      <c r="P119" s="20" t="str">
        <f>HYPERLINK("https://my.zakupki.prom.ua/remote/dispatcher/state_purchase_view/41647901", "UA-2023-03-27-005437-a")</f>
        <v>UA-2023-03-27-005437-a</v>
      </c>
      <c r="Q119" s="30">
        <v>52.414619999999999</v>
      </c>
      <c r="R119" s="30">
        <v>1</v>
      </c>
      <c r="S119" s="30">
        <v>52.414619999999999</v>
      </c>
      <c r="T119" s="31">
        <v>45012</v>
      </c>
      <c r="U119" s="30"/>
      <c r="V119" s="30" t="s">
        <v>59</v>
      </c>
    </row>
    <row r="120" spans="1:22" ht="171.6" x14ac:dyDescent="0.3">
      <c r="A120" s="30">
        <v>116</v>
      </c>
      <c r="B120" s="18" t="s">
        <v>184</v>
      </c>
      <c r="C120" s="12" t="s">
        <v>73</v>
      </c>
      <c r="D120" s="30"/>
      <c r="E120" s="30" t="s">
        <v>75</v>
      </c>
      <c r="F120" s="12" t="s">
        <v>295</v>
      </c>
      <c r="G120" s="12" t="s">
        <v>184</v>
      </c>
      <c r="H120" s="589">
        <v>238.34789166666664</v>
      </c>
      <c r="I120" s="19">
        <v>1</v>
      </c>
      <c r="J120" s="589">
        <v>238.34789166666664</v>
      </c>
      <c r="K120" s="589">
        <v>238.34789166666664</v>
      </c>
      <c r="L120" s="19">
        <v>1</v>
      </c>
      <c r="M120" s="589">
        <v>238.34789166666664</v>
      </c>
      <c r="N120" s="3" t="s">
        <v>306</v>
      </c>
      <c r="O120" s="31">
        <v>45012</v>
      </c>
      <c r="P120" s="20" t="str">
        <f>HYPERLINK("https://my.zakupki.prom.ua/remote/dispatcher/state_purchase_view/41645351", "UA-2023-03-27-004288-a")</f>
        <v>UA-2023-03-27-004288-a</v>
      </c>
      <c r="Q120" s="30">
        <v>238.34790000000001</v>
      </c>
      <c r="R120" s="30">
        <v>1</v>
      </c>
      <c r="S120" s="30">
        <v>238.34790000000001</v>
      </c>
      <c r="T120" s="31">
        <v>45012</v>
      </c>
      <c r="U120" s="30"/>
      <c r="V120" s="30" t="s">
        <v>59</v>
      </c>
    </row>
    <row r="121" spans="1:22" ht="171.6" x14ac:dyDescent="0.3">
      <c r="A121" s="30">
        <v>117</v>
      </c>
      <c r="B121" s="18" t="s">
        <v>184</v>
      </c>
      <c r="C121" s="12" t="s">
        <v>73</v>
      </c>
      <c r="D121" s="30"/>
      <c r="E121" s="30" t="s">
        <v>75</v>
      </c>
      <c r="F121" s="12" t="s">
        <v>296</v>
      </c>
      <c r="G121" s="12" t="s">
        <v>184</v>
      </c>
      <c r="H121" s="589">
        <v>111.73391666666667</v>
      </c>
      <c r="I121" s="19">
        <v>1</v>
      </c>
      <c r="J121" s="589">
        <v>111.73391666666667</v>
      </c>
      <c r="K121" s="589">
        <v>111.73391666666667</v>
      </c>
      <c r="L121" s="19">
        <v>1</v>
      </c>
      <c r="M121" s="589">
        <v>111.73391666666667</v>
      </c>
      <c r="N121" s="3" t="s">
        <v>307</v>
      </c>
      <c r="O121" s="31">
        <v>45012</v>
      </c>
      <c r="P121" s="20" t="str">
        <f>HYPERLINK("https://my.zakupki.prom.ua/remote/dispatcher/state_purchase_view/41644671", "UA-2023-03-27-004027-a")</f>
        <v>UA-2023-03-27-004027-a</v>
      </c>
      <c r="Q121" s="30">
        <v>111.73392</v>
      </c>
      <c r="R121" s="30">
        <v>1</v>
      </c>
      <c r="S121" s="30">
        <v>111.73392</v>
      </c>
      <c r="T121" s="31">
        <v>45012</v>
      </c>
      <c r="U121" s="30"/>
      <c r="V121" s="30" t="s">
        <v>59</v>
      </c>
    </row>
    <row r="122" spans="1:22" ht="93.6" x14ac:dyDescent="0.3">
      <c r="A122" s="30">
        <v>118</v>
      </c>
      <c r="B122" s="18" t="s">
        <v>184</v>
      </c>
      <c r="C122" s="12" t="s">
        <v>41</v>
      </c>
      <c r="D122" s="30"/>
      <c r="E122" s="30" t="s">
        <v>88</v>
      </c>
      <c r="F122" s="12" t="s">
        <v>297</v>
      </c>
      <c r="G122" s="12" t="s">
        <v>184</v>
      </c>
      <c r="H122" s="589">
        <v>260.60821666666664</v>
      </c>
      <c r="I122" s="19">
        <v>1</v>
      </c>
      <c r="J122" s="589">
        <v>260.60821666666664</v>
      </c>
      <c r="K122" s="589">
        <v>260.60821666666664</v>
      </c>
      <c r="L122" s="19">
        <v>1</v>
      </c>
      <c r="M122" s="589">
        <v>260.60821666666664</v>
      </c>
      <c r="N122" s="3" t="s">
        <v>308</v>
      </c>
      <c r="O122" s="31">
        <v>45012</v>
      </c>
      <c r="P122" s="20" t="str">
        <f>HYPERLINK("https://my.zakupki.prom.ua/remote/dispatcher/state_purchase_view/41677151", "UA-2023-03-28-006365-a")</f>
        <v>UA-2023-03-28-006365-a</v>
      </c>
      <c r="Q122" s="30">
        <v>260.60822000000002</v>
      </c>
      <c r="R122" s="30">
        <v>1</v>
      </c>
      <c r="S122" s="30">
        <v>260.60822000000002</v>
      </c>
      <c r="T122" s="31">
        <v>45012</v>
      </c>
      <c r="U122" s="30"/>
      <c r="V122" s="30" t="s">
        <v>59</v>
      </c>
    </row>
    <row r="123" spans="1:22" ht="78" x14ac:dyDescent="0.3">
      <c r="A123" s="30">
        <v>119</v>
      </c>
      <c r="B123" s="18" t="s">
        <v>21</v>
      </c>
      <c r="C123" s="12" t="s">
        <v>300</v>
      </c>
      <c r="D123" s="30" t="s">
        <v>58</v>
      </c>
      <c r="E123" s="30" t="s">
        <v>88</v>
      </c>
      <c r="F123" s="12" t="s">
        <v>298</v>
      </c>
      <c r="G123" s="12" t="s">
        <v>186</v>
      </c>
      <c r="H123" s="589"/>
      <c r="I123" s="19">
        <v>3</v>
      </c>
      <c r="J123" s="589">
        <v>225</v>
      </c>
      <c r="K123" s="589"/>
      <c r="L123" s="19">
        <v>3</v>
      </c>
      <c r="M123" s="589">
        <v>225</v>
      </c>
      <c r="N123" s="3" t="s">
        <v>309</v>
      </c>
      <c r="O123" s="31">
        <v>45013</v>
      </c>
      <c r="P123" s="20" t="str">
        <f>HYPERLINK("https://my.zakupki.prom.ua/remote/dispatcher/state_purchase_view/41675945", "UA-2023-03-28-005844-a")</f>
        <v>UA-2023-03-28-005844-a</v>
      </c>
      <c r="Q123" s="30"/>
      <c r="R123" s="30">
        <v>3</v>
      </c>
      <c r="S123" s="30">
        <f>236.84214/1.2</f>
        <v>197.36845</v>
      </c>
      <c r="T123" s="31">
        <v>45029</v>
      </c>
      <c r="U123" s="30"/>
      <c r="V123" s="30"/>
    </row>
    <row r="124" spans="1:22" ht="93.6" x14ac:dyDescent="0.3">
      <c r="A124" s="30">
        <v>120</v>
      </c>
      <c r="B124" s="18" t="s">
        <v>184</v>
      </c>
      <c r="C124" s="12" t="s">
        <v>41</v>
      </c>
      <c r="D124" s="30"/>
      <c r="E124" s="30" t="s">
        <v>88</v>
      </c>
      <c r="F124" s="12" t="s">
        <v>299</v>
      </c>
      <c r="G124" s="12" t="s">
        <v>184</v>
      </c>
      <c r="H124" s="589">
        <v>92.896299999999997</v>
      </c>
      <c r="I124" s="19">
        <v>1</v>
      </c>
      <c r="J124" s="589">
        <v>92.896299999999997</v>
      </c>
      <c r="K124" s="589">
        <v>92.896299999999997</v>
      </c>
      <c r="L124" s="19">
        <v>1</v>
      </c>
      <c r="M124" s="589">
        <v>92.896299999999997</v>
      </c>
      <c r="N124" s="3" t="s">
        <v>310</v>
      </c>
      <c r="O124" s="31">
        <v>45013</v>
      </c>
      <c r="P124" s="20" t="str">
        <f>HYPERLINK("https://my.zakupki.prom.ua/remote/dispatcher/state_purchase_view/41675869", "UA-2023-03-28-005807-a")</f>
        <v>UA-2023-03-28-005807-a</v>
      </c>
      <c r="Q124" s="30">
        <v>92.896299999999997</v>
      </c>
      <c r="R124" s="30">
        <v>1</v>
      </c>
      <c r="S124" s="30">
        <v>92.896299999999997</v>
      </c>
      <c r="T124" s="31">
        <v>45013</v>
      </c>
      <c r="U124" s="30"/>
      <c r="V124" s="30" t="s">
        <v>59</v>
      </c>
    </row>
    <row r="125" spans="1:22" ht="109.2" x14ac:dyDescent="0.3">
      <c r="A125" s="30">
        <v>121</v>
      </c>
      <c r="B125" s="18" t="s">
        <v>184</v>
      </c>
      <c r="C125" s="12" t="s">
        <v>41</v>
      </c>
      <c r="D125" s="30"/>
      <c r="E125" s="30" t="s">
        <v>88</v>
      </c>
      <c r="F125" s="12" t="s">
        <v>311</v>
      </c>
      <c r="G125" s="12" t="s">
        <v>184</v>
      </c>
      <c r="H125" s="589">
        <v>1249.6003833333334</v>
      </c>
      <c r="I125" s="30">
        <v>1</v>
      </c>
      <c r="J125" s="589">
        <v>1249.6003833333334</v>
      </c>
      <c r="K125" s="589">
        <v>1249.6003833333334</v>
      </c>
      <c r="L125" s="30">
        <v>1</v>
      </c>
      <c r="M125" s="589">
        <v>1249.6003833333334</v>
      </c>
      <c r="N125" s="3" t="s">
        <v>315</v>
      </c>
      <c r="O125" s="31">
        <v>45013</v>
      </c>
      <c r="P125" s="20" t="str">
        <f>HYPERLINK("https://my.zakupki.prom.ua/remote/dispatcher/state_purchase_view/41678983", "UA-2023-03-28-007169-a")</f>
        <v>UA-2023-03-28-007169-a</v>
      </c>
      <c r="Q125" s="30">
        <v>1249.6003833333334</v>
      </c>
      <c r="R125" s="30">
        <v>1</v>
      </c>
      <c r="S125" s="30">
        <v>1249.6003833333334</v>
      </c>
      <c r="T125" s="31">
        <v>45013</v>
      </c>
      <c r="U125" s="30"/>
      <c r="V125" s="30" t="s">
        <v>59</v>
      </c>
    </row>
    <row r="126" spans="1:22" ht="93.6" x14ac:dyDescent="0.3">
      <c r="A126" s="30">
        <v>122</v>
      </c>
      <c r="B126" s="18" t="s">
        <v>184</v>
      </c>
      <c r="C126" s="12" t="s">
        <v>41</v>
      </c>
      <c r="D126" s="30"/>
      <c r="E126" s="30" t="s">
        <v>88</v>
      </c>
      <c r="F126" s="12" t="s">
        <v>312</v>
      </c>
      <c r="G126" s="12" t="s">
        <v>184</v>
      </c>
      <c r="H126" s="589">
        <v>505.40151666666668</v>
      </c>
      <c r="I126" s="30">
        <v>1</v>
      </c>
      <c r="J126" s="589">
        <v>505.40151666666668</v>
      </c>
      <c r="K126" s="589">
        <v>505.40151666666668</v>
      </c>
      <c r="L126" s="30">
        <v>1</v>
      </c>
      <c r="M126" s="589">
        <v>505.40151666666668</v>
      </c>
      <c r="N126" s="3" t="s">
        <v>316</v>
      </c>
      <c r="O126" s="31">
        <v>45013</v>
      </c>
      <c r="P126" s="20" t="str">
        <f>HYPERLINK("https://my.zakupki.prom.ua/remote/dispatcher/state_purchase_view/41677871", "UA-2023-03-28-006674-a")</f>
        <v>UA-2023-03-28-006674-a</v>
      </c>
      <c r="Q126" s="30">
        <v>505.40151666666668</v>
      </c>
      <c r="R126" s="30">
        <v>1</v>
      </c>
      <c r="S126" s="30">
        <v>505.40151666666668</v>
      </c>
      <c r="T126" s="31">
        <v>45013</v>
      </c>
      <c r="U126" s="30"/>
      <c r="V126" s="30" t="s">
        <v>59</v>
      </c>
    </row>
    <row r="127" spans="1:22" ht="93.6" x14ac:dyDescent="0.3">
      <c r="A127" s="30">
        <v>123</v>
      </c>
      <c r="B127" s="18" t="s">
        <v>184</v>
      </c>
      <c r="C127" s="12" t="s">
        <v>41</v>
      </c>
      <c r="D127" s="30"/>
      <c r="E127" s="30" t="s">
        <v>88</v>
      </c>
      <c r="F127" s="12" t="s">
        <v>297</v>
      </c>
      <c r="G127" s="12" t="s">
        <v>184</v>
      </c>
      <c r="H127" s="589">
        <v>260.60821666666669</v>
      </c>
      <c r="I127" s="30">
        <v>1</v>
      </c>
      <c r="J127" s="589">
        <v>260.60821666666669</v>
      </c>
      <c r="K127" s="589">
        <v>260.60821666666669</v>
      </c>
      <c r="L127" s="30">
        <v>1</v>
      </c>
      <c r="M127" s="589">
        <v>260.60821666666669</v>
      </c>
      <c r="N127" s="3" t="s">
        <v>308</v>
      </c>
      <c r="O127" s="31">
        <v>45013</v>
      </c>
      <c r="P127" s="20" t="str">
        <f>HYPERLINK("https://my.zakupki.prom.ua/remote/dispatcher/state_purchase_view/41677151", "UA-2023-03-28-006365-a")</f>
        <v>UA-2023-03-28-006365-a</v>
      </c>
      <c r="Q127" s="30">
        <v>260.60821666666669</v>
      </c>
      <c r="R127" s="30">
        <v>1</v>
      </c>
      <c r="S127" s="30">
        <v>260.60821666666669</v>
      </c>
      <c r="T127" s="31">
        <v>45013</v>
      </c>
      <c r="U127" s="30"/>
      <c r="V127" s="30" t="s">
        <v>59</v>
      </c>
    </row>
    <row r="128" spans="1:22" ht="78" x14ac:dyDescent="0.3">
      <c r="A128" s="30">
        <v>124</v>
      </c>
      <c r="B128" s="18" t="s">
        <v>184</v>
      </c>
      <c r="C128" s="12" t="s">
        <v>41</v>
      </c>
      <c r="D128" s="30"/>
      <c r="E128" s="30" t="s">
        <v>88</v>
      </c>
      <c r="F128" s="30" t="s">
        <v>314</v>
      </c>
      <c r="G128" s="12" t="s">
        <v>184</v>
      </c>
      <c r="H128" s="589">
        <f>911.5919/1.2</f>
        <v>759.65991666666673</v>
      </c>
      <c r="I128" s="30">
        <v>1</v>
      </c>
      <c r="J128" s="589">
        <f>911.5919/1.2</f>
        <v>759.65991666666673</v>
      </c>
      <c r="K128" s="589">
        <f>911.5919/1.2</f>
        <v>759.65991666666673</v>
      </c>
      <c r="L128" s="30">
        <v>1</v>
      </c>
      <c r="M128" s="589">
        <f>911.5919/1.2</f>
        <v>759.65991666666673</v>
      </c>
      <c r="N128" s="3" t="s">
        <v>313</v>
      </c>
      <c r="O128" s="31">
        <v>45015</v>
      </c>
      <c r="P128" s="30" t="s">
        <v>317</v>
      </c>
      <c r="Q128" s="30">
        <f>911.5919/1.2</f>
        <v>759.65991666666673</v>
      </c>
      <c r="R128" s="30">
        <v>1</v>
      </c>
      <c r="S128" s="30">
        <f>911.5919/1.2</f>
        <v>759.65991666666673</v>
      </c>
      <c r="T128" s="31">
        <v>45015</v>
      </c>
      <c r="U128" s="30"/>
      <c r="V128" s="30" t="s">
        <v>59</v>
      </c>
    </row>
    <row r="129" spans="1:22" ht="109.2" x14ac:dyDescent="0.3">
      <c r="A129" s="30">
        <v>125</v>
      </c>
      <c r="B129" s="18" t="s">
        <v>184</v>
      </c>
      <c r="C129" s="12" t="s">
        <v>41</v>
      </c>
      <c r="D129" s="30"/>
      <c r="E129" s="30" t="s">
        <v>88</v>
      </c>
      <c r="F129" s="30" t="s">
        <v>318</v>
      </c>
      <c r="G129" s="12" t="s">
        <v>184</v>
      </c>
      <c r="H129" s="589">
        <f>457728.86/1.2/1000</f>
        <v>381.44071666666667</v>
      </c>
      <c r="I129" s="30">
        <v>1</v>
      </c>
      <c r="J129" s="589">
        <f>457728.86/1.2/1000</f>
        <v>381.44071666666667</v>
      </c>
      <c r="K129" s="589">
        <f>457728.86/1.2/1000</f>
        <v>381.44071666666667</v>
      </c>
      <c r="L129" s="30">
        <v>1</v>
      </c>
      <c r="M129" s="589">
        <f>457728.86/1.2/1000</f>
        <v>381.44071666666667</v>
      </c>
      <c r="N129" s="3" t="s">
        <v>320</v>
      </c>
      <c r="O129" s="31">
        <v>45015</v>
      </c>
      <c r="P129" s="30" t="s">
        <v>321</v>
      </c>
      <c r="Q129" s="30">
        <f>457728.86/1.2/1000</f>
        <v>381.44071666666667</v>
      </c>
      <c r="R129" s="30">
        <v>1</v>
      </c>
      <c r="S129" s="30">
        <f>457728.86/1.2/1000</f>
        <v>381.44071666666667</v>
      </c>
      <c r="T129" s="31">
        <v>45015</v>
      </c>
      <c r="U129" s="30"/>
      <c r="V129" s="30" t="s">
        <v>59</v>
      </c>
    </row>
    <row r="130" spans="1:22" ht="109.2" x14ac:dyDescent="0.3">
      <c r="A130" s="30">
        <v>126</v>
      </c>
      <c r="B130" s="21" t="s">
        <v>184</v>
      </c>
      <c r="C130" s="2" t="s">
        <v>41</v>
      </c>
      <c r="D130" s="2"/>
      <c r="E130" s="2" t="s">
        <v>88</v>
      </c>
      <c r="F130" s="2" t="s">
        <v>319</v>
      </c>
      <c r="G130" s="2" t="s">
        <v>184</v>
      </c>
      <c r="H130" s="590">
        <f>813.26934/1.2</f>
        <v>677.72445000000005</v>
      </c>
      <c r="I130" s="2">
        <v>1</v>
      </c>
      <c r="J130" s="590">
        <f>813.26934/1.2</f>
        <v>677.72445000000005</v>
      </c>
      <c r="K130" s="590">
        <f>813.26934/1.2</f>
        <v>677.72445000000005</v>
      </c>
      <c r="L130" s="2">
        <v>1</v>
      </c>
      <c r="M130" s="590">
        <f>813.26934/1.2</f>
        <v>677.72445000000005</v>
      </c>
      <c r="N130" s="22" t="s">
        <v>341</v>
      </c>
      <c r="O130" s="23">
        <v>45015</v>
      </c>
      <c r="P130" s="2" t="s">
        <v>342</v>
      </c>
      <c r="Q130" s="2">
        <f>813.26934/1.2</f>
        <v>677.72445000000005</v>
      </c>
      <c r="R130" s="2">
        <v>1</v>
      </c>
      <c r="S130" s="2">
        <f>813.26934/1.2</f>
        <v>677.72445000000005</v>
      </c>
      <c r="T130" s="23">
        <v>45015</v>
      </c>
      <c r="U130" s="2"/>
      <c r="V130" s="2" t="s">
        <v>59</v>
      </c>
    </row>
    <row r="131" spans="1:22" ht="62.4" x14ac:dyDescent="0.3">
      <c r="A131" s="30">
        <v>127</v>
      </c>
      <c r="B131" s="30" t="s">
        <v>40</v>
      </c>
      <c r="C131" s="12" t="s">
        <v>41</v>
      </c>
      <c r="D131" s="30"/>
      <c r="E131" s="30" t="s">
        <v>88</v>
      </c>
      <c r="F131" s="12" t="s">
        <v>322</v>
      </c>
      <c r="G131" s="18" t="s">
        <v>184</v>
      </c>
      <c r="H131" s="589">
        <v>73.280283333333344</v>
      </c>
      <c r="I131" s="19">
        <v>1</v>
      </c>
      <c r="J131" s="589">
        <v>73.280283333333344</v>
      </c>
      <c r="K131" s="589">
        <v>73.280283333333344</v>
      </c>
      <c r="L131" s="19">
        <v>1</v>
      </c>
      <c r="M131" s="589">
        <v>73.280283333333344</v>
      </c>
      <c r="N131" s="3" t="s">
        <v>330</v>
      </c>
      <c r="O131" s="25">
        <v>45015</v>
      </c>
      <c r="P131" s="20" t="str">
        <f>HYPERLINK("https://my.zakupki.prom.ua/remote/dispatcher/state_purchase_view/41720731", "UA-2023-03-30-003336-a")</f>
        <v>UA-2023-03-30-003336-a</v>
      </c>
      <c r="Q131" s="30">
        <v>73.280283333333344</v>
      </c>
      <c r="R131" s="19">
        <v>1</v>
      </c>
      <c r="S131" s="30">
        <v>73.280283333333344</v>
      </c>
      <c r="T131" s="25">
        <v>45015</v>
      </c>
      <c r="U131" s="30"/>
      <c r="V131" s="30" t="s">
        <v>59</v>
      </c>
    </row>
    <row r="132" spans="1:22" ht="62.4" x14ac:dyDescent="0.3">
      <c r="A132" s="30">
        <v>128</v>
      </c>
      <c r="B132" s="30" t="s">
        <v>40</v>
      </c>
      <c r="C132" s="12" t="s">
        <v>73</v>
      </c>
      <c r="D132" s="30"/>
      <c r="E132" s="30" t="s">
        <v>75</v>
      </c>
      <c r="F132" s="12" t="s">
        <v>323</v>
      </c>
      <c r="G132" s="18" t="s">
        <v>184</v>
      </c>
      <c r="H132" s="589">
        <v>115.23385</v>
      </c>
      <c r="I132" s="19">
        <v>1</v>
      </c>
      <c r="J132" s="589">
        <v>115.23385</v>
      </c>
      <c r="K132" s="589">
        <v>115.23385</v>
      </c>
      <c r="L132" s="19">
        <v>1</v>
      </c>
      <c r="M132" s="589">
        <v>115.23385</v>
      </c>
      <c r="N132" s="3" t="s">
        <v>331</v>
      </c>
      <c r="O132" s="25">
        <v>45015</v>
      </c>
      <c r="P132" s="20" t="str">
        <f>HYPERLINK("https://my.zakupki.prom.ua/remote/dispatcher/state_purchase_view/41720673", "UA-2023-03-30-003304-a")</f>
        <v>UA-2023-03-30-003304-a</v>
      </c>
      <c r="Q132" s="30">
        <v>115.23385</v>
      </c>
      <c r="R132" s="19">
        <v>1</v>
      </c>
      <c r="S132" s="30">
        <v>115.23385</v>
      </c>
      <c r="T132" s="25">
        <v>45015</v>
      </c>
      <c r="U132" s="30"/>
      <c r="V132" s="30" t="s">
        <v>59</v>
      </c>
    </row>
    <row r="133" spans="1:22" ht="62.4" x14ac:dyDescent="0.3">
      <c r="A133" s="30">
        <v>129</v>
      </c>
      <c r="B133" s="30" t="s">
        <v>40</v>
      </c>
      <c r="C133" s="12" t="s">
        <v>41</v>
      </c>
      <c r="D133" s="30"/>
      <c r="E133" s="30" t="s">
        <v>88</v>
      </c>
      <c r="F133" s="12" t="s">
        <v>324</v>
      </c>
      <c r="G133" s="18" t="s">
        <v>184</v>
      </c>
      <c r="H133" s="589">
        <v>50.018791666666672</v>
      </c>
      <c r="I133" s="19">
        <v>1</v>
      </c>
      <c r="J133" s="589">
        <v>50.018791666666672</v>
      </c>
      <c r="K133" s="589">
        <v>50.018791666666672</v>
      </c>
      <c r="L133" s="19">
        <v>1</v>
      </c>
      <c r="M133" s="589">
        <v>50.018791666666672</v>
      </c>
      <c r="N133" s="3" t="s">
        <v>332</v>
      </c>
      <c r="O133" s="25">
        <v>45015</v>
      </c>
      <c r="P133" s="20" t="str">
        <f>HYPERLINK("https://my.zakupki.prom.ua/remote/dispatcher/state_purchase_view/41720512", "UA-2023-03-30-003251-a")</f>
        <v>UA-2023-03-30-003251-a</v>
      </c>
      <c r="Q133" s="30">
        <v>50.018791666666672</v>
      </c>
      <c r="R133" s="19">
        <v>1</v>
      </c>
      <c r="S133" s="30">
        <v>50.018791666666672</v>
      </c>
      <c r="T133" s="25">
        <v>45015</v>
      </c>
      <c r="U133" s="30"/>
      <c r="V133" s="30" t="s">
        <v>59</v>
      </c>
    </row>
    <row r="134" spans="1:22" ht="62.4" x14ac:dyDescent="0.3">
      <c r="A134" s="30">
        <v>130</v>
      </c>
      <c r="B134" s="30" t="s">
        <v>40</v>
      </c>
      <c r="C134" s="12" t="s">
        <v>41</v>
      </c>
      <c r="D134" s="30"/>
      <c r="E134" s="30" t="s">
        <v>88</v>
      </c>
      <c r="F134" s="12" t="s">
        <v>325</v>
      </c>
      <c r="G134" s="18" t="s">
        <v>184</v>
      </c>
      <c r="H134" s="589">
        <v>50.018791666666672</v>
      </c>
      <c r="I134" s="19">
        <v>1</v>
      </c>
      <c r="J134" s="589">
        <v>50.018791666666672</v>
      </c>
      <c r="K134" s="589">
        <v>50.018791666666672</v>
      </c>
      <c r="L134" s="19">
        <v>1</v>
      </c>
      <c r="M134" s="589">
        <v>50.018791666666672</v>
      </c>
      <c r="N134" s="3" t="s">
        <v>333</v>
      </c>
      <c r="O134" s="25">
        <v>45015</v>
      </c>
      <c r="P134" s="20" t="str">
        <f>HYPERLINK("https://my.zakupki.prom.ua/remote/dispatcher/state_purchase_view/41720050", "UA-2023-03-30-003031-a")</f>
        <v>UA-2023-03-30-003031-a</v>
      </c>
      <c r="Q134" s="30">
        <v>50.018791666666672</v>
      </c>
      <c r="R134" s="19">
        <v>1</v>
      </c>
      <c r="S134" s="30">
        <v>50.018791666666672</v>
      </c>
      <c r="T134" s="25">
        <v>45015</v>
      </c>
      <c r="U134" s="30"/>
      <c r="V134" s="30" t="s">
        <v>59</v>
      </c>
    </row>
    <row r="135" spans="1:22" ht="62.4" x14ac:dyDescent="0.3">
      <c r="A135" s="30">
        <v>131</v>
      </c>
      <c r="B135" s="30" t="s">
        <v>40</v>
      </c>
      <c r="C135" s="12" t="s">
        <v>73</v>
      </c>
      <c r="D135" s="30"/>
      <c r="E135" s="30" t="s">
        <v>75</v>
      </c>
      <c r="F135" s="12" t="s">
        <v>326</v>
      </c>
      <c r="G135" s="18" t="s">
        <v>184</v>
      </c>
      <c r="H135" s="589">
        <v>102.12271666666666</v>
      </c>
      <c r="I135" s="19">
        <v>1</v>
      </c>
      <c r="J135" s="589">
        <v>102.12271666666666</v>
      </c>
      <c r="K135" s="589">
        <v>102.12271666666666</v>
      </c>
      <c r="L135" s="19">
        <v>1</v>
      </c>
      <c r="M135" s="589">
        <v>102.12271666666666</v>
      </c>
      <c r="N135" s="3" t="s">
        <v>334</v>
      </c>
      <c r="O135" s="25">
        <v>45015</v>
      </c>
      <c r="P135" s="20" t="str">
        <f>HYPERLINK("https://my.zakupki.prom.ua/remote/dispatcher/state_purchase_view/41719988", "UA-2023-03-30-003000-a")</f>
        <v>UA-2023-03-30-003000-a</v>
      </c>
      <c r="Q135" s="30">
        <v>102.12271666666666</v>
      </c>
      <c r="R135" s="19">
        <v>1</v>
      </c>
      <c r="S135" s="30">
        <v>102.12271666666666</v>
      </c>
      <c r="T135" s="25">
        <v>45015</v>
      </c>
      <c r="U135" s="30"/>
      <c r="V135" s="30" t="s">
        <v>59</v>
      </c>
    </row>
    <row r="136" spans="1:22" ht="62.4" x14ac:dyDescent="0.3">
      <c r="A136" s="30">
        <v>132</v>
      </c>
      <c r="B136" s="30" t="s">
        <v>40</v>
      </c>
      <c r="C136" s="12" t="s">
        <v>41</v>
      </c>
      <c r="D136" s="30"/>
      <c r="E136" s="30" t="s">
        <v>88</v>
      </c>
      <c r="F136" s="12" t="s">
        <v>327</v>
      </c>
      <c r="G136" s="18" t="s">
        <v>184</v>
      </c>
      <c r="H136" s="589">
        <v>50.688966666666666</v>
      </c>
      <c r="I136" s="19">
        <v>1</v>
      </c>
      <c r="J136" s="589">
        <v>50.688966666666666</v>
      </c>
      <c r="K136" s="589">
        <v>50.688966666666666</v>
      </c>
      <c r="L136" s="19">
        <v>1</v>
      </c>
      <c r="M136" s="589">
        <v>50.688966666666666</v>
      </c>
      <c r="N136" s="3" t="s">
        <v>335</v>
      </c>
      <c r="O136" s="25">
        <v>45015</v>
      </c>
      <c r="P136" s="20" t="str">
        <f>HYPERLINK("https://my.zakupki.prom.ua/remote/dispatcher/state_purchase_view/41719753", "UA-2023-03-30-002930-a")</f>
        <v>UA-2023-03-30-002930-a</v>
      </c>
      <c r="Q136" s="30">
        <v>50.688966666666666</v>
      </c>
      <c r="R136" s="19">
        <v>1</v>
      </c>
      <c r="S136" s="30">
        <v>50.688966666666666</v>
      </c>
      <c r="T136" s="25">
        <v>45015</v>
      </c>
      <c r="U136" s="30"/>
      <c r="V136" s="30" t="s">
        <v>59</v>
      </c>
    </row>
    <row r="137" spans="1:22" ht="62.4" x14ac:dyDescent="0.3">
      <c r="A137" s="30">
        <v>133</v>
      </c>
      <c r="B137" s="30" t="s">
        <v>40</v>
      </c>
      <c r="C137" s="12" t="s">
        <v>41</v>
      </c>
      <c r="D137" s="30"/>
      <c r="E137" s="30" t="s">
        <v>88</v>
      </c>
      <c r="F137" s="12" t="s">
        <v>328</v>
      </c>
      <c r="G137" s="18" t="s">
        <v>184</v>
      </c>
      <c r="H137" s="589">
        <v>50.24901666666667</v>
      </c>
      <c r="I137" s="19">
        <v>1</v>
      </c>
      <c r="J137" s="589">
        <v>50.24901666666667</v>
      </c>
      <c r="K137" s="589">
        <v>50.24901666666667</v>
      </c>
      <c r="L137" s="19">
        <v>1</v>
      </c>
      <c r="M137" s="589">
        <v>50.24901666666667</v>
      </c>
      <c r="N137" s="3" t="s">
        <v>336</v>
      </c>
      <c r="O137" s="25">
        <v>45015</v>
      </c>
      <c r="P137" s="20" t="str">
        <f>HYPERLINK("https://my.zakupki.prom.ua/remote/dispatcher/state_purchase_view/41719575", "UA-2023-03-30-002824-a")</f>
        <v>UA-2023-03-30-002824-a</v>
      </c>
      <c r="Q137" s="30">
        <v>50.24901666666667</v>
      </c>
      <c r="R137" s="19">
        <v>1</v>
      </c>
      <c r="S137" s="30">
        <v>50.24901666666667</v>
      </c>
      <c r="T137" s="25">
        <v>45015</v>
      </c>
      <c r="U137" s="30"/>
      <c r="V137" s="30" t="s">
        <v>59</v>
      </c>
    </row>
    <row r="138" spans="1:22" ht="62.4" x14ac:dyDescent="0.3">
      <c r="A138" s="30">
        <v>134</v>
      </c>
      <c r="B138" s="30" t="s">
        <v>40</v>
      </c>
      <c r="C138" s="12" t="s">
        <v>73</v>
      </c>
      <c r="D138" s="30"/>
      <c r="E138" s="30" t="s">
        <v>75</v>
      </c>
      <c r="F138" s="12" t="s">
        <v>329</v>
      </c>
      <c r="G138" s="18" t="s">
        <v>184</v>
      </c>
      <c r="H138" s="589">
        <v>83.923249999999996</v>
      </c>
      <c r="I138" s="19">
        <v>1</v>
      </c>
      <c r="J138" s="589">
        <v>83.923249999999996</v>
      </c>
      <c r="K138" s="589">
        <v>83.923249999999996</v>
      </c>
      <c r="L138" s="19">
        <v>1</v>
      </c>
      <c r="M138" s="589">
        <v>83.923249999999996</v>
      </c>
      <c r="N138" s="3" t="s">
        <v>337</v>
      </c>
      <c r="O138" s="25">
        <v>45015</v>
      </c>
      <c r="P138" s="20" t="str">
        <f>HYPERLINK("https://my.zakupki.prom.ua/remote/dispatcher/state_purchase_view/41719359", "UA-2023-03-30-002711-a")</f>
        <v>UA-2023-03-30-002711-a</v>
      </c>
      <c r="Q138" s="30">
        <v>83.923249999999996</v>
      </c>
      <c r="R138" s="19">
        <v>1</v>
      </c>
      <c r="S138" s="30">
        <v>83.923249999999996</v>
      </c>
      <c r="T138" s="25">
        <v>45015</v>
      </c>
      <c r="U138" s="30"/>
      <c r="V138" s="30" t="s">
        <v>59</v>
      </c>
    </row>
    <row r="139" spans="1:22" ht="62.4" x14ac:dyDescent="0.3">
      <c r="A139" s="30">
        <v>135</v>
      </c>
      <c r="B139" s="30" t="s">
        <v>40</v>
      </c>
      <c r="C139" s="12" t="s">
        <v>73</v>
      </c>
      <c r="D139" s="30"/>
      <c r="E139" s="30" t="s">
        <v>75</v>
      </c>
      <c r="F139" s="30" t="s">
        <v>338</v>
      </c>
      <c r="G139" s="18" t="s">
        <v>184</v>
      </c>
      <c r="H139" s="589">
        <f>130.78254/1.2</f>
        <v>108.98545000000001</v>
      </c>
      <c r="I139" s="30">
        <v>1</v>
      </c>
      <c r="J139" s="589">
        <f>130.78254/1.2</f>
        <v>108.98545000000001</v>
      </c>
      <c r="K139" s="589">
        <f>130.78254/1.2</f>
        <v>108.98545000000001</v>
      </c>
      <c r="L139" s="30">
        <v>1</v>
      </c>
      <c r="M139" s="589">
        <f>130.78254/1.2</f>
        <v>108.98545000000001</v>
      </c>
      <c r="N139" s="3" t="s">
        <v>340</v>
      </c>
      <c r="O139" s="25">
        <v>45015</v>
      </c>
      <c r="P139" s="30" t="s">
        <v>339</v>
      </c>
      <c r="Q139" s="4">
        <f>130.78254/1.2</f>
        <v>108.98545000000001</v>
      </c>
      <c r="R139" s="30">
        <v>1</v>
      </c>
      <c r="S139" s="4">
        <f>130.78254/1.2</f>
        <v>108.98545000000001</v>
      </c>
      <c r="T139" s="25">
        <v>45015</v>
      </c>
      <c r="U139" s="30"/>
      <c r="V139" s="30" t="s">
        <v>59</v>
      </c>
    </row>
    <row r="140" spans="1:22" ht="62.4" x14ac:dyDescent="0.3">
      <c r="A140" s="30">
        <v>136</v>
      </c>
      <c r="B140" s="30" t="s">
        <v>40</v>
      </c>
      <c r="C140" s="12" t="s">
        <v>73</v>
      </c>
      <c r="D140" s="30"/>
      <c r="E140" s="30" t="s">
        <v>75</v>
      </c>
      <c r="F140" s="12" t="s">
        <v>343</v>
      </c>
      <c r="G140" s="18" t="s">
        <v>184</v>
      </c>
      <c r="H140" s="589">
        <v>153.88545000000002</v>
      </c>
      <c r="I140" s="19">
        <v>1</v>
      </c>
      <c r="J140" s="589">
        <v>153.88545000000002</v>
      </c>
      <c r="K140" s="589">
        <v>153.88545000000002</v>
      </c>
      <c r="L140" s="19">
        <v>1</v>
      </c>
      <c r="M140" s="589">
        <v>153.88545000000002</v>
      </c>
      <c r="N140" s="3" t="s">
        <v>350</v>
      </c>
      <c r="O140" s="25">
        <v>45016</v>
      </c>
      <c r="P140" s="20" t="str">
        <f>HYPERLINK("https://my.zakupki.prom.ua/remote/dispatcher/state_purchase_view/41743220", "UA-2023-03-31-004510-a")</f>
        <v>UA-2023-03-31-004510-a</v>
      </c>
      <c r="Q140" s="30">
        <v>153.88545000000002</v>
      </c>
      <c r="R140" s="19">
        <v>1</v>
      </c>
      <c r="S140" s="30">
        <v>153.88545000000002</v>
      </c>
      <c r="T140" s="25">
        <v>45016</v>
      </c>
      <c r="U140" s="30"/>
      <c r="V140" s="30" t="s">
        <v>59</v>
      </c>
    </row>
    <row r="141" spans="1:22" ht="30.75" customHeight="1" x14ac:dyDescent="0.3">
      <c r="A141" s="30">
        <v>137</v>
      </c>
      <c r="B141" s="30" t="s">
        <v>40</v>
      </c>
      <c r="C141" s="12" t="s">
        <v>73</v>
      </c>
      <c r="D141" s="30"/>
      <c r="E141" s="30" t="s">
        <v>75</v>
      </c>
      <c r="F141" s="12" t="s">
        <v>344</v>
      </c>
      <c r="G141" s="18" t="s">
        <v>184</v>
      </c>
      <c r="H141" s="589">
        <v>163.24846666666667</v>
      </c>
      <c r="I141" s="19">
        <v>1</v>
      </c>
      <c r="J141" s="589">
        <v>163.24846666666667</v>
      </c>
      <c r="K141" s="589">
        <v>163.24846666666667</v>
      </c>
      <c r="L141" s="19">
        <v>1</v>
      </c>
      <c r="M141" s="589">
        <v>163.24846666666667</v>
      </c>
      <c r="N141" s="3" t="s">
        <v>351</v>
      </c>
      <c r="O141" s="25">
        <v>45016</v>
      </c>
      <c r="P141" s="20" t="str">
        <f>HYPERLINK("https://my.zakupki.prom.ua/remote/dispatcher/state_purchase_view/41742784", "UA-2023-03-31-004318-a")</f>
        <v>UA-2023-03-31-004318-a</v>
      </c>
      <c r="Q141" s="30">
        <v>163.24846666666667</v>
      </c>
      <c r="R141" s="19">
        <v>1</v>
      </c>
      <c r="S141" s="30">
        <v>163.24846666666667</v>
      </c>
      <c r="T141" s="25">
        <v>45016</v>
      </c>
      <c r="U141" s="30"/>
      <c r="V141" s="30" t="s">
        <v>59</v>
      </c>
    </row>
    <row r="142" spans="1:22" ht="62.4" x14ac:dyDescent="0.3">
      <c r="A142" s="30">
        <v>138</v>
      </c>
      <c r="B142" s="30" t="s">
        <v>40</v>
      </c>
      <c r="C142" s="12" t="s">
        <v>73</v>
      </c>
      <c r="D142" s="30"/>
      <c r="E142" s="30" t="s">
        <v>75</v>
      </c>
      <c r="F142" s="12" t="s">
        <v>345</v>
      </c>
      <c r="G142" s="18" t="s">
        <v>184</v>
      </c>
      <c r="H142" s="589">
        <v>135.47093333333333</v>
      </c>
      <c r="I142" s="30">
        <v>1</v>
      </c>
      <c r="J142" s="589">
        <v>135.47093333333333</v>
      </c>
      <c r="K142" s="589">
        <v>135.47093333333333</v>
      </c>
      <c r="L142" s="30">
        <v>1</v>
      </c>
      <c r="M142" s="589">
        <v>135.47093333333333</v>
      </c>
      <c r="N142" s="3" t="s">
        <v>352</v>
      </c>
      <c r="O142" s="25">
        <v>45016</v>
      </c>
      <c r="P142" s="20" t="str">
        <f>HYPERLINK("https://my.zakupki.prom.ua/remote/dispatcher/state_purchase_view/41740883", "UA-2023-03-31-003446-a")</f>
        <v>UA-2023-03-31-003446-a</v>
      </c>
      <c r="Q142" s="30">
        <v>135.47093333333333</v>
      </c>
      <c r="R142" s="30">
        <v>1</v>
      </c>
      <c r="S142" s="30">
        <v>135.47093333333333</v>
      </c>
      <c r="T142" s="25">
        <v>45016</v>
      </c>
      <c r="U142" s="30"/>
      <c r="V142" s="30" t="s">
        <v>59</v>
      </c>
    </row>
    <row r="143" spans="1:22" ht="62.4" x14ac:dyDescent="0.3">
      <c r="A143" s="30">
        <v>139</v>
      </c>
      <c r="B143" s="30" t="s">
        <v>40</v>
      </c>
      <c r="C143" s="12" t="s">
        <v>73</v>
      </c>
      <c r="D143" s="30"/>
      <c r="E143" s="30" t="s">
        <v>75</v>
      </c>
      <c r="F143" s="12" t="s">
        <v>346</v>
      </c>
      <c r="G143" s="18" t="s">
        <v>184</v>
      </c>
      <c r="H143" s="589">
        <v>139.26370000000003</v>
      </c>
      <c r="I143" s="19">
        <v>1</v>
      </c>
      <c r="J143" s="589">
        <v>139.26370000000003</v>
      </c>
      <c r="K143" s="589">
        <v>139.26370000000003</v>
      </c>
      <c r="L143" s="19">
        <v>1</v>
      </c>
      <c r="M143" s="589">
        <v>139.26370000000003</v>
      </c>
      <c r="N143" s="3" t="s">
        <v>353</v>
      </c>
      <c r="O143" s="25">
        <v>45016</v>
      </c>
      <c r="P143" s="20" t="str">
        <f>HYPERLINK("https://my.zakupki.prom.ua/remote/dispatcher/state_purchase_view/41740483", "UA-2023-03-31-003235-a")</f>
        <v>UA-2023-03-31-003235-a</v>
      </c>
      <c r="Q143" s="30">
        <v>139.26370000000003</v>
      </c>
      <c r="R143" s="19">
        <v>1</v>
      </c>
      <c r="S143" s="30">
        <v>139.26370000000003</v>
      </c>
      <c r="T143" s="25">
        <v>45016</v>
      </c>
      <c r="U143" s="30"/>
      <c r="V143" s="30" t="s">
        <v>59</v>
      </c>
    </row>
    <row r="144" spans="1:22" ht="62.4" x14ac:dyDescent="0.3">
      <c r="A144" s="30">
        <v>140</v>
      </c>
      <c r="B144" s="30" t="s">
        <v>40</v>
      </c>
      <c r="C144" s="12" t="s">
        <v>73</v>
      </c>
      <c r="D144" s="30"/>
      <c r="E144" s="30" t="s">
        <v>75</v>
      </c>
      <c r="F144" s="12" t="s">
        <v>347</v>
      </c>
      <c r="G144" s="18" t="s">
        <v>184</v>
      </c>
      <c r="H144" s="589">
        <v>289.09326666666669</v>
      </c>
      <c r="I144" s="19">
        <v>1</v>
      </c>
      <c r="J144" s="589">
        <v>289.09326666666669</v>
      </c>
      <c r="K144" s="589">
        <v>289.09326666666669</v>
      </c>
      <c r="L144" s="19">
        <v>1</v>
      </c>
      <c r="M144" s="589">
        <v>289.09326666666669</v>
      </c>
      <c r="N144" s="3" t="s">
        <v>354</v>
      </c>
      <c r="O144" s="25">
        <v>45016</v>
      </c>
      <c r="P144" s="20" t="str">
        <f>HYPERLINK("https://my.zakupki.prom.ua/remote/dispatcher/state_purchase_view/41739408", "UA-2023-03-31-002787-a")</f>
        <v>UA-2023-03-31-002787-a</v>
      </c>
      <c r="Q144" s="30">
        <v>289.09326666666669</v>
      </c>
      <c r="R144" s="19">
        <v>1</v>
      </c>
      <c r="S144" s="30">
        <v>289.09326666666669</v>
      </c>
      <c r="T144" s="25">
        <v>45016</v>
      </c>
      <c r="U144" s="30"/>
      <c r="V144" s="30" t="s">
        <v>59</v>
      </c>
    </row>
    <row r="145" spans="1:22" ht="62.4" x14ac:dyDescent="0.3">
      <c r="A145" s="30">
        <v>141</v>
      </c>
      <c r="B145" s="30" t="s">
        <v>40</v>
      </c>
      <c r="C145" s="12" t="s">
        <v>73</v>
      </c>
      <c r="D145" s="30"/>
      <c r="E145" s="30" t="s">
        <v>75</v>
      </c>
      <c r="F145" s="12" t="s">
        <v>348</v>
      </c>
      <c r="G145" s="18" t="s">
        <v>184</v>
      </c>
      <c r="H145" s="589">
        <v>95.580883333333333</v>
      </c>
      <c r="I145" s="30">
        <v>1</v>
      </c>
      <c r="J145" s="589">
        <v>95.580883333333333</v>
      </c>
      <c r="K145" s="589">
        <v>95.580883333333333</v>
      </c>
      <c r="L145" s="30">
        <v>1</v>
      </c>
      <c r="M145" s="589">
        <v>95.580883333333333</v>
      </c>
      <c r="N145" s="3" t="s">
        <v>355</v>
      </c>
      <c r="O145" s="25">
        <v>45016</v>
      </c>
      <c r="P145" s="20" t="str">
        <f>HYPERLINK("https://my.zakupki.prom.ua/remote/dispatcher/state_purchase_view/41738442", "UA-2023-03-31-002313-a")</f>
        <v>UA-2023-03-31-002313-a</v>
      </c>
      <c r="Q145" s="30">
        <v>95.580883333333333</v>
      </c>
      <c r="R145" s="30">
        <v>1</v>
      </c>
      <c r="S145" s="30">
        <v>95.580883333333333</v>
      </c>
      <c r="T145" s="25">
        <v>45016</v>
      </c>
      <c r="U145" s="30"/>
      <c r="V145" s="30" t="s">
        <v>59</v>
      </c>
    </row>
    <row r="146" spans="1:22" ht="62.4" x14ac:dyDescent="0.3">
      <c r="A146" s="30">
        <v>142</v>
      </c>
      <c r="B146" s="30" t="s">
        <v>40</v>
      </c>
      <c r="C146" s="12" t="s">
        <v>73</v>
      </c>
      <c r="D146" s="30"/>
      <c r="E146" s="30" t="s">
        <v>75</v>
      </c>
      <c r="F146" s="12" t="s">
        <v>349</v>
      </c>
      <c r="G146" s="18" t="s">
        <v>184</v>
      </c>
      <c r="H146" s="589">
        <v>155.93403333333333</v>
      </c>
      <c r="I146" s="19">
        <v>1</v>
      </c>
      <c r="J146" s="589">
        <v>155.93403333333333</v>
      </c>
      <c r="K146" s="589">
        <v>155.93403333333333</v>
      </c>
      <c r="L146" s="19">
        <v>1</v>
      </c>
      <c r="M146" s="589">
        <v>155.93403333333333</v>
      </c>
      <c r="N146" s="3" t="s">
        <v>356</v>
      </c>
      <c r="O146" s="25">
        <v>45016</v>
      </c>
      <c r="P146" s="20" t="str">
        <f>HYPERLINK("https://my.zakupki.prom.ua/remote/dispatcher/state_purchase_view/41737679", "UA-2023-03-31-001976-a")</f>
        <v>UA-2023-03-31-001976-a</v>
      </c>
      <c r="Q146" s="30">
        <v>155.93403333333333</v>
      </c>
      <c r="R146" s="19">
        <v>1</v>
      </c>
      <c r="S146" s="30">
        <v>155.93403333333333</v>
      </c>
      <c r="T146" s="25">
        <v>45016</v>
      </c>
      <c r="U146" s="30"/>
      <c r="V146" s="30" t="s">
        <v>59</v>
      </c>
    </row>
    <row r="147" spans="1:22" ht="171.6" x14ac:dyDescent="0.3">
      <c r="A147" s="30">
        <v>143</v>
      </c>
      <c r="B147" s="30" t="s">
        <v>184</v>
      </c>
      <c r="C147" s="12" t="s">
        <v>41</v>
      </c>
      <c r="D147" s="30"/>
      <c r="E147" s="30" t="s">
        <v>88</v>
      </c>
      <c r="F147" s="12" t="s">
        <v>364</v>
      </c>
      <c r="G147" s="30" t="s">
        <v>184</v>
      </c>
      <c r="H147" s="589">
        <v>102.19039166666667</v>
      </c>
      <c r="I147" s="30">
        <v>1</v>
      </c>
      <c r="J147" s="589">
        <v>102.19039166666667</v>
      </c>
      <c r="K147" s="589">
        <v>102.19039166666667</v>
      </c>
      <c r="L147" s="30">
        <v>1</v>
      </c>
      <c r="M147" s="589">
        <v>102.19039166666667</v>
      </c>
      <c r="N147" s="3" t="s">
        <v>380</v>
      </c>
      <c r="O147" s="25">
        <v>45016</v>
      </c>
      <c r="P147" s="20" t="str">
        <f>HYPERLINK("https://my.zakupki.prom.ua/remote/dispatcher/state_purchase_view/41779380", "UA-2023-04-04-000044-a")</f>
        <v>UA-2023-04-04-000044-a</v>
      </c>
      <c r="Q147" s="30">
        <v>102.19039166666667</v>
      </c>
      <c r="R147" s="30">
        <v>1</v>
      </c>
      <c r="S147" s="30">
        <v>102.19039166666667</v>
      </c>
      <c r="T147" s="25">
        <v>45016</v>
      </c>
      <c r="U147" s="30"/>
      <c r="V147" s="30" t="s">
        <v>59</v>
      </c>
    </row>
    <row r="148" spans="1:22" ht="171.6" x14ac:dyDescent="0.3">
      <c r="A148" s="30">
        <v>144</v>
      </c>
      <c r="B148" s="30" t="s">
        <v>184</v>
      </c>
      <c r="C148" s="12" t="s">
        <v>41</v>
      </c>
      <c r="D148" s="30"/>
      <c r="E148" s="30" t="s">
        <v>88</v>
      </c>
      <c r="F148" s="12" t="s">
        <v>365</v>
      </c>
      <c r="G148" s="30" t="s">
        <v>184</v>
      </c>
      <c r="H148" s="589">
        <v>71.533266666666663</v>
      </c>
      <c r="I148" s="30">
        <v>1</v>
      </c>
      <c r="J148" s="589">
        <v>71.533266666666663</v>
      </c>
      <c r="K148" s="589">
        <v>71.533266666666663</v>
      </c>
      <c r="L148" s="30">
        <v>1</v>
      </c>
      <c r="M148" s="589">
        <v>71.533266666666663</v>
      </c>
      <c r="N148" s="3" t="s">
        <v>379</v>
      </c>
      <c r="O148" s="25">
        <v>45016</v>
      </c>
      <c r="P148" s="20" t="str">
        <f>HYPERLINK("https://my.zakupki.prom.ua/remote/dispatcher/state_purchase_view/41777563", "UA-2023-04-03-010636-a")</f>
        <v>UA-2023-04-03-010636-a</v>
      </c>
      <c r="Q148" s="30">
        <v>71.533266666666663</v>
      </c>
      <c r="R148" s="30">
        <v>1</v>
      </c>
      <c r="S148" s="30">
        <v>71.533266666666663</v>
      </c>
      <c r="T148" s="25">
        <v>45016</v>
      </c>
      <c r="U148" s="30"/>
      <c r="V148" s="30" t="s">
        <v>59</v>
      </c>
    </row>
    <row r="149" spans="1:22" ht="171.6" x14ac:dyDescent="0.3">
      <c r="A149" s="30">
        <v>145</v>
      </c>
      <c r="B149" s="30" t="s">
        <v>184</v>
      </c>
      <c r="C149" s="12" t="s">
        <v>41</v>
      </c>
      <c r="D149" s="30"/>
      <c r="E149" s="30" t="s">
        <v>88</v>
      </c>
      <c r="F149" s="12" t="s">
        <v>367</v>
      </c>
      <c r="G149" s="30" t="s">
        <v>184</v>
      </c>
      <c r="H149" s="589">
        <v>696.18994999999995</v>
      </c>
      <c r="I149" s="30">
        <v>1</v>
      </c>
      <c r="J149" s="589">
        <v>696.18994999999995</v>
      </c>
      <c r="K149" s="589">
        <v>696.18994999999995</v>
      </c>
      <c r="L149" s="30">
        <v>1</v>
      </c>
      <c r="M149" s="589">
        <v>696.18994999999995</v>
      </c>
      <c r="N149" s="3" t="s">
        <v>377</v>
      </c>
      <c r="O149" s="25">
        <v>45016</v>
      </c>
      <c r="P149" s="20" t="str">
        <f>HYPERLINK("https://my.zakupki.prom.ua/remote/dispatcher/state_purchase_view/41777364", "UA-2023-04-03-010551-a")</f>
        <v>UA-2023-04-03-010551-a</v>
      </c>
      <c r="Q149" s="30">
        <v>696.18994999999995</v>
      </c>
      <c r="R149" s="30">
        <v>1</v>
      </c>
      <c r="S149" s="30">
        <v>696.18994999999995</v>
      </c>
      <c r="T149" s="25">
        <v>45016</v>
      </c>
      <c r="U149" s="30"/>
      <c r="V149" s="30" t="s">
        <v>59</v>
      </c>
    </row>
    <row r="150" spans="1:22" ht="171.6" x14ac:dyDescent="0.3">
      <c r="A150" s="30">
        <v>146</v>
      </c>
      <c r="B150" s="30" t="s">
        <v>184</v>
      </c>
      <c r="C150" s="12" t="s">
        <v>41</v>
      </c>
      <c r="D150" s="30"/>
      <c r="E150" s="30" t="s">
        <v>88</v>
      </c>
      <c r="F150" s="12" t="s">
        <v>368</v>
      </c>
      <c r="G150" s="30" t="s">
        <v>184</v>
      </c>
      <c r="H150" s="589">
        <v>758.30493333333345</v>
      </c>
      <c r="I150" s="30">
        <v>1</v>
      </c>
      <c r="J150" s="589">
        <v>758.30493333333345</v>
      </c>
      <c r="K150" s="589">
        <v>758.30493333333345</v>
      </c>
      <c r="L150" s="30">
        <v>1</v>
      </c>
      <c r="M150" s="589">
        <v>758.30493333333345</v>
      </c>
      <c r="N150" s="3" t="s">
        <v>376</v>
      </c>
      <c r="O150" s="25">
        <v>45016</v>
      </c>
      <c r="P150" s="20" t="str">
        <f>HYPERLINK("https://my.zakupki.prom.ua/remote/dispatcher/state_purchase_view/41777201", "UA-2023-04-03-010464-a")</f>
        <v>UA-2023-04-03-010464-a</v>
      </c>
      <c r="Q150" s="30">
        <v>758.30493333333345</v>
      </c>
      <c r="R150" s="30">
        <v>1</v>
      </c>
      <c r="S150" s="30">
        <v>758.30493333333345</v>
      </c>
      <c r="T150" s="25">
        <v>45016</v>
      </c>
      <c r="U150" s="30"/>
      <c r="V150" s="30" t="s">
        <v>59</v>
      </c>
    </row>
    <row r="151" spans="1:22" ht="187.2" x14ac:dyDescent="0.3">
      <c r="A151" s="30">
        <v>147</v>
      </c>
      <c r="B151" s="30" t="s">
        <v>184</v>
      </c>
      <c r="C151" s="12" t="s">
        <v>41</v>
      </c>
      <c r="D151" s="30"/>
      <c r="E151" s="30" t="s">
        <v>88</v>
      </c>
      <c r="F151" s="12" t="s">
        <v>369</v>
      </c>
      <c r="G151" s="30" t="s">
        <v>184</v>
      </c>
      <c r="H151" s="589">
        <v>976.18724166666675</v>
      </c>
      <c r="I151" s="30">
        <v>1</v>
      </c>
      <c r="J151" s="589">
        <v>976.18724166666675</v>
      </c>
      <c r="K151" s="589">
        <v>976.18724166666675</v>
      </c>
      <c r="L151" s="30">
        <v>1</v>
      </c>
      <c r="M151" s="589">
        <v>976.18724166666675</v>
      </c>
      <c r="N151" s="3" t="s">
        <v>375</v>
      </c>
      <c r="O151" s="14">
        <v>45016</v>
      </c>
      <c r="P151" s="13" t="str">
        <f>HYPERLINK("https://my.zakupki.prom.ua/remote/dispatcher/state_purchase_view/41776988", "UA-2023-04-03-010385-a")</f>
        <v>UA-2023-04-03-010385-a</v>
      </c>
      <c r="Q151" s="30">
        <v>976.18724166666675</v>
      </c>
      <c r="R151" s="30">
        <v>1</v>
      </c>
      <c r="S151" s="30">
        <v>976.18724166666675</v>
      </c>
      <c r="T151" s="14">
        <v>45016</v>
      </c>
      <c r="U151" s="30"/>
      <c r="V151" s="30" t="s">
        <v>59</v>
      </c>
    </row>
    <row r="152" spans="1:22" ht="202.8" x14ac:dyDescent="0.3">
      <c r="A152" s="30">
        <v>148</v>
      </c>
      <c r="B152" s="30" t="s">
        <v>184</v>
      </c>
      <c r="C152" s="12" t="s">
        <v>41</v>
      </c>
      <c r="D152" s="30"/>
      <c r="E152" s="30" t="s">
        <v>88</v>
      </c>
      <c r="F152" s="12" t="s">
        <v>366</v>
      </c>
      <c r="G152" s="30" t="s">
        <v>184</v>
      </c>
      <c r="H152" s="589">
        <v>532.81869166666672</v>
      </c>
      <c r="I152" s="30">
        <v>1</v>
      </c>
      <c r="J152" s="589">
        <v>532.81869166666672</v>
      </c>
      <c r="K152" s="589">
        <v>532.81869166666672</v>
      </c>
      <c r="L152" s="30">
        <v>1</v>
      </c>
      <c r="M152" s="589">
        <v>532.81869166666672</v>
      </c>
      <c r="N152" s="3" t="s">
        <v>378</v>
      </c>
      <c r="O152" s="25">
        <v>45019</v>
      </c>
      <c r="P152" s="20" t="str">
        <f>HYPERLINK("https://my.zakupki.prom.ua/remote/dispatcher/state_purchase_view/41777421", "UA-2023-04-03-010561-a")</f>
        <v>UA-2023-04-03-010561-a</v>
      </c>
      <c r="Q152" s="30">
        <v>532.81869166666672</v>
      </c>
      <c r="R152" s="30">
        <v>1</v>
      </c>
      <c r="S152" s="30">
        <v>532.81869166666672</v>
      </c>
      <c r="T152" s="25">
        <v>45019</v>
      </c>
      <c r="U152" s="30"/>
      <c r="V152" s="30" t="s">
        <v>59</v>
      </c>
    </row>
    <row r="153" spans="1:22" ht="46.8" x14ac:dyDescent="0.3">
      <c r="A153" s="30">
        <v>149</v>
      </c>
      <c r="B153" s="30" t="s">
        <v>21</v>
      </c>
      <c r="C153" s="12" t="s">
        <v>171</v>
      </c>
      <c r="D153" s="30" t="s">
        <v>58</v>
      </c>
      <c r="E153" s="446" t="s">
        <v>20</v>
      </c>
      <c r="F153" s="12" t="s">
        <v>370</v>
      </c>
      <c r="G153" s="30" t="s">
        <v>186</v>
      </c>
      <c r="H153" s="589"/>
      <c r="I153" s="17">
        <v>4</v>
      </c>
      <c r="J153" s="589">
        <v>276.76841666666667</v>
      </c>
      <c r="K153" s="589"/>
      <c r="L153" s="17">
        <v>4</v>
      </c>
      <c r="M153" s="589">
        <v>276.76841666666667</v>
      </c>
      <c r="N153" s="3" t="s">
        <v>374</v>
      </c>
      <c r="O153" s="31">
        <v>45019</v>
      </c>
      <c r="P153" s="13" t="str">
        <f>HYPERLINK("https://my.zakupki.prom.ua/remote/dispatcher/state_purchase_view/41776493", "UA-2023-04-03-010145-a")</f>
        <v>UA-2023-04-03-010145-a</v>
      </c>
      <c r="Q153" s="30"/>
      <c r="R153" s="17">
        <v>4</v>
      </c>
      <c r="S153" s="30">
        <v>276.76841666666667</v>
      </c>
      <c r="T153" s="31">
        <v>45042</v>
      </c>
      <c r="U153" s="30"/>
      <c r="V153" s="30"/>
    </row>
    <row r="154" spans="1:22" ht="78" x14ac:dyDescent="0.3">
      <c r="A154" s="30">
        <v>150</v>
      </c>
      <c r="B154" s="30" t="s">
        <v>21</v>
      </c>
      <c r="C154" s="12" t="s">
        <v>372</v>
      </c>
      <c r="D154" s="30" t="s">
        <v>58</v>
      </c>
      <c r="E154" s="446" t="s">
        <v>20</v>
      </c>
      <c r="F154" s="12" t="s">
        <v>371</v>
      </c>
      <c r="G154" s="30" t="s">
        <v>186</v>
      </c>
      <c r="H154" s="589">
        <v>914.16666666666674</v>
      </c>
      <c r="I154" s="17">
        <v>43</v>
      </c>
      <c r="J154" s="589">
        <v>914.16666666666674</v>
      </c>
      <c r="K154" s="589">
        <v>914.16666666666674</v>
      </c>
      <c r="L154" s="17">
        <v>43</v>
      </c>
      <c r="M154" s="589">
        <v>914.16666666666674</v>
      </c>
      <c r="N154" s="3" t="s">
        <v>373</v>
      </c>
      <c r="O154" s="31">
        <v>45019</v>
      </c>
      <c r="P154" s="13" t="str">
        <f>HYPERLINK("https://my.zakupki.prom.ua/remote/dispatcher/state_purchase_view/41755715", "UA-2023-04-03-000950-a")</f>
        <v>UA-2023-04-03-000950-a</v>
      </c>
      <c r="Q154" s="30"/>
      <c r="R154" s="17">
        <v>43</v>
      </c>
      <c r="S154" s="30">
        <f>1051592.88/1000/1.2</f>
        <v>876.32740000000001</v>
      </c>
      <c r="T154" s="31">
        <v>45035</v>
      </c>
      <c r="U154" s="30"/>
      <c r="V154" s="30"/>
    </row>
    <row r="155" spans="1:22" ht="202.8" x14ac:dyDescent="0.3">
      <c r="A155" s="30">
        <v>151</v>
      </c>
      <c r="B155" s="30" t="s">
        <v>184</v>
      </c>
      <c r="C155" s="12" t="s">
        <v>41</v>
      </c>
      <c r="D155" s="30"/>
      <c r="E155" s="30" t="s">
        <v>88</v>
      </c>
      <c r="F155" s="12" t="s">
        <v>359</v>
      </c>
      <c r="G155" s="30" t="s">
        <v>184</v>
      </c>
      <c r="H155" s="589">
        <v>587.16880000000003</v>
      </c>
      <c r="I155" s="30">
        <v>1</v>
      </c>
      <c r="J155" s="589">
        <v>587.16880000000003</v>
      </c>
      <c r="K155" s="589">
        <v>587.16880000000003</v>
      </c>
      <c r="L155" s="30">
        <v>1</v>
      </c>
      <c r="M155" s="589">
        <v>587.16880000000003</v>
      </c>
      <c r="N155" s="3" t="s">
        <v>385</v>
      </c>
      <c r="O155" s="25">
        <v>45020</v>
      </c>
      <c r="P155" s="20" t="str">
        <f>HYPERLINK("https://my.zakupki.prom.ua/remote/dispatcher/state_purchase_view/41781166", "UA-2023-04-04-000779-a")</f>
        <v>UA-2023-04-04-000779-a</v>
      </c>
      <c r="Q155" s="30">
        <v>587.16880000000003</v>
      </c>
      <c r="R155" s="30">
        <v>1</v>
      </c>
      <c r="S155" s="30">
        <v>587.16880000000003</v>
      </c>
      <c r="T155" s="25">
        <v>45016</v>
      </c>
      <c r="U155" s="30"/>
      <c r="V155" s="30" t="s">
        <v>59</v>
      </c>
    </row>
    <row r="156" spans="1:22" ht="202.8" x14ac:dyDescent="0.3">
      <c r="A156" s="30">
        <v>152</v>
      </c>
      <c r="B156" s="30" t="s">
        <v>184</v>
      </c>
      <c r="C156" s="12" t="s">
        <v>41</v>
      </c>
      <c r="D156" s="30"/>
      <c r="E156" s="30" t="s">
        <v>88</v>
      </c>
      <c r="F156" s="12" t="s">
        <v>360</v>
      </c>
      <c r="G156" s="30" t="s">
        <v>184</v>
      </c>
      <c r="H156" s="589">
        <v>104.89009999999999</v>
      </c>
      <c r="I156" s="30">
        <v>1</v>
      </c>
      <c r="J156" s="589">
        <v>104.89009999999999</v>
      </c>
      <c r="K156" s="589">
        <v>104.89009999999999</v>
      </c>
      <c r="L156" s="30">
        <v>1</v>
      </c>
      <c r="M156" s="589">
        <v>104.89009999999999</v>
      </c>
      <c r="N156" s="3" t="s">
        <v>384</v>
      </c>
      <c r="O156" s="25">
        <v>45020</v>
      </c>
      <c r="P156" s="20" t="str">
        <f>HYPERLINK("https://my.zakupki.prom.ua/remote/dispatcher/state_purchase_view/41780913", "UA-2023-04-04-000680-a")</f>
        <v>UA-2023-04-04-000680-a</v>
      </c>
      <c r="Q156" s="30">
        <v>104.89009999999999</v>
      </c>
      <c r="R156" s="30">
        <v>1</v>
      </c>
      <c r="S156" s="30">
        <v>104.89009999999999</v>
      </c>
      <c r="T156" s="25">
        <v>45016</v>
      </c>
      <c r="U156" s="30"/>
      <c r="V156" s="30" t="s">
        <v>59</v>
      </c>
    </row>
    <row r="157" spans="1:22" ht="202.8" x14ac:dyDescent="0.3">
      <c r="A157" s="30">
        <v>153</v>
      </c>
      <c r="B157" s="30" t="s">
        <v>184</v>
      </c>
      <c r="C157" s="12" t="s">
        <v>41</v>
      </c>
      <c r="D157" s="30"/>
      <c r="E157" s="30" t="s">
        <v>88</v>
      </c>
      <c r="F157" s="12" t="s">
        <v>361</v>
      </c>
      <c r="G157" s="30" t="s">
        <v>184</v>
      </c>
      <c r="H157" s="589">
        <v>583.41170000000011</v>
      </c>
      <c r="I157" s="30">
        <v>1</v>
      </c>
      <c r="J157" s="589">
        <v>583.41170000000011</v>
      </c>
      <c r="K157" s="589">
        <v>583.41170000000011</v>
      </c>
      <c r="L157" s="30">
        <v>1</v>
      </c>
      <c r="M157" s="589">
        <v>583.41170000000011</v>
      </c>
      <c r="N157" s="3" t="s">
        <v>383</v>
      </c>
      <c r="O157" s="25">
        <v>45020</v>
      </c>
      <c r="P157" s="20" t="str">
        <f>HYPERLINK("https://my.zakupki.prom.ua/remote/dispatcher/state_purchase_view/41780303", "UA-2023-04-04-000406-a")</f>
        <v>UA-2023-04-04-000406-a</v>
      </c>
      <c r="Q157" s="30">
        <v>583.41170000000011</v>
      </c>
      <c r="R157" s="30">
        <v>1</v>
      </c>
      <c r="S157" s="30">
        <v>583.41170000000011</v>
      </c>
      <c r="T157" s="25">
        <v>45016</v>
      </c>
      <c r="U157" s="30"/>
      <c r="V157" s="30" t="s">
        <v>59</v>
      </c>
    </row>
    <row r="158" spans="1:22" ht="202.8" x14ac:dyDescent="0.3">
      <c r="A158" s="30">
        <v>154</v>
      </c>
      <c r="B158" s="30" t="s">
        <v>184</v>
      </c>
      <c r="C158" s="12" t="s">
        <v>41</v>
      </c>
      <c r="D158" s="30"/>
      <c r="E158" s="30" t="s">
        <v>88</v>
      </c>
      <c r="F158" s="12" t="s">
        <v>362</v>
      </c>
      <c r="G158" s="30" t="s">
        <v>184</v>
      </c>
      <c r="H158" s="589">
        <v>377.21148333333338</v>
      </c>
      <c r="I158" s="30">
        <v>1</v>
      </c>
      <c r="J158" s="589">
        <v>377.21148333333338</v>
      </c>
      <c r="K158" s="589">
        <v>377.21148333333338</v>
      </c>
      <c r="L158" s="30">
        <v>1</v>
      </c>
      <c r="M158" s="589">
        <v>377.21148333333338</v>
      </c>
      <c r="N158" s="3" t="s">
        <v>382</v>
      </c>
      <c r="O158" s="25">
        <v>45020</v>
      </c>
      <c r="P158" s="20" t="str">
        <f>HYPERLINK("https://my.zakupki.prom.ua/remote/dispatcher/state_purchase_view/41779624", "UA-2023-04-04-000133-a")</f>
        <v>UA-2023-04-04-000133-a</v>
      </c>
      <c r="Q158" s="30">
        <v>377.21148333333338</v>
      </c>
      <c r="R158" s="30">
        <v>1</v>
      </c>
      <c r="S158" s="30">
        <v>377.21148333333338</v>
      </c>
      <c r="T158" s="25">
        <v>45019</v>
      </c>
      <c r="U158" s="30"/>
      <c r="V158" s="30" t="s">
        <v>59</v>
      </c>
    </row>
    <row r="159" spans="1:22" ht="93.6" x14ac:dyDescent="0.3">
      <c r="A159" s="30">
        <v>155</v>
      </c>
      <c r="B159" s="30" t="s">
        <v>184</v>
      </c>
      <c r="C159" s="12" t="s">
        <v>41</v>
      </c>
      <c r="D159" s="30"/>
      <c r="E159" s="30" t="s">
        <v>88</v>
      </c>
      <c r="F159" s="12" t="s">
        <v>363</v>
      </c>
      <c r="G159" s="30" t="s">
        <v>184</v>
      </c>
      <c r="H159" s="589">
        <v>268.31505833333335</v>
      </c>
      <c r="I159" s="30">
        <v>1</v>
      </c>
      <c r="J159" s="589">
        <v>268.31505833333335</v>
      </c>
      <c r="K159" s="589">
        <v>268.31505833333335</v>
      </c>
      <c r="L159" s="30">
        <v>1</v>
      </c>
      <c r="M159" s="589">
        <v>268.31505833333335</v>
      </c>
      <c r="N159" s="3" t="s">
        <v>381</v>
      </c>
      <c r="O159" s="25">
        <v>45020</v>
      </c>
      <c r="P159" s="20" t="str">
        <f>HYPERLINK("https://my.zakupki.prom.ua/remote/dispatcher/state_purchase_view/41779398", "UA-2023-04-04-000049-a")</f>
        <v>UA-2023-04-04-000049-a</v>
      </c>
      <c r="Q159" s="30">
        <v>268.31505833333335</v>
      </c>
      <c r="R159" s="30">
        <v>1</v>
      </c>
      <c r="S159" s="30">
        <v>268.31505833333335</v>
      </c>
      <c r="T159" s="25">
        <v>45019</v>
      </c>
      <c r="U159" s="30"/>
      <c r="V159" s="30" t="s">
        <v>59</v>
      </c>
    </row>
    <row r="160" spans="1:22" ht="46.8" x14ac:dyDescent="0.3">
      <c r="A160" s="30">
        <v>156</v>
      </c>
      <c r="B160" s="30" t="s">
        <v>40</v>
      </c>
      <c r="C160" s="26" t="s">
        <v>388</v>
      </c>
      <c r="D160" s="30" t="s">
        <v>58</v>
      </c>
      <c r="E160" s="30" t="s">
        <v>88</v>
      </c>
      <c r="F160" s="30" t="s">
        <v>389</v>
      </c>
      <c r="G160" s="30" t="s">
        <v>184</v>
      </c>
      <c r="H160" s="589">
        <f>28358391.58/1000/1.2</f>
        <v>23631.992983333334</v>
      </c>
      <c r="I160" s="30">
        <v>1</v>
      </c>
      <c r="J160" s="589">
        <f>28358391.58/1000/1.2</f>
        <v>23631.992983333334</v>
      </c>
      <c r="K160" s="589">
        <f>28358391.58/1000/1.2</f>
        <v>23631.992983333334</v>
      </c>
      <c r="L160" s="30">
        <v>1</v>
      </c>
      <c r="M160" s="589">
        <f>28358391.58/1000/1.2</f>
        <v>23631.992983333334</v>
      </c>
      <c r="N160" s="3" t="s">
        <v>386</v>
      </c>
      <c r="O160" s="31">
        <v>45020</v>
      </c>
      <c r="P160" s="16" t="s">
        <v>387</v>
      </c>
      <c r="Q160" s="30">
        <f>28338391.58/1000/1.2</f>
        <v>23615.326316666666</v>
      </c>
      <c r="R160" s="30">
        <v>1</v>
      </c>
      <c r="S160" s="30">
        <f>28338391.58/1000/1.2</f>
        <v>23615.326316666666</v>
      </c>
      <c r="T160" s="31"/>
      <c r="U160" s="30"/>
      <c r="V160" s="30"/>
    </row>
    <row r="161" spans="1:22" ht="140.4" x14ac:dyDescent="0.3">
      <c r="A161" s="30">
        <v>157</v>
      </c>
      <c r="B161" s="30" t="s">
        <v>21</v>
      </c>
      <c r="C161" s="520" t="s">
        <v>36</v>
      </c>
      <c r="D161" s="30"/>
      <c r="E161" s="30" t="s">
        <v>88</v>
      </c>
      <c r="F161" s="12" t="s">
        <v>394</v>
      </c>
      <c r="G161" s="30" t="s">
        <v>185</v>
      </c>
      <c r="H161" s="589"/>
      <c r="I161" s="17">
        <v>28</v>
      </c>
      <c r="J161" s="589">
        <v>116.76</v>
      </c>
      <c r="K161" s="589"/>
      <c r="L161" s="17">
        <v>28</v>
      </c>
      <c r="M161" s="589">
        <v>116.76</v>
      </c>
      <c r="N161" s="3" t="s">
        <v>397</v>
      </c>
      <c r="O161" s="14">
        <v>45020</v>
      </c>
      <c r="P161" s="13" t="str">
        <f>HYPERLINK("https://my.zakupki.prom.ua/remote/dispatcher/state_purchase_view/41781756", "UA-2023-04-04-001043-a")</f>
        <v>UA-2023-04-04-001043-a</v>
      </c>
      <c r="Q161" s="30"/>
      <c r="R161" s="30">
        <v>28</v>
      </c>
      <c r="S161" s="30">
        <v>116.76</v>
      </c>
      <c r="T161" s="31">
        <v>45020</v>
      </c>
      <c r="U161" s="30"/>
      <c r="V161" s="30" t="s">
        <v>59</v>
      </c>
    </row>
    <row r="162" spans="1:22" ht="202.8" x14ac:dyDescent="0.3">
      <c r="A162" s="30">
        <v>158</v>
      </c>
      <c r="B162" s="30" t="s">
        <v>40</v>
      </c>
      <c r="C162" s="520" t="s">
        <v>41</v>
      </c>
      <c r="D162" s="30"/>
      <c r="E162" s="30" t="s">
        <v>88</v>
      </c>
      <c r="F162" s="12" t="s">
        <v>359</v>
      </c>
      <c r="G162" s="30" t="s">
        <v>184</v>
      </c>
      <c r="H162" s="589">
        <v>587.16880000000003</v>
      </c>
      <c r="I162" s="17">
        <v>1</v>
      </c>
      <c r="J162" s="589">
        <v>587.16880000000003</v>
      </c>
      <c r="K162" s="589">
        <v>587.16880000000003</v>
      </c>
      <c r="L162" s="17">
        <v>1</v>
      </c>
      <c r="M162" s="589">
        <v>587.16880000000003</v>
      </c>
      <c r="N162" s="3" t="s">
        <v>385</v>
      </c>
      <c r="O162" s="14">
        <v>45020</v>
      </c>
      <c r="P162" s="13" t="str">
        <f>HYPERLINK("https://my.zakupki.prom.ua/remote/dispatcher/state_purchase_view/41781166", "UA-2023-04-04-000779-a")</f>
        <v>UA-2023-04-04-000779-a</v>
      </c>
      <c r="Q162" s="30">
        <v>587.16880000000003</v>
      </c>
      <c r="R162" s="17">
        <v>1</v>
      </c>
      <c r="S162" s="30">
        <v>587.16880000000003</v>
      </c>
      <c r="T162" s="31">
        <v>45016</v>
      </c>
      <c r="U162" s="30"/>
      <c r="V162" s="30" t="s">
        <v>59</v>
      </c>
    </row>
    <row r="163" spans="1:22" ht="202.8" x14ac:dyDescent="0.3">
      <c r="A163" s="30">
        <v>159</v>
      </c>
      <c r="B163" s="30" t="s">
        <v>40</v>
      </c>
      <c r="C163" s="520" t="s">
        <v>41</v>
      </c>
      <c r="D163" s="30"/>
      <c r="E163" s="30" t="s">
        <v>88</v>
      </c>
      <c r="F163" s="12" t="s">
        <v>360</v>
      </c>
      <c r="G163" s="30" t="s">
        <v>184</v>
      </c>
      <c r="H163" s="589">
        <v>104.89009999999999</v>
      </c>
      <c r="I163" s="17">
        <v>1</v>
      </c>
      <c r="J163" s="589">
        <v>104.89009999999999</v>
      </c>
      <c r="K163" s="589">
        <v>104.89009999999999</v>
      </c>
      <c r="L163" s="17">
        <v>1</v>
      </c>
      <c r="M163" s="589">
        <v>104.89009999999999</v>
      </c>
      <c r="N163" s="3" t="s">
        <v>384</v>
      </c>
      <c r="O163" s="14">
        <v>45020</v>
      </c>
      <c r="P163" s="13" t="str">
        <f>HYPERLINK("https://my.zakupki.prom.ua/remote/dispatcher/state_purchase_view/41780913", "UA-2023-04-04-000680-a")</f>
        <v>UA-2023-04-04-000680-a</v>
      </c>
      <c r="Q163" s="30">
        <v>104.89009999999999</v>
      </c>
      <c r="R163" s="17">
        <v>1</v>
      </c>
      <c r="S163" s="30">
        <v>104.89009999999999</v>
      </c>
      <c r="T163" s="31">
        <v>45016</v>
      </c>
      <c r="U163" s="30"/>
      <c r="V163" s="30" t="s">
        <v>59</v>
      </c>
    </row>
    <row r="164" spans="1:22" ht="202.8" x14ac:dyDescent="0.3">
      <c r="A164" s="30">
        <v>160</v>
      </c>
      <c r="B164" s="30" t="s">
        <v>40</v>
      </c>
      <c r="C164" s="520" t="s">
        <v>41</v>
      </c>
      <c r="D164" s="30"/>
      <c r="E164" s="30" t="s">
        <v>88</v>
      </c>
      <c r="F164" s="12" t="s">
        <v>361</v>
      </c>
      <c r="G164" s="30" t="s">
        <v>184</v>
      </c>
      <c r="H164" s="589">
        <v>583.41170000000011</v>
      </c>
      <c r="I164" s="17">
        <v>1</v>
      </c>
      <c r="J164" s="589">
        <v>583.41170000000011</v>
      </c>
      <c r="K164" s="589">
        <v>583.41170000000011</v>
      </c>
      <c r="L164" s="17">
        <v>1</v>
      </c>
      <c r="M164" s="589">
        <v>583.41170000000011</v>
      </c>
      <c r="N164" s="3" t="s">
        <v>383</v>
      </c>
      <c r="O164" s="14">
        <v>45020</v>
      </c>
      <c r="P164" s="13" t="str">
        <f>HYPERLINK("https://my.zakupki.prom.ua/remote/dispatcher/state_purchase_view/41780303", "UA-2023-04-04-000406-a")</f>
        <v>UA-2023-04-04-000406-a</v>
      </c>
      <c r="Q164" s="30">
        <v>583.41170000000011</v>
      </c>
      <c r="R164" s="17">
        <v>1</v>
      </c>
      <c r="S164" s="30">
        <v>583.41170000000011</v>
      </c>
      <c r="T164" s="31">
        <v>45016</v>
      </c>
      <c r="U164" s="30"/>
      <c r="V164" s="30" t="s">
        <v>59</v>
      </c>
    </row>
    <row r="165" spans="1:22" ht="202.8" x14ac:dyDescent="0.3">
      <c r="A165" s="30">
        <v>161</v>
      </c>
      <c r="B165" s="30" t="s">
        <v>40</v>
      </c>
      <c r="C165" s="520" t="s">
        <v>41</v>
      </c>
      <c r="D165" s="30"/>
      <c r="E165" s="30" t="s">
        <v>88</v>
      </c>
      <c r="F165" s="12" t="s">
        <v>362</v>
      </c>
      <c r="G165" s="30" t="s">
        <v>184</v>
      </c>
      <c r="H165" s="589">
        <v>377.21148333333338</v>
      </c>
      <c r="I165" s="17">
        <v>1</v>
      </c>
      <c r="J165" s="589">
        <v>377.21148333333338</v>
      </c>
      <c r="K165" s="589">
        <v>377.21148333333338</v>
      </c>
      <c r="L165" s="17">
        <v>1</v>
      </c>
      <c r="M165" s="589">
        <v>377.21148333333338</v>
      </c>
      <c r="N165" s="3" t="s">
        <v>382</v>
      </c>
      <c r="O165" s="14">
        <v>45020</v>
      </c>
      <c r="P165" s="13" t="str">
        <f>HYPERLINK("https://my.zakupki.prom.ua/remote/dispatcher/state_purchase_view/41779624", "UA-2023-04-04-000133-a")</f>
        <v>UA-2023-04-04-000133-a</v>
      </c>
      <c r="Q165" s="30">
        <v>377.21148333333338</v>
      </c>
      <c r="R165" s="17">
        <v>1</v>
      </c>
      <c r="S165" s="30">
        <v>377.21148333333338</v>
      </c>
      <c r="T165" s="31">
        <v>45019</v>
      </c>
      <c r="U165" s="30"/>
      <c r="V165" s="30" t="s">
        <v>59</v>
      </c>
    </row>
    <row r="166" spans="1:22" ht="93.6" x14ac:dyDescent="0.3">
      <c r="A166" s="30">
        <v>162</v>
      </c>
      <c r="B166" s="30" t="s">
        <v>40</v>
      </c>
      <c r="C166" s="520" t="s">
        <v>41</v>
      </c>
      <c r="D166" s="30"/>
      <c r="E166" s="30" t="s">
        <v>88</v>
      </c>
      <c r="F166" s="12" t="s">
        <v>363</v>
      </c>
      <c r="G166" s="30" t="s">
        <v>184</v>
      </c>
      <c r="H166" s="589">
        <v>268.31505833333335</v>
      </c>
      <c r="I166" s="17">
        <v>1</v>
      </c>
      <c r="J166" s="589">
        <v>268.31505833333335</v>
      </c>
      <c r="K166" s="589">
        <v>268.31505833333335</v>
      </c>
      <c r="L166" s="17">
        <v>1</v>
      </c>
      <c r="M166" s="589">
        <v>268.31505833333335</v>
      </c>
      <c r="N166" s="3" t="s">
        <v>381</v>
      </c>
      <c r="O166" s="14">
        <v>45020</v>
      </c>
      <c r="P166" s="13" t="str">
        <f>HYPERLINK("https://my.zakupki.prom.ua/remote/dispatcher/state_purchase_view/41779398", "UA-2023-04-04-000049-a")</f>
        <v>UA-2023-04-04-000049-a</v>
      </c>
      <c r="Q166" s="30">
        <v>268.31505833333335</v>
      </c>
      <c r="R166" s="17">
        <v>1</v>
      </c>
      <c r="S166" s="30">
        <v>268.31505833333335</v>
      </c>
      <c r="T166" s="31">
        <v>45019</v>
      </c>
      <c r="U166" s="30"/>
      <c r="V166" s="30" t="s">
        <v>59</v>
      </c>
    </row>
    <row r="167" spans="1:22" ht="171.6" x14ac:dyDescent="0.3">
      <c r="A167" s="30">
        <v>163</v>
      </c>
      <c r="B167" s="30" t="s">
        <v>40</v>
      </c>
      <c r="C167" s="520" t="s">
        <v>41</v>
      </c>
      <c r="D167" s="30"/>
      <c r="E167" s="30" t="s">
        <v>88</v>
      </c>
      <c r="F167" s="12" t="s">
        <v>364</v>
      </c>
      <c r="G167" s="30" t="s">
        <v>184</v>
      </c>
      <c r="H167" s="589">
        <v>102.19039166666667</v>
      </c>
      <c r="I167" s="17">
        <v>1</v>
      </c>
      <c r="J167" s="589">
        <v>102.19039166666667</v>
      </c>
      <c r="K167" s="589">
        <v>102.19039166666667</v>
      </c>
      <c r="L167" s="17">
        <v>1</v>
      </c>
      <c r="M167" s="589">
        <v>102.19039166666667</v>
      </c>
      <c r="N167" s="3" t="s">
        <v>380</v>
      </c>
      <c r="O167" s="14">
        <v>45020</v>
      </c>
      <c r="P167" s="13" t="str">
        <f>HYPERLINK("https://my.zakupki.prom.ua/remote/dispatcher/state_purchase_view/41779380", "UA-2023-04-04-000044-a")</f>
        <v>UA-2023-04-04-000044-a</v>
      </c>
      <c r="Q167" s="30">
        <v>102.19039166666667</v>
      </c>
      <c r="R167" s="17">
        <v>1</v>
      </c>
      <c r="S167" s="30">
        <v>102.19039166666667</v>
      </c>
      <c r="T167" s="31">
        <v>45016</v>
      </c>
      <c r="U167" s="30"/>
      <c r="V167" s="30" t="s">
        <v>59</v>
      </c>
    </row>
    <row r="168" spans="1:22" ht="62.4" x14ac:dyDescent="0.3">
      <c r="A168" s="30">
        <v>164</v>
      </c>
      <c r="B168" s="30" t="s">
        <v>40</v>
      </c>
      <c r="C168" s="520" t="s">
        <v>41</v>
      </c>
      <c r="D168" s="30"/>
      <c r="E168" s="446" t="s">
        <v>20</v>
      </c>
      <c r="F168" s="12" t="s">
        <v>391</v>
      </c>
      <c r="G168" s="30" t="s">
        <v>184</v>
      </c>
      <c r="H168" s="589">
        <v>773.17223333333334</v>
      </c>
      <c r="I168" s="17">
        <v>1</v>
      </c>
      <c r="J168" s="589">
        <v>773.17223333333334</v>
      </c>
      <c r="K168" s="589">
        <v>773.17223333333334</v>
      </c>
      <c r="L168" s="17">
        <v>1</v>
      </c>
      <c r="M168" s="589">
        <v>773.17223333333334</v>
      </c>
      <c r="N168" s="3" t="s">
        <v>398</v>
      </c>
      <c r="O168" s="14">
        <v>45021</v>
      </c>
      <c r="P168" s="13" t="str">
        <f>HYPERLINK("https://my.zakupki.prom.ua/remote/dispatcher/state_purchase_view/41830605", "UA-2023-04-05-010348-a")</f>
        <v>UA-2023-04-05-010348-a</v>
      </c>
      <c r="Q168" s="30">
        <v>773.17223333333334</v>
      </c>
      <c r="R168" s="17">
        <v>1</v>
      </c>
      <c r="S168" s="30">
        <v>773.17223333333334</v>
      </c>
      <c r="T168" s="31">
        <v>45021</v>
      </c>
      <c r="U168" s="30"/>
      <c r="V168" s="30" t="s">
        <v>59</v>
      </c>
    </row>
    <row r="169" spans="1:22" ht="109.2" x14ac:dyDescent="0.3">
      <c r="A169" s="30">
        <v>165</v>
      </c>
      <c r="B169" s="30" t="s">
        <v>40</v>
      </c>
      <c r="C169" s="520" t="s">
        <v>41</v>
      </c>
      <c r="D169" s="30"/>
      <c r="E169" s="446" t="s">
        <v>20</v>
      </c>
      <c r="F169" s="12" t="s">
        <v>392</v>
      </c>
      <c r="G169" s="30" t="s">
        <v>184</v>
      </c>
      <c r="H169" s="589">
        <v>433.25754999999998</v>
      </c>
      <c r="I169" s="17">
        <v>1</v>
      </c>
      <c r="J169" s="589">
        <v>433.25754999999998</v>
      </c>
      <c r="K169" s="589">
        <v>433.25754999999998</v>
      </c>
      <c r="L169" s="17">
        <v>1</v>
      </c>
      <c r="M169" s="589">
        <v>433.25754999999998</v>
      </c>
      <c r="N169" s="3" t="s">
        <v>399</v>
      </c>
      <c r="O169" s="14">
        <v>45021</v>
      </c>
      <c r="P169" s="13" t="str">
        <f>HYPERLINK("https://my.zakupki.prom.ua/remote/dispatcher/state_purchase_view/41829038", "UA-2023-04-05-009691-a")</f>
        <v>UA-2023-04-05-009691-a</v>
      </c>
      <c r="Q169" s="30">
        <v>433.25754999999998</v>
      </c>
      <c r="R169" s="17">
        <v>1</v>
      </c>
      <c r="S169" s="30">
        <v>433.25754999999998</v>
      </c>
      <c r="T169" s="31">
        <v>45021</v>
      </c>
      <c r="U169" s="30"/>
      <c r="V169" s="30" t="s">
        <v>59</v>
      </c>
    </row>
    <row r="170" spans="1:22" ht="62.4" x14ac:dyDescent="0.3">
      <c r="A170" s="30">
        <v>166</v>
      </c>
      <c r="B170" s="30" t="s">
        <v>40</v>
      </c>
      <c r="C170" s="520" t="s">
        <v>395</v>
      </c>
      <c r="D170" s="30"/>
      <c r="E170" s="30" t="s">
        <v>75</v>
      </c>
      <c r="F170" s="12" t="s">
        <v>393</v>
      </c>
      <c r="G170" s="30" t="s">
        <v>184</v>
      </c>
      <c r="H170" s="589">
        <v>147.59993333333335</v>
      </c>
      <c r="I170" s="17">
        <v>1</v>
      </c>
      <c r="J170" s="589">
        <v>147.59993333333335</v>
      </c>
      <c r="K170" s="589">
        <v>147.59993333333335</v>
      </c>
      <c r="L170" s="17">
        <v>1</v>
      </c>
      <c r="M170" s="589">
        <v>147.59993333333335</v>
      </c>
      <c r="N170" s="3" t="s">
        <v>400</v>
      </c>
      <c r="O170" s="14">
        <v>45021</v>
      </c>
      <c r="P170" s="13" t="str">
        <f>HYPERLINK("https://my.zakupki.prom.ua/remote/dispatcher/state_purchase_view/41816730", "UA-2023-04-05-004163-a")</f>
        <v>UA-2023-04-05-004163-a</v>
      </c>
      <c r="Q170" s="30">
        <v>147.59993333333335</v>
      </c>
      <c r="R170" s="17">
        <v>1</v>
      </c>
      <c r="S170" s="30">
        <v>147.59993333333335</v>
      </c>
      <c r="T170" s="31">
        <v>45015</v>
      </c>
      <c r="U170" s="30"/>
      <c r="V170" s="30" t="s">
        <v>59</v>
      </c>
    </row>
    <row r="171" spans="1:22" ht="62.4" x14ac:dyDescent="0.3">
      <c r="A171" s="30">
        <v>167</v>
      </c>
      <c r="B171" s="30" t="s">
        <v>21</v>
      </c>
      <c r="C171" s="520" t="s">
        <v>178</v>
      </c>
      <c r="D171" s="30" t="s">
        <v>58</v>
      </c>
      <c r="E171" s="30" t="s">
        <v>88</v>
      </c>
      <c r="F171" s="12" t="s">
        <v>390</v>
      </c>
      <c r="G171" s="30" t="s">
        <v>185</v>
      </c>
      <c r="H171" s="589" t="s">
        <v>396</v>
      </c>
      <c r="I171" s="17">
        <v>20</v>
      </c>
      <c r="J171" s="589">
        <v>125.4</v>
      </c>
      <c r="K171" s="589"/>
      <c r="L171" s="17">
        <v>20</v>
      </c>
      <c r="M171" s="589">
        <v>125.4</v>
      </c>
      <c r="N171" s="3" t="s">
        <v>401</v>
      </c>
      <c r="O171" s="14">
        <v>45023</v>
      </c>
      <c r="P171" s="13" t="str">
        <f>HYPERLINK("https://my.zakupki.prom.ua/remote/dispatcher/state_purchase_view/41866240", "UA-2023-04-07-001645-a")</f>
        <v>UA-2023-04-07-001645-a</v>
      </c>
      <c r="Q171" s="30"/>
      <c r="R171" s="30"/>
      <c r="S171" s="30"/>
      <c r="T171" s="31"/>
      <c r="U171" s="30" t="s">
        <v>409</v>
      </c>
      <c r="V171" s="30"/>
    </row>
    <row r="172" spans="1:22" ht="62.4" x14ac:dyDescent="0.3">
      <c r="A172" s="30">
        <v>168</v>
      </c>
      <c r="B172" s="30" t="s">
        <v>40</v>
      </c>
      <c r="C172" s="520" t="s">
        <v>41</v>
      </c>
      <c r="D172" s="30"/>
      <c r="E172" s="446" t="s">
        <v>20</v>
      </c>
      <c r="F172" s="30" t="s">
        <v>402</v>
      </c>
      <c r="G172" s="30" t="s">
        <v>184</v>
      </c>
      <c r="H172" s="592">
        <f>984854.68/1000/1.2</f>
        <v>820.71223333333342</v>
      </c>
      <c r="I172" s="30">
        <v>1</v>
      </c>
      <c r="J172" s="592">
        <f>984854.68/1000/1.2</f>
        <v>820.71223333333342</v>
      </c>
      <c r="K172" s="592">
        <f>984854.68/1000/1.2</f>
        <v>820.71223333333342</v>
      </c>
      <c r="L172" s="30">
        <v>1</v>
      </c>
      <c r="M172" s="592">
        <f>984854.68/1000/1.2</f>
        <v>820.71223333333342</v>
      </c>
      <c r="N172" s="3" t="s">
        <v>406</v>
      </c>
      <c r="O172" s="31">
        <v>45033</v>
      </c>
      <c r="P172" s="20" t="str">
        <f>HYPERLINK("https://my.zakupki.prom.ua/remote/dispatcher/state_purchase_view/42015454", "UA-2023-04-17-000351-a")</f>
        <v>UA-2023-04-17-000351-a</v>
      </c>
      <c r="Q172" s="27">
        <f>984854.68/1000/1.2</f>
        <v>820.71223333333342</v>
      </c>
      <c r="R172" s="30">
        <v>1</v>
      </c>
      <c r="S172" s="27">
        <f>984854.68/1000/1.2</f>
        <v>820.71223333333342</v>
      </c>
      <c r="T172" s="31">
        <v>45030</v>
      </c>
      <c r="U172" s="30"/>
      <c r="V172" s="30" t="s">
        <v>59</v>
      </c>
    </row>
    <row r="173" spans="1:22" ht="62.4" x14ac:dyDescent="0.3">
      <c r="A173" s="30">
        <v>169</v>
      </c>
      <c r="B173" s="30" t="s">
        <v>40</v>
      </c>
      <c r="C173" s="520" t="s">
        <v>41</v>
      </c>
      <c r="D173" s="30"/>
      <c r="E173" s="30" t="s">
        <v>75</v>
      </c>
      <c r="F173" s="30" t="s">
        <v>403</v>
      </c>
      <c r="G173" s="30" t="s">
        <v>184</v>
      </c>
      <c r="H173" s="592">
        <f>115076.1/1000/1.2</f>
        <v>95.896750000000011</v>
      </c>
      <c r="I173" s="30">
        <v>1</v>
      </c>
      <c r="J173" s="592">
        <f>115076.1/1000/1.2</f>
        <v>95.896750000000011</v>
      </c>
      <c r="K173" s="592">
        <f>115076.1/1000/1.2</f>
        <v>95.896750000000011</v>
      </c>
      <c r="L173" s="30">
        <v>1</v>
      </c>
      <c r="M173" s="592">
        <f>115076.1/1000/1.2</f>
        <v>95.896750000000011</v>
      </c>
      <c r="N173" s="3" t="s">
        <v>407</v>
      </c>
      <c r="O173" s="31">
        <v>45033</v>
      </c>
      <c r="P173" s="20" t="str">
        <f>HYPERLINK("https://my.zakupki.prom.ua/remote/dispatcher/state_purchase_view/42015243", "UA-2023-04-17-000253-a")</f>
        <v>UA-2023-04-17-000253-a</v>
      </c>
      <c r="Q173" s="27">
        <f>115076.1/1000/1.2</f>
        <v>95.896750000000011</v>
      </c>
      <c r="R173" s="30">
        <v>1</v>
      </c>
      <c r="S173" s="27">
        <f>115076.1/1000/1.2</f>
        <v>95.896750000000011</v>
      </c>
      <c r="T173" s="31">
        <v>45030</v>
      </c>
      <c r="U173" s="30"/>
      <c r="V173" s="30" t="s">
        <v>59</v>
      </c>
    </row>
    <row r="174" spans="1:22" ht="62.4" x14ac:dyDescent="0.3">
      <c r="A174" s="30">
        <v>170</v>
      </c>
      <c r="B174" s="30" t="s">
        <v>21</v>
      </c>
      <c r="C174" s="520" t="s">
        <v>405</v>
      </c>
      <c r="D174" s="30"/>
      <c r="E174" s="446" t="s">
        <v>20</v>
      </c>
      <c r="F174" s="30" t="s">
        <v>404</v>
      </c>
      <c r="G174" s="30" t="s">
        <v>186</v>
      </c>
      <c r="H174" s="589"/>
      <c r="I174" s="30">
        <v>14</v>
      </c>
      <c r="J174" s="592">
        <f>789259.6/1000/1.2</f>
        <v>657.7163333333333</v>
      </c>
      <c r="K174" s="589"/>
      <c r="L174" s="30">
        <v>14</v>
      </c>
      <c r="M174" s="592">
        <f>789259.6/1000/1.2</f>
        <v>657.7163333333333</v>
      </c>
      <c r="N174" s="3" t="s">
        <v>408</v>
      </c>
      <c r="O174" s="31">
        <v>45036</v>
      </c>
      <c r="P174" s="20" t="str">
        <f>HYPERLINK("https://my.zakupki.prom.ua/remote/dispatcher/state_purchase_view/42099519", "UA-2023-04-20-008821-a")</f>
        <v>UA-2023-04-20-008821-a</v>
      </c>
      <c r="Q174" s="30"/>
      <c r="R174" s="30">
        <v>14</v>
      </c>
      <c r="S174" s="27">
        <f>789259.6/1000/1.2</f>
        <v>657.7163333333333</v>
      </c>
      <c r="T174" s="31">
        <v>45054</v>
      </c>
      <c r="U174" s="30"/>
      <c r="V174" s="30"/>
    </row>
    <row r="175" spans="1:22" ht="62.4" x14ac:dyDescent="0.3">
      <c r="A175" s="30">
        <v>171</v>
      </c>
      <c r="B175" s="30" t="s">
        <v>21</v>
      </c>
      <c r="C175" s="520" t="s">
        <v>412</v>
      </c>
      <c r="D175" s="30" t="s">
        <v>58</v>
      </c>
      <c r="E175" s="446" t="s">
        <v>20</v>
      </c>
      <c r="F175" s="30" t="s">
        <v>410</v>
      </c>
      <c r="G175" s="18" t="s">
        <v>185</v>
      </c>
      <c r="H175" s="592">
        <v>583.22500000000002</v>
      </c>
      <c r="I175" s="19">
        <v>1</v>
      </c>
      <c r="J175" s="592">
        <v>583.22500000000002</v>
      </c>
      <c r="K175" s="592">
        <v>583.22500000000002</v>
      </c>
      <c r="L175" s="19">
        <v>1</v>
      </c>
      <c r="M175" s="592">
        <v>583.22500000000002</v>
      </c>
      <c r="N175" s="3" t="s">
        <v>413</v>
      </c>
      <c r="O175" s="25">
        <v>45041</v>
      </c>
      <c r="P175" s="20" t="str">
        <f>HYPERLINK("https://my.zakupki.prom.ua/remote/dispatcher/state_purchase_view/42175596", "UA-2023-04-25-007183-a")</f>
        <v>UA-2023-04-25-007183-a</v>
      </c>
      <c r="Q175" s="30"/>
      <c r="R175" s="30"/>
      <c r="S175" s="27"/>
      <c r="T175" s="31"/>
      <c r="U175" s="30" t="s">
        <v>458</v>
      </c>
      <c r="V175" s="30"/>
    </row>
    <row r="176" spans="1:22" ht="78" x14ac:dyDescent="0.3">
      <c r="A176" s="30">
        <v>172</v>
      </c>
      <c r="B176" s="30" t="s">
        <v>21</v>
      </c>
      <c r="C176" s="520" t="s">
        <v>32</v>
      </c>
      <c r="D176" s="30" t="s">
        <v>58</v>
      </c>
      <c r="E176" s="446" t="s">
        <v>20</v>
      </c>
      <c r="F176" s="30" t="s">
        <v>411</v>
      </c>
      <c r="G176" s="18" t="s">
        <v>185</v>
      </c>
      <c r="H176" s="592">
        <v>632.02200000000005</v>
      </c>
      <c r="I176" s="19">
        <v>1</v>
      </c>
      <c r="J176" s="592">
        <v>632.02200000000005</v>
      </c>
      <c r="K176" s="592">
        <v>632.02200000000005</v>
      </c>
      <c r="L176" s="19">
        <v>1</v>
      </c>
      <c r="M176" s="592">
        <v>632.02200000000005</v>
      </c>
      <c r="N176" s="3" t="s">
        <v>414</v>
      </c>
      <c r="O176" s="25">
        <v>45041</v>
      </c>
      <c r="P176" s="20" t="str">
        <f>HYPERLINK("https://my.zakupki.prom.ua/remote/dispatcher/state_purchase_view/42175373", "UA-2023-04-25-007048-a")</f>
        <v>UA-2023-04-25-007048-a</v>
      </c>
      <c r="Q176" s="30"/>
      <c r="R176" s="30"/>
      <c r="S176" s="27"/>
      <c r="T176" s="31"/>
      <c r="U176" s="30" t="s">
        <v>93</v>
      </c>
      <c r="V176" s="30"/>
    </row>
    <row r="177" spans="1:22" ht="62.4" x14ac:dyDescent="0.3">
      <c r="A177" s="30">
        <v>173</v>
      </c>
      <c r="B177" s="30" t="s">
        <v>21</v>
      </c>
      <c r="C177" s="520" t="s">
        <v>405</v>
      </c>
      <c r="D177" s="30" t="s">
        <v>58</v>
      </c>
      <c r="E177" s="446" t="s">
        <v>20</v>
      </c>
      <c r="F177" s="30" t="s">
        <v>404</v>
      </c>
      <c r="G177" s="18" t="s">
        <v>186</v>
      </c>
      <c r="H177" s="589"/>
      <c r="I177" s="19">
        <v>119</v>
      </c>
      <c r="J177" s="592">
        <v>7769.3255600000002</v>
      </c>
      <c r="K177" s="589"/>
      <c r="L177" s="19">
        <v>119</v>
      </c>
      <c r="M177" s="592">
        <v>7769.3255600000002</v>
      </c>
      <c r="N177" s="3" t="s">
        <v>415</v>
      </c>
      <c r="O177" s="25">
        <v>45041</v>
      </c>
      <c r="P177" s="20" t="str">
        <f>HYPERLINK("https://my.zakupki.prom.ua/remote/dispatcher/state_purchase_view/42166907", "UA-2023-04-25-003327-a")</f>
        <v>UA-2023-04-25-003327-a</v>
      </c>
      <c r="Q177" s="30"/>
      <c r="R177" s="30"/>
      <c r="S177" s="27"/>
      <c r="T177" s="31"/>
      <c r="U177" s="30" t="s">
        <v>435</v>
      </c>
      <c r="V177" s="30"/>
    </row>
    <row r="178" spans="1:22" ht="62.4" x14ac:dyDescent="0.3">
      <c r="A178" s="30">
        <v>174</v>
      </c>
      <c r="B178" s="30" t="s">
        <v>21</v>
      </c>
      <c r="C178" s="520" t="s">
        <v>405</v>
      </c>
      <c r="D178" s="30" t="s">
        <v>58</v>
      </c>
      <c r="E178" s="446" t="s">
        <v>20</v>
      </c>
      <c r="F178" s="30" t="s">
        <v>404</v>
      </c>
      <c r="G178" s="18" t="s">
        <v>186</v>
      </c>
      <c r="H178" s="589"/>
      <c r="I178" s="19">
        <v>120</v>
      </c>
      <c r="J178" s="592">
        <v>8426.268</v>
      </c>
      <c r="K178" s="589"/>
      <c r="L178" s="19">
        <v>120</v>
      </c>
      <c r="M178" s="592">
        <v>8426.268</v>
      </c>
      <c r="N178" s="3" t="s">
        <v>436</v>
      </c>
      <c r="O178" s="25">
        <v>45042</v>
      </c>
      <c r="P178" s="28" t="s">
        <v>437</v>
      </c>
      <c r="Q178" s="30"/>
      <c r="R178" s="30">
        <v>88</v>
      </c>
      <c r="S178" s="27">
        <v>6436.5798000000004</v>
      </c>
      <c r="T178" s="31">
        <v>45063</v>
      </c>
      <c r="U178" s="30"/>
      <c r="V178" s="30"/>
    </row>
    <row r="179" spans="1:22" ht="78" x14ac:dyDescent="0.3">
      <c r="A179" s="30">
        <v>175</v>
      </c>
      <c r="B179" s="30" t="s">
        <v>40</v>
      </c>
      <c r="C179" s="520" t="s">
        <v>425</v>
      </c>
      <c r="D179" s="30"/>
      <c r="E179" s="30" t="s">
        <v>88</v>
      </c>
      <c r="F179" s="30" t="s">
        <v>416</v>
      </c>
      <c r="G179" s="30" t="s">
        <v>184</v>
      </c>
      <c r="H179" s="589">
        <v>57.85</v>
      </c>
      <c r="I179" s="30">
        <v>1</v>
      </c>
      <c r="J179" s="589">
        <v>57.85</v>
      </c>
      <c r="K179" s="589">
        <v>57.85</v>
      </c>
      <c r="L179" s="30">
        <v>1</v>
      </c>
      <c r="M179" s="589">
        <v>57.85</v>
      </c>
      <c r="N179" s="3" t="s">
        <v>426</v>
      </c>
      <c r="O179" s="25">
        <v>45043</v>
      </c>
      <c r="P179" s="20" t="str">
        <f>HYPERLINK("https://my.zakupki.prom.ua/remote/dispatcher/state_purchase_view/42219107", "UA-2023-04-27-001496-a")</f>
        <v>UA-2023-04-27-001496-a</v>
      </c>
      <c r="Q179" s="30">
        <v>57.85</v>
      </c>
      <c r="R179" s="30">
        <v>1</v>
      </c>
      <c r="S179" s="30">
        <v>57.85</v>
      </c>
      <c r="T179" s="24">
        <v>45042</v>
      </c>
      <c r="U179" s="30"/>
      <c r="V179" s="30" t="s">
        <v>59</v>
      </c>
    </row>
    <row r="180" spans="1:22" ht="78" x14ac:dyDescent="0.3">
      <c r="A180" s="30">
        <v>176</v>
      </c>
      <c r="B180" s="30" t="s">
        <v>40</v>
      </c>
      <c r="C180" s="520" t="s">
        <v>425</v>
      </c>
      <c r="D180" s="30"/>
      <c r="E180" s="30" t="s">
        <v>88</v>
      </c>
      <c r="F180" s="30" t="s">
        <v>417</v>
      </c>
      <c r="G180" s="30" t="s">
        <v>184</v>
      </c>
      <c r="H180" s="589">
        <v>108.58</v>
      </c>
      <c r="I180" s="30">
        <v>1</v>
      </c>
      <c r="J180" s="589">
        <v>108.58</v>
      </c>
      <c r="K180" s="589">
        <v>108.58</v>
      </c>
      <c r="L180" s="30">
        <v>1</v>
      </c>
      <c r="M180" s="589">
        <v>108.58</v>
      </c>
      <c r="N180" s="3" t="s">
        <v>427</v>
      </c>
      <c r="O180" s="25">
        <v>45043</v>
      </c>
      <c r="P180" s="20" t="str">
        <f>HYPERLINK("https://my.zakupki.prom.ua/remote/dispatcher/state_purchase_view/42220687", "UA-2023-04-27-002191-a")</f>
        <v>UA-2023-04-27-002191-a</v>
      </c>
      <c r="Q180" s="30">
        <v>108.58</v>
      </c>
      <c r="R180" s="30">
        <v>1</v>
      </c>
      <c r="S180" s="30">
        <v>108.58</v>
      </c>
      <c r="T180" s="24">
        <v>45042</v>
      </c>
      <c r="U180" s="30"/>
      <c r="V180" s="30" t="s">
        <v>59</v>
      </c>
    </row>
    <row r="181" spans="1:22" ht="62.4" x14ac:dyDescent="0.3">
      <c r="A181" s="30">
        <v>177</v>
      </c>
      <c r="B181" s="30" t="s">
        <v>40</v>
      </c>
      <c r="C181" s="520" t="s">
        <v>425</v>
      </c>
      <c r="D181" s="30"/>
      <c r="E181" s="30" t="s">
        <v>88</v>
      </c>
      <c r="F181" s="30" t="s">
        <v>418</v>
      </c>
      <c r="G181" s="30" t="s">
        <v>184</v>
      </c>
      <c r="H181" s="589">
        <v>108.58</v>
      </c>
      <c r="I181" s="30">
        <v>1</v>
      </c>
      <c r="J181" s="589">
        <v>108.58</v>
      </c>
      <c r="K181" s="589">
        <v>108.58</v>
      </c>
      <c r="L181" s="30">
        <v>1</v>
      </c>
      <c r="M181" s="589">
        <v>108.58</v>
      </c>
      <c r="N181" s="3" t="s">
        <v>428</v>
      </c>
      <c r="O181" s="25">
        <v>45043</v>
      </c>
      <c r="P181" s="20" t="str">
        <f>HYPERLINK("https://my.zakupki.prom.ua/remote/dispatcher/state_purchase_view/42221401", "UA-2023-04-27-002515-a")</f>
        <v>UA-2023-04-27-002515-a</v>
      </c>
      <c r="Q181" s="30">
        <v>108.58</v>
      </c>
      <c r="R181" s="30">
        <v>1</v>
      </c>
      <c r="S181" s="30">
        <v>108.58</v>
      </c>
      <c r="T181" s="24">
        <v>45042</v>
      </c>
      <c r="U181" s="30"/>
      <c r="V181" s="30" t="s">
        <v>59</v>
      </c>
    </row>
    <row r="182" spans="1:22" ht="62.4" x14ac:dyDescent="0.3">
      <c r="A182" s="30">
        <v>178</v>
      </c>
      <c r="B182" s="30" t="s">
        <v>40</v>
      </c>
      <c r="C182" s="520" t="s">
        <v>425</v>
      </c>
      <c r="D182" s="30"/>
      <c r="E182" s="30" t="s">
        <v>88</v>
      </c>
      <c r="F182" s="30" t="s">
        <v>419</v>
      </c>
      <c r="G182" s="30" t="s">
        <v>184</v>
      </c>
      <c r="H182" s="589">
        <v>50.73</v>
      </c>
      <c r="I182" s="30">
        <v>1</v>
      </c>
      <c r="J182" s="589">
        <v>50.73</v>
      </c>
      <c r="K182" s="589">
        <v>50.73</v>
      </c>
      <c r="L182" s="30">
        <v>1</v>
      </c>
      <c r="M182" s="589">
        <v>50.73</v>
      </c>
      <c r="N182" s="3" t="s">
        <v>429</v>
      </c>
      <c r="O182" s="25">
        <v>45043</v>
      </c>
      <c r="P182" s="20" t="str">
        <f>HYPERLINK("https://my.zakupki.prom.ua/remote/dispatcher/state_purchase_view/42221724", "UA-2023-04-27-002688-a")</f>
        <v>UA-2023-04-27-002688-a</v>
      </c>
      <c r="Q182" s="30">
        <v>50.73</v>
      </c>
      <c r="R182" s="30">
        <v>1</v>
      </c>
      <c r="S182" s="30">
        <v>50.73</v>
      </c>
      <c r="T182" s="24">
        <v>45042</v>
      </c>
      <c r="U182" s="30"/>
      <c r="V182" s="30" t="s">
        <v>59</v>
      </c>
    </row>
    <row r="183" spans="1:22" ht="62.4" x14ac:dyDescent="0.3">
      <c r="A183" s="30">
        <v>179</v>
      </c>
      <c r="B183" s="30" t="s">
        <v>40</v>
      </c>
      <c r="C183" s="520" t="s">
        <v>425</v>
      </c>
      <c r="D183" s="30"/>
      <c r="E183" s="30" t="s">
        <v>88</v>
      </c>
      <c r="F183" s="30" t="s">
        <v>420</v>
      </c>
      <c r="G183" s="30" t="s">
        <v>184</v>
      </c>
      <c r="H183" s="589">
        <v>65.86</v>
      </c>
      <c r="I183" s="30">
        <v>1</v>
      </c>
      <c r="J183" s="589">
        <v>65.86</v>
      </c>
      <c r="K183" s="589">
        <v>65.86</v>
      </c>
      <c r="L183" s="30">
        <v>1</v>
      </c>
      <c r="M183" s="589">
        <v>65.86</v>
      </c>
      <c r="N183" s="3" t="s">
        <v>430</v>
      </c>
      <c r="O183" s="25">
        <v>45043</v>
      </c>
      <c r="P183" s="20" t="str">
        <f>HYPERLINK("https://my.zakupki.prom.ua/remote/dispatcher/state_purchase_view/42223552", "UA-2023-04-27-003600-a")</f>
        <v>UA-2023-04-27-003600-a</v>
      </c>
      <c r="Q183" s="30">
        <v>65.86</v>
      </c>
      <c r="R183" s="30">
        <v>1</v>
      </c>
      <c r="S183" s="30">
        <v>65.86</v>
      </c>
      <c r="T183" s="24">
        <v>45042</v>
      </c>
      <c r="U183" s="30"/>
      <c r="V183" s="30" t="s">
        <v>59</v>
      </c>
    </row>
    <row r="184" spans="1:22" ht="140.4" x14ac:dyDescent="0.3">
      <c r="A184" s="30">
        <v>180</v>
      </c>
      <c r="B184" s="30" t="s">
        <v>40</v>
      </c>
      <c r="C184" s="520" t="s">
        <v>73</v>
      </c>
      <c r="D184" s="30"/>
      <c r="E184" s="30" t="s">
        <v>75</v>
      </c>
      <c r="F184" s="30" t="s">
        <v>421</v>
      </c>
      <c r="G184" s="30" t="s">
        <v>184</v>
      </c>
      <c r="H184" s="589">
        <v>314.91000000000003</v>
      </c>
      <c r="I184" s="30">
        <v>1</v>
      </c>
      <c r="J184" s="589">
        <v>314.91000000000003</v>
      </c>
      <c r="K184" s="589">
        <v>314.91000000000003</v>
      </c>
      <c r="L184" s="30">
        <v>1</v>
      </c>
      <c r="M184" s="589">
        <v>314.91000000000003</v>
      </c>
      <c r="N184" s="3" t="s">
        <v>431</v>
      </c>
      <c r="O184" s="25">
        <v>45047</v>
      </c>
      <c r="P184" s="20" t="str">
        <f>HYPERLINK("https://my.zakupki.prom.ua/remote/dispatcher/state_purchase_view/42279435", "UA-2023-05-01-006160-a")</f>
        <v>UA-2023-05-01-006160-a</v>
      </c>
      <c r="Q184" s="30">
        <v>314.91000000000003</v>
      </c>
      <c r="R184" s="30">
        <v>1</v>
      </c>
      <c r="S184" s="30">
        <v>314.91000000000003</v>
      </c>
      <c r="T184" s="24">
        <v>45047</v>
      </c>
      <c r="U184" s="30"/>
      <c r="V184" s="30" t="s">
        <v>59</v>
      </c>
    </row>
    <row r="185" spans="1:22" ht="156" x14ac:dyDescent="0.3">
      <c r="A185" s="30">
        <v>181</v>
      </c>
      <c r="B185" s="30" t="s">
        <v>40</v>
      </c>
      <c r="C185" s="520" t="s">
        <v>73</v>
      </c>
      <c r="D185" s="30"/>
      <c r="E185" s="30" t="s">
        <v>75</v>
      </c>
      <c r="F185" s="30" t="s">
        <v>422</v>
      </c>
      <c r="G185" s="30" t="s">
        <v>184</v>
      </c>
      <c r="H185" s="589">
        <v>144.48566666666665</v>
      </c>
      <c r="I185" s="30">
        <v>1</v>
      </c>
      <c r="J185" s="589">
        <v>144.48566666666665</v>
      </c>
      <c r="K185" s="589">
        <v>144.48566666666665</v>
      </c>
      <c r="L185" s="30">
        <v>1</v>
      </c>
      <c r="M185" s="589">
        <v>144.48566666666665</v>
      </c>
      <c r="N185" s="3" t="s">
        <v>432</v>
      </c>
      <c r="O185" s="25">
        <v>45050</v>
      </c>
      <c r="P185" s="20" t="str">
        <f>HYPERLINK("https://my.zakupki.prom.ua/remote/dispatcher/state_purchase_view/42376032", "UA-2023-05-04-010342-a")</f>
        <v>UA-2023-05-04-010342-a</v>
      </c>
      <c r="Q185" s="30">
        <v>144.48566666666665</v>
      </c>
      <c r="R185" s="30">
        <v>1</v>
      </c>
      <c r="S185" s="30">
        <v>144.48566666666665</v>
      </c>
      <c r="T185" s="24">
        <v>45050</v>
      </c>
      <c r="U185" s="30"/>
      <c r="V185" s="30" t="s">
        <v>59</v>
      </c>
    </row>
    <row r="186" spans="1:22" ht="140.4" x14ac:dyDescent="0.3">
      <c r="A186" s="30">
        <v>182</v>
      </c>
      <c r="B186" s="30" t="s">
        <v>40</v>
      </c>
      <c r="C186" s="520" t="s">
        <v>73</v>
      </c>
      <c r="D186" s="30"/>
      <c r="E186" s="30" t="s">
        <v>75</v>
      </c>
      <c r="F186" s="30" t="s">
        <v>423</v>
      </c>
      <c r="G186" s="30" t="s">
        <v>184</v>
      </c>
      <c r="H186" s="589">
        <v>173.63946666666666</v>
      </c>
      <c r="I186" s="30">
        <v>1</v>
      </c>
      <c r="J186" s="589">
        <v>173.63946666666666</v>
      </c>
      <c r="K186" s="589">
        <v>173.63946666666666</v>
      </c>
      <c r="L186" s="30">
        <v>1</v>
      </c>
      <c r="M186" s="589">
        <v>173.63946666666666</v>
      </c>
      <c r="N186" s="3" t="s">
        <v>433</v>
      </c>
      <c r="O186" s="25">
        <v>45050</v>
      </c>
      <c r="P186" s="20" t="str">
        <f>HYPERLINK("https://my.zakupki.prom.ua/remote/dispatcher/state_purchase_view/42377342", "UA-2023-05-04-010968-a")</f>
        <v>UA-2023-05-04-010968-a</v>
      </c>
      <c r="Q186" s="30">
        <v>173.63946666666666</v>
      </c>
      <c r="R186" s="30">
        <v>1</v>
      </c>
      <c r="S186" s="30">
        <v>173.63946666666666</v>
      </c>
      <c r="T186" s="24">
        <v>45050</v>
      </c>
      <c r="U186" s="30"/>
      <c r="V186" s="30" t="s">
        <v>59</v>
      </c>
    </row>
    <row r="187" spans="1:22" ht="140.4" x14ac:dyDescent="0.3">
      <c r="A187" s="30">
        <v>183</v>
      </c>
      <c r="B187" s="30" t="s">
        <v>40</v>
      </c>
      <c r="C187" s="520" t="s">
        <v>73</v>
      </c>
      <c r="D187" s="30"/>
      <c r="E187" s="30" t="s">
        <v>75</v>
      </c>
      <c r="F187" s="30" t="s">
        <v>424</v>
      </c>
      <c r="G187" s="30" t="s">
        <v>184</v>
      </c>
      <c r="H187" s="589">
        <v>133.45370833333334</v>
      </c>
      <c r="I187" s="30">
        <v>1</v>
      </c>
      <c r="J187" s="589">
        <v>133.45370833333334</v>
      </c>
      <c r="K187" s="589">
        <v>133.45370833333334</v>
      </c>
      <c r="L187" s="30">
        <v>1</v>
      </c>
      <c r="M187" s="589">
        <v>133.45370833333334</v>
      </c>
      <c r="N187" s="3" t="s">
        <v>434</v>
      </c>
      <c r="O187" s="25">
        <v>45050</v>
      </c>
      <c r="P187" s="20" t="str">
        <f>HYPERLINK("https://my.zakupki.prom.ua/remote/dispatcher/state_purchase_view/42379010", "UA-2023-05-04-011709-a")</f>
        <v>UA-2023-05-04-011709-a</v>
      </c>
      <c r="Q187" s="30">
        <v>133.45370833333334</v>
      </c>
      <c r="R187" s="30">
        <v>1</v>
      </c>
      <c r="S187" s="30">
        <v>133.45370833333334</v>
      </c>
      <c r="T187" s="24">
        <v>45050</v>
      </c>
      <c r="U187" s="30"/>
      <c r="V187" s="30" t="s">
        <v>59</v>
      </c>
    </row>
    <row r="188" spans="1:22" ht="171.6" x14ac:dyDescent="0.3">
      <c r="A188" s="30">
        <v>184</v>
      </c>
      <c r="B188" s="30" t="s">
        <v>40</v>
      </c>
      <c r="C188" s="520" t="s">
        <v>41</v>
      </c>
      <c r="D188" s="30"/>
      <c r="E188" s="446" t="s">
        <v>20</v>
      </c>
      <c r="F188" s="30" t="s">
        <v>438</v>
      </c>
      <c r="G188" s="30" t="s">
        <v>184</v>
      </c>
      <c r="H188" s="589">
        <v>163.76835833333334</v>
      </c>
      <c r="I188" s="30">
        <v>1</v>
      </c>
      <c r="J188" s="589">
        <v>163.76835833333334</v>
      </c>
      <c r="K188" s="589">
        <v>163.76835833333334</v>
      </c>
      <c r="L188" s="30">
        <v>1</v>
      </c>
      <c r="M188" s="589">
        <v>163.76835833333334</v>
      </c>
      <c r="N188" s="3" t="s">
        <v>448</v>
      </c>
      <c r="O188" s="25">
        <v>45056</v>
      </c>
      <c r="P188" s="20" t="str">
        <f>HYPERLINK("https://my.zakupki.prom.ua/remote/dispatcher/state_purchase_view/42505239", "UA-2023-05-10-013084-a")</f>
        <v>UA-2023-05-10-013084-a</v>
      </c>
      <c r="Q188" s="30">
        <v>163.76835833333334</v>
      </c>
      <c r="R188" s="30">
        <v>1</v>
      </c>
      <c r="S188" s="30">
        <v>163.76835833333334</v>
      </c>
      <c r="T188" s="24">
        <v>45056</v>
      </c>
      <c r="U188" s="30"/>
      <c r="V188" s="30" t="s">
        <v>59</v>
      </c>
    </row>
    <row r="189" spans="1:22" ht="187.2" x14ac:dyDescent="0.3">
      <c r="A189" s="30">
        <v>185</v>
      </c>
      <c r="B189" s="30" t="s">
        <v>40</v>
      </c>
      <c r="C189" s="520" t="s">
        <v>41</v>
      </c>
      <c r="D189" s="30"/>
      <c r="E189" s="446" t="s">
        <v>20</v>
      </c>
      <c r="F189" s="30" t="s">
        <v>439</v>
      </c>
      <c r="G189" s="30" t="s">
        <v>184</v>
      </c>
      <c r="H189" s="589">
        <v>1215.2384916666667</v>
      </c>
      <c r="I189" s="30">
        <v>1</v>
      </c>
      <c r="J189" s="589">
        <v>1215.2384916666667</v>
      </c>
      <c r="K189" s="589">
        <v>1215.2384916666667</v>
      </c>
      <c r="L189" s="30">
        <v>1</v>
      </c>
      <c r="M189" s="589">
        <v>1215.2384916666667</v>
      </c>
      <c r="N189" s="3" t="s">
        <v>449</v>
      </c>
      <c r="O189" s="25">
        <v>45056</v>
      </c>
      <c r="P189" s="20" t="str">
        <f>HYPERLINK("https://my.zakupki.prom.ua/remote/dispatcher/state_purchase_view/42504562", "UA-2023-05-10-012762-a")</f>
        <v>UA-2023-05-10-012762-a</v>
      </c>
      <c r="Q189" s="30">
        <v>1215.2384916666667</v>
      </c>
      <c r="R189" s="30">
        <v>1</v>
      </c>
      <c r="S189" s="30">
        <v>1215.2384916666667</v>
      </c>
      <c r="T189" s="24">
        <v>45056</v>
      </c>
      <c r="U189" s="30"/>
      <c r="V189" s="30" t="s">
        <v>59</v>
      </c>
    </row>
    <row r="190" spans="1:22" ht="156" x14ac:dyDescent="0.3">
      <c r="A190" s="30">
        <v>186</v>
      </c>
      <c r="B190" s="30" t="s">
        <v>40</v>
      </c>
      <c r="C190" s="520" t="s">
        <v>41</v>
      </c>
      <c r="D190" s="30"/>
      <c r="E190" s="446" t="s">
        <v>20</v>
      </c>
      <c r="F190" s="30" t="s">
        <v>440</v>
      </c>
      <c r="G190" s="30" t="s">
        <v>184</v>
      </c>
      <c r="H190" s="589">
        <v>69.363516666666669</v>
      </c>
      <c r="I190" s="30">
        <v>1</v>
      </c>
      <c r="J190" s="589">
        <v>69.363516666666669</v>
      </c>
      <c r="K190" s="589">
        <v>69.363516666666669</v>
      </c>
      <c r="L190" s="30">
        <v>1</v>
      </c>
      <c r="M190" s="589">
        <v>69.363516666666669</v>
      </c>
      <c r="N190" s="3" t="s">
        <v>450</v>
      </c>
      <c r="O190" s="25">
        <v>45057</v>
      </c>
      <c r="P190" s="20" t="str">
        <f>HYPERLINK("https://my.zakupki.prom.ua/remote/dispatcher/state_purchase_view/42520847", "UA-2023-05-11-005095-a")</f>
        <v>UA-2023-05-11-005095-a</v>
      </c>
      <c r="Q190" s="30">
        <v>69.363516666666669</v>
      </c>
      <c r="R190" s="30">
        <v>1</v>
      </c>
      <c r="S190" s="30">
        <v>69.363516666666669</v>
      </c>
      <c r="T190" s="24">
        <v>45057</v>
      </c>
      <c r="U190" s="30"/>
      <c r="V190" s="30" t="s">
        <v>59</v>
      </c>
    </row>
    <row r="191" spans="1:22" ht="62.4" x14ac:dyDescent="0.3">
      <c r="A191" s="30">
        <v>187</v>
      </c>
      <c r="B191" s="9" t="s">
        <v>21</v>
      </c>
      <c r="C191" s="9" t="s">
        <v>412</v>
      </c>
      <c r="D191" s="30" t="s">
        <v>58</v>
      </c>
      <c r="E191" s="446" t="s">
        <v>20</v>
      </c>
      <c r="F191" s="9" t="s">
        <v>441</v>
      </c>
      <c r="G191" s="9" t="s">
        <v>447</v>
      </c>
      <c r="H191" s="593">
        <v>583.22500000000002</v>
      </c>
      <c r="I191" s="9">
        <v>1</v>
      </c>
      <c r="J191" s="593">
        <v>583.22500000000002</v>
      </c>
      <c r="K191" s="593">
        <v>583.22500000000002</v>
      </c>
      <c r="L191" s="9">
        <v>1</v>
      </c>
      <c r="M191" s="593">
        <v>583.22500000000002</v>
      </c>
      <c r="N191" s="32" t="s">
        <v>451</v>
      </c>
      <c r="O191" s="36">
        <v>45057</v>
      </c>
      <c r="P191" s="29" t="str">
        <f>HYPERLINK("https://my.zakupki.prom.ua/remote/dispatcher/state_purchase_view/42520239", "UA-2023-05-11-004787-a")</f>
        <v>UA-2023-05-11-004787-a</v>
      </c>
      <c r="Q191" s="9">
        <v>575</v>
      </c>
      <c r="R191" s="9">
        <v>1</v>
      </c>
      <c r="S191" s="9">
        <v>575</v>
      </c>
      <c r="T191" s="10">
        <v>45078</v>
      </c>
      <c r="U191" s="9"/>
      <c r="V191" s="9"/>
    </row>
    <row r="192" spans="1:22" s="11" customFormat="1" ht="62.4" x14ac:dyDescent="0.3">
      <c r="A192" s="30">
        <v>188</v>
      </c>
      <c r="B192" s="30" t="s">
        <v>40</v>
      </c>
      <c r="C192" s="520" t="s">
        <v>41</v>
      </c>
      <c r="D192" s="30"/>
      <c r="E192" s="30" t="s">
        <v>75</v>
      </c>
      <c r="F192" s="30" t="s">
        <v>442</v>
      </c>
      <c r="G192" s="30" t="s">
        <v>184</v>
      </c>
      <c r="H192" s="589">
        <v>271.84916666666669</v>
      </c>
      <c r="I192" s="30">
        <v>1</v>
      </c>
      <c r="J192" s="589">
        <v>271.84916666666669</v>
      </c>
      <c r="K192" s="589">
        <v>271.84916666666669</v>
      </c>
      <c r="L192" s="30">
        <v>1</v>
      </c>
      <c r="M192" s="589">
        <v>271.84916666666669</v>
      </c>
      <c r="N192" s="3" t="s">
        <v>452</v>
      </c>
      <c r="O192" s="25">
        <v>45058</v>
      </c>
      <c r="P192" s="20" t="str">
        <f>HYPERLINK("https://my.zakupki.prom.ua/remote/dispatcher/state_purchase_view/42556878", "UA-2023-05-12-007347-a")</f>
        <v>UA-2023-05-12-007347-a</v>
      </c>
      <c r="Q192" s="30">
        <v>271.84916666666669</v>
      </c>
      <c r="R192" s="30">
        <v>1</v>
      </c>
      <c r="S192" s="30">
        <v>271.84916666666669</v>
      </c>
      <c r="T192" s="31">
        <v>45058</v>
      </c>
      <c r="U192" s="30"/>
      <c r="V192" s="30" t="s">
        <v>59</v>
      </c>
    </row>
    <row r="193" spans="1:22" s="11" customFormat="1" ht="62.4" x14ac:dyDescent="0.3">
      <c r="A193" s="30">
        <v>189</v>
      </c>
      <c r="B193" s="30" t="s">
        <v>40</v>
      </c>
      <c r="C193" s="520" t="s">
        <v>41</v>
      </c>
      <c r="D193" s="30"/>
      <c r="E193" s="30" t="s">
        <v>75</v>
      </c>
      <c r="F193" s="30" t="s">
        <v>443</v>
      </c>
      <c r="G193" s="30" t="s">
        <v>184</v>
      </c>
      <c r="H193" s="589">
        <v>372.05005833333337</v>
      </c>
      <c r="I193" s="30">
        <v>1</v>
      </c>
      <c r="J193" s="589">
        <v>372.05005833333337</v>
      </c>
      <c r="K193" s="589">
        <v>372.05005833333337</v>
      </c>
      <c r="L193" s="30">
        <v>1</v>
      </c>
      <c r="M193" s="589">
        <v>372.05005833333337</v>
      </c>
      <c r="N193" s="3" t="s">
        <v>453</v>
      </c>
      <c r="O193" s="25">
        <v>45058</v>
      </c>
      <c r="P193" s="20" t="str">
        <f>HYPERLINK("https://my.zakupki.prom.ua/remote/dispatcher/state_purchase_view/42556376", "UA-2023-05-12-007145-a")</f>
        <v>UA-2023-05-12-007145-a</v>
      </c>
      <c r="Q193" s="30">
        <v>372.05005833333337</v>
      </c>
      <c r="R193" s="30">
        <v>1</v>
      </c>
      <c r="S193" s="30">
        <v>372.05005833333337</v>
      </c>
      <c r="T193" s="24">
        <v>45058</v>
      </c>
      <c r="U193" s="30"/>
      <c r="V193" s="30" t="s">
        <v>59</v>
      </c>
    </row>
    <row r="194" spans="1:22" s="11" customFormat="1" ht="62.4" x14ac:dyDescent="0.3">
      <c r="A194" s="30">
        <v>190</v>
      </c>
      <c r="B194" s="30" t="s">
        <v>40</v>
      </c>
      <c r="C194" s="520" t="s">
        <v>41</v>
      </c>
      <c r="D194" s="30"/>
      <c r="E194" s="30" t="s">
        <v>75</v>
      </c>
      <c r="F194" s="30" t="s">
        <v>444</v>
      </c>
      <c r="G194" s="30" t="s">
        <v>184</v>
      </c>
      <c r="H194" s="589">
        <v>306.93824166666667</v>
      </c>
      <c r="I194" s="30">
        <v>1</v>
      </c>
      <c r="J194" s="589">
        <v>306.93824166666667</v>
      </c>
      <c r="K194" s="589">
        <v>306.93824166666667</v>
      </c>
      <c r="L194" s="30">
        <v>1</v>
      </c>
      <c r="M194" s="589">
        <v>306.93824166666667</v>
      </c>
      <c r="N194" s="3" t="s">
        <v>454</v>
      </c>
      <c r="O194" s="25">
        <v>45058</v>
      </c>
      <c r="P194" s="20" t="str">
        <f>HYPERLINK("https://my.zakupki.prom.ua/remote/dispatcher/state_purchase_view/42556155", "UA-2023-05-12-007007-a")</f>
        <v>UA-2023-05-12-007007-a</v>
      </c>
      <c r="Q194" s="30">
        <v>306.93824166666667</v>
      </c>
      <c r="R194" s="30">
        <v>1</v>
      </c>
      <c r="S194" s="30">
        <v>306.93824166666667</v>
      </c>
      <c r="T194" s="24">
        <v>45058</v>
      </c>
      <c r="U194" s="30"/>
      <c r="V194" s="30" t="s">
        <v>59</v>
      </c>
    </row>
    <row r="195" spans="1:22" s="11" customFormat="1" ht="156" x14ac:dyDescent="0.3">
      <c r="A195" s="30">
        <v>191</v>
      </c>
      <c r="B195" s="30" t="s">
        <v>40</v>
      </c>
      <c r="C195" s="520" t="s">
        <v>73</v>
      </c>
      <c r="D195" s="30"/>
      <c r="E195" s="30" t="s">
        <v>75</v>
      </c>
      <c r="F195" s="30" t="s">
        <v>445</v>
      </c>
      <c r="G195" s="30" t="s">
        <v>184</v>
      </c>
      <c r="H195" s="589">
        <v>155.66611666666668</v>
      </c>
      <c r="I195" s="30">
        <v>1</v>
      </c>
      <c r="J195" s="589">
        <v>155.66611666666668</v>
      </c>
      <c r="K195" s="589">
        <v>155.66611666666668</v>
      </c>
      <c r="L195" s="30">
        <v>1</v>
      </c>
      <c r="M195" s="589">
        <v>155.66611666666668</v>
      </c>
      <c r="N195" s="3" t="s">
        <v>455</v>
      </c>
      <c r="O195" s="25">
        <v>45058</v>
      </c>
      <c r="P195" s="20" t="str">
        <f>HYPERLINK("https://my.zakupki.prom.ua/remote/dispatcher/state_purchase_view/42551980", "UA-2023-05-12-004983-a")</f>
        <v>UA-2023-05-12-004983-a</v>
      </c>
      <c r="Q195" s="30">
        <v>155.66611666666668</v>
      </c>
      <c r="R195" s="30">
        <v>1</v>
      </c>
      <c r="S195" s="30">
        <v>155.66611666666668</v>
      </c>
      <c r="T195" s="24">
        <v>45058</v>
      </c>
      <c r="U195" s="30"/>
      <c r="V195" s="30" t="s">
        <v>59</v>
      </c>
    </row>
    <row r="196" spans="1:22" s="11" customFormat="1" ht="46.8" x14ac:dyDescent="0.3">
      <c r="A196" s="30">
        <v>192</v>
      </c>
      <c r="B196" s="30" t="s">
        <v>21</v>
      </c>
      <c r="C196" s="520" t="s">
        <v>32</v>
      </c>
      <c r="D196" s="30" t="s">
        <v>58</v>
      </c>
      <c r="E196" s="446" t="s">
        <v>20</v>
      </c>
      <c r="F196" s="30" t="s">
        <v>446</v>
      </c>
      <c r="G196" s="30" t="s">
        <v>447</v>
      </c>
      <c r="H196" s="589">
        <v>647.70000000000005</v>
      </c>
      <c r="I196" s="30">
        <v>1</v>
      </c>
      <c r="J196" s="589">
        <v>647.70000000000005</v>
      </c>
      <c r="K196" s="589">
        <v>647.70000000000005</v>
      </c>
      <c r="L196" s="30">
        <v>1</v>
      </c>
      <c r="M196" s="589">
        <v>647.70000000000005</v>
      </c>
      <c r="N196" s="3" t="s">
        <v>456</v>
      </c>
      <c r="O196" s="25">
        <v>45061</v>
      </c>
      <c r="P196" s="20" t="str">
        <f>HYPERLINK("https://my.zakupki.prom.ua/remote/dispatcher/state_purchase_view/42596750", "UA-2023-05-15-012110-a")</f>
        <v>UA-2023-05-15-012110-a</v>
      </c>
      <c r="Q196" s="30">
        <v>491.66667000000001</v>
      </c>
      <c r="R196" s="30">
        <v>1</v>
      </c>
      <c r="S196" s="30">
        <v>491.66667000000001</v>
      </c>
      <c r="T196" s="31">
        <v>45076</v>
      </c>
      <c r="U196" s="30"/>
      <c r="V196" s="30"/>
    </row>
    <row r="197" spans="1:22" s="11" customFormat="1" ht="62.4" x14ac:dyDescent="0.3">
      <c r="A197" s="30">
        <v>193</v>
      </c>
      <c r="B197" s="30" t="s">
        <v>40</v>
      </c>
      <c r="C197" s="12" t="s">
        <v>41</v>
      </c>
      <c r="D197" s="30"/>
      <c r="E197" s="446" t="s">
        <v>20</v>
      </c>
      <c r="F197" s="30" t="s">
        <v>459</v>
      </c>
      <c r="G197" s="30" t="s">
        <v>184</v>
      </c>
      <c r="H197" s="592">
        <f>548892.58/1.2/1000</f>
        <v>457.41048333333333</v>
      </c>
      <c r="I197" s="30">
        <v>1</v>
      </c>
      <c r="J197" s="592">
        <f>548892.58/1.2/1000</f>
        <v>457.41048333333333</v>
      </c>
      <c r="K197" s="592">
        <f>548892.58/1.2/1000</f>
        <v>457.41048333333333</v>
      </c>
      <c r="L197" s="30">
        <v>1</v>
      </c>
      <c r="M197" s="592">
        <f>548892.58/1.2/1000</f>
        <v>457.41048333333333</v>
      </c>
      <c r="N197" s="3" t="s">
        <v>461</v>
      </c>
      <c r="O197" s="25">
        <v>45076</v>
      </c>
      <c r="P197" s="20" t="str">
        <f>HYPERLINK("https://my.zakupki.prom.ua/remote/dispatcher/state_purchase_view/42937572", "UA-2023-05-30-010582-a")</f>
        <v>UA-2023-05-30-010582-a</v>
      </c>
      <c r="Q197" s="27">
        <f>548892.58/1.2/1000</f>
        <v>457.41048333333333</v>
      </c>
      <c r="R197" s="30">
        <v>1</v>
      </c>
      <c r="S197" s="27">
        <f>548892.58/1.2/1000</f>
        <v>457.41048333333333</v>
      </c>
      <c r="T197" s="24">
        <v>45076</v>
      </c>
      <c r="U197" s="30"/>
      <c r="V197" s="30" t="s">
        <v>59</v>
      </c>
    </row>
    <row r="198" spans="1:22" s="11" customFormat="1" ht="62.4" x14ac:dyDescent="0.3">
      <c r="A198" s="30">
        <v>194</v>
      </c>
      <c r="B198" s="30" t="s">
        <v>40</v>
      </c>
      <c r="C198" s="12" t="s">
        <v>41</v>
      </c>
      <c r="D198" s="30"/>
      <c r="E198" s="446" t="s">
        <v>20</v>
      </c>
      <c r="F198" s="30" t="s">
        <v>460</v>
      </c>
      <c r="G198" s="30" t="s">
        <v>184</v>
      </c>
      <c r="H198" s="592">
        <f>338040.43/1.2/100</f>
        <v>2817.0035833333332</v>
      </c>
      <c r="I198" s="30">
        <v>1</v>
      </c>
      <c r="J198" s="592">
        <f>338040.43/1.2/100</f>
        <v>2817.0035833333332</v>
      </c>
      <c r="K198" s="592">
        <f>338040.43/1.2/100</f>
        <v>2817.0035833333332</v>
      </c>
      <c r="L198" s="30">
        <v>1</v>
      </c>
      <c r="M198" s="592">
        <f>338040.43/1.2/100</f>
        <v>2817.0035833333332</v>
      </c>
      <c r="N198" s="3" t="s">
        <v>462</v>
      </c>
      <c r="O198" s="25">
        <v>45082</v>
      </c>
      <c r="P198" s="20" t="str">
        <f>HYPERLINK("https://my.zakupki.prom.ua/remote/dispatcher/state_purchase_view/43050145", "UA-2023-06-05-010990-a")</f>
        <v>UA-2023-06-05-010990-a</v>
      </c>
      <c r="Q198" s="27">
        <f>338040.43/1.2/100</f>
        <v>2817.0035833333332</v>
      </c>
      <c r="R198" s="30">
        <v>1</v>
      </c>
      <c r="S198" s="27">
        <f>338040.43/1.2/100</f>
        <v>2817.0035833333332</v>
      </c>
      <c r="T198" s="24">
        <v>45082</v>
      </c>
      <c r="U198" s="30"/>
      <c r="V198" s="30" t="s">
        <v>59</v>
      </c>
    </row>
    <row r="199" spans="1:22" ht="171.6" x14ac:dyDescent="0.3">
      <c r="A199" s="30">
        <v>195</v>
      </c>
      <c r="B199" s="30" t="s">
        <v>40</v>
      </c>
      <c r="C199" s="520" t="s">
        <v>73</v>
      </c>
      <c r="D199" s="30"/>
      <c r="E199" s="30" t="s">
        <v>75</v>
      </c>
      <c r="F199" s="30" t="s">
        <v>463</v>
      </c>
      <c r="G199" s="30" t="s">
        <v>184</v>
      </c>
      <c r="H199" s="589">
        <v>150.00306666666668</v>
      </c>
      <c r="I199" s="30">
        <v>1</v>
      </c>
      <c r="J199" s="589">
        <v>150.00306666666668</v>
      </c>
      <c r="K199" s="589">
        <v>150.00306666666668</v>
      </c>
      <c r="L199" s="30">
        <v>1</v>
      </c>
      <c r="M199" s="589">
        <v>150.00306666666668</v>
      </c>
      <c r="N199" s="3" t="s">
        <v>469</v>
      </c>
      <c r="O199" s="31">
        <v>45092</v>
      </c>
      <c r="P199" s="20" t="str">
        <f>HYPERLINK("https://my.zakupki.prom.ua/remote/dispatcher/state_purchase_view/43318727", "UA-2023-06-15-009126-a")</f>
        <v>UA-2023-06-15-009126-a</v>
      </c>
      <c r="Q199" s="30">
        <v>150.00306666666668</v>
      </c>
      <c r="R199" s="30">
        <v>1</v>
      </c>
      <c r="S199" s="30">
        <v>150.00306666666668</v>
      </c>
      <c r="T199" s="31">
        <v>45092</v>
      </c>
      <c r="U199" s="30"/>
      <c r="V199" s="30" t="s">
        <v>59</v>
      </c>
    </row>
    <row r="200" spans="1:22" ht="62.4" x14ac:dyDescent="0.3">
      <c r="A200" s="30">
        <v>196</v>
      </c>
      <c r="B200" s="30" t="s">
        <v>40</v>
      </c>
      <c r="C200" s="520" t="s">
        <v>73</v>
      </c>
      <c r="D200" s="30"/>
      <c r="E200" s="30" t="s">
        <v>75</v>
      </c>
      <c r="F200" s="30" t="s">
        <v>464</v>
      </c>
      <c r="G200" s="30" t="s">
        <v>184</v>
      </c>
      <c r="H200" s="589">
        <v>136.7357916666667</v>
      </c>
      <c r="I200" s="30">
        <v>1</v>
      </c>
      <c r="J200" s="589">
        <v>136.7357916666667</v>
      </c>
      <c r="K200" s="589">
        <v>136.7357916666667</v>
      </c>
      <c r="L200" s="30">
        <v>1</v>
      </c>
      <c r="M200" s="589">
        <v>136.7357916666667</v>
      </c>
      <c r="N200" s="3" t="s">
        <v>470</v>
      </c>
      <c r="O200" s="31">
        <v>45092</v>
      </c>
      <c r="P200" s="20" t="str">
        <f>HYPERLINK("https://my.zakupki.prom.ua/remote/dispatcher/state_purchase_view/43318378", "UA-2023-06-15-008920-a")</f>
        <v>UA-2023-06-15-008920-a</v>
      </c>
      <c r="Q200" s="30">
        <v>136.7357916666667</v>
      </c>
      <c r="R200" s="30">
        <v>1</v>
      </c>
      <c r="S200" s="30">
        <v>136.7357916666667</v>
      </c>
      <c r="T200" s="31">
        <v>45092</v>
      </c>
      <c r="U200" s="30"/>
      <c r="V200" s="30" t="s">
        <v>59</v>
      </c>
    </row>
    <row r="201" spans="1:22" ht="171.6" x14ac:dyDescent="0.3">
      <c r="A201" s="30">
        <v>197</v>
      </c>
      <c r="B201" s="30" t="s">
        <v>40</v>
      </c>
      <c r="C201" s="520" t="s">
        <v>73</v>
      </c>
      <c r="D201" s="30"/>
      <c r="E201" s="30" t="s">
        <v>75</v>
      </c>
      <c r="F201" s="30" t="s">
        <v>465</v>
      </c>
      <c r="G201" s="30" t="s">
        <v>184</v>
      </c>
      <c r="H201" s="589">
        <v>162.38074166666669</v>
      </c>
      <c r="I201" s="30">
        <v>1</v>
      </c>
      <c r="J201" s="589">
        <v>162.38074166666669</v>
      </c>
      <c r="K201" s="589">
        <v>162.38074166666669</v>
      </c>
      <c r="L201" s="30">
        <v>1</v>
      </c>
      <c r="M201" s="589">
        <v>162.38074166666669</v>
      </c>
      <c r="N201" s="3" t="s">
        <v>471</v>
      </c>
      <c r="O201" s="31">
        <v>45092</v>
      </c>
      <c r="P201" s="20" t="str">
        <f>HYPERLINK("https://my.zakupki.prom.ua/remote/dispatcher/state_purchase_view/43318194", "UA-2023-06-15-008882-a")</f>
        <v>UA-2023-06-15-008882-a</v>
      </c>
      <c r="Q201" s="30">
        <v>162.38074166666669</v>
      </c>
      <c r="R201" s="30">
        <v>1</v>
      </c>
      <c r="S201" s="30">
        <v>162.38074166666669</v>
      </c>
      <c r="T201" s="31">
        <v>45092</v>
      </c>
      <c r="U201" s="30"/>
      <c r="V201" s="30" t="s">
        <v>59</v>
      </c>
    </row>
    <row r="202" spans="1:22" ht="62.4" x14ac:dyDescent="0.3">
      <c r="A202" s="30">
        <v>198</v>
      </c>
      <c r="B202" s="30" t="s">
        <v>40</v>
      </c>
      <c r="C202" s="520" t="s">
        <v>73</v>
      </c>
      <c r="D202" s="30"/>
      <c r="E202" s="30" t="s">
        <v>75</v>
      </c>
      <c r="F202" s="30" t="s">
        <v>466</v>
      </c>
      <c r="G202" s="30" t="s">
        <v>184</v>
      </c>
      <c r="H202" s="589">
        <v>230.82178333333334</v>
      </c>
      <c r="I202" s="30">
        <v>1</v>
      </c>
      <c r="J202" s="589">
        <v>230.82178333333334</v>
      </c>
      <c r="K202" s="589">
        <v>230.82178333333334</v>
      </c>
      <c r="L202" s="30">
        <v>1</v>
      </c>
      <c r="M202" s="589">
        <v>230.82178333333334</v>
      </c>
      <c r="N202" s="3" t="s">
        <v>472</v>
      </c>
      <c r="O202" s="31">
        <v>45111</v>
      </c>
      <c r="P202" s="20" t="str">
        <f>HYPERLINK("https://my.zakupki.prom.ua/remote/dispatcher/state_purchase_view/43702909", "UA-2023-07-04-003582-a")</f>
        <v>UA-2023-07-04-003582-a</v>
      </c>
      <c r="Q202" s="30">
        <v>230.82178333333334</v>
      </c>
      <c r="R202" s="30">
        <v>1</v>
      </c>
      <c r="S202" s="30">
        <v>230.82178333333334</v>
      </c>
      <c r="T202" s="31">
        <v>45111</v>
      </c>
      <c r="U202" s="30"/>
      <c r="V202" s="30" t="s">
        <v>59</v>
      </c>
    </row>
    <row r="203" spans="1:22" ht="62.4" x14ac:dyDescent="0.3">
      <c r="A203" s="30">
        <v>199</v>
      </c>
      <c r="B203" s="30" t="s">
        <v>40</v>
      </c>
      <c r="C203" s="520" t="s">
        <v>73</v>
      </c>
      <c r="D203" s="30"/>
      <c r="E203" s="30" t="s">
        <v>75</v>
      </c>
      <c r="F203" s="30" t="s">
        <v>467</v>
      </c>
      <c r="G203" s="30" t="s">
        <v>184</v>
      </c>
      <c r="H203" s="589">
        <v>301.34585000000004</v>
      </c>
      <c r="I203" s="30">
        <v>1</v>
      </c>
      <c r="J203" s="589">
        <v>301.34585000000004</v>
      </c>
      <c r="K203" s="589">
        <v>301.34585000000004</v>
      </c>
      <c r="L203" s="30">
        <v>1</v>
      </c>
      <c r="M203" s="589">
        <v>301.34585000000004</v>
      </c>
      <c r="N203" s="3" t="s">
        <v>473</v>
      </c>
      <c r="O203" s="31">
        <v>45111</v>
      </c>
      <c r="P203" s="20" t="str">
        <f>HYPERLINK("https://my.zakupki.prom.ua/remote/dispatcher/state_purchase_view/43702002", "UA-2023-07-04-003089-a")</f>
        <v>UA-2023-07-04-003089-a</v>
      </c>
      <c r="Q203" s="30">
        <v>301.34585000000004</v>
      </c>
      <c r="R203" s="30">
        <v>1</v>
      </c>
      <c r="S203" s="30">
        <v>301.34585000000004</v>
      </c>
      <c r="T203" s="31">
        <v>45111</v>
      </c>
      <c r="U203" s="30"/>
      <c r="V203" s="30" t="s">
        <v>59</v>
      </c>
    </row>
    <row r="204" spans="1:22" ht="140.4" x14ac:dyDescent="0.3">
      <c r="A204" s="30">
        <v>200</v>
      </c>
      <c r="B204" s="30" t="s">
        <v>40</v>
      </c>
      <c r="C204" s="520" t="s">
        <v>73</v>
      </c>
      <c r="D204" s="30"/>
      <c r="E204" s="30" t="s">
        <v>75</v>
      </c>
      <c r="F204" s="30" t="s">
        <v>468</v>
      </c>
      <c r="G204" s="30" t="s">
        <v>184</v>
      </c>
      <c r="H204" s="589">
        <v>964.74474999999995</v>
      </c>
      <c r="I204" s="30">
        <v>1</v>
      </c>
      <c r="J204" s="589">
        <v>964.74474999999995</v>
      </c>
      <c r="K204" s="589">
        <v>964.74474999999995</v>
      </c>
      <c r="L204" s="30">
        <v>1</v>
      </c>
      <c r="M204" s="589">
        <v>964.74474999999995</v>
      </c>
      <c r="N204" s="3" t="s">
        <v>474</v>
      </c>
      <c r="O204" s="31">
        <v>45112</v>
      </c>
      <c r="P204" s="20" t="str">
        <f>HYPERLINK("https://my.zakupki.prom.ua/remote/dispatcher/state_purchase_view/43724189", "UA-2023-07-05-000234-a")</f>
        <v>UA-2023-07-05-000234-a</v>
      </c>
      <c r="Q204" s="30">
        <v>964.74474999999995</v>
      </c>
      <c r="R204" s="30">
        <v>1</v>
      </c>
      <c r="S204" s="30">
        <v>964.74474999999995</v>
      </c>
      <c r="T204" s="31">
        <v>45111</v>
      </c>
      <c r="U204" s="30"/>
      <c r="V204" s="30" t="s">
        <v>59</v>
      </c>
    </row>
    <row r="205" spans="1:22" ht="140.4" x14ac:dyDescent="0.3">
      <c r="A205" s="30">
        <v>201</v>
      </c>
      <c r="B205" s="30" t="s">
        <v>184</v>
      </c>
      <c r="C205" s="520" t="s">
        <v>73</v>
      </c>
      <c r="D205" s="30"/>
      <c r="E205" s="30" t="s">
        <v>75</v>
      </c>
      <c r="F205" s="30" t="s">
        <v>475</v>
      </c>
      <c r="G205" s="30" t="s">
        <v>184</v>
      </c>
      <c r="H205" s="589">
        <v>532.80904166666664</v>
      </c>
      <c r="I205" s="30">
        <v>1</v>
      </c>
      <c r="J205" s="589">
        <v>532.80904166666664</v>
      </c>
      <c r="K205" s="589">
        <v>532.80904166666664</v>
      </c>
      <c r="L205" s="30">
        <v>1</v>
      </c>
      <c r="M205" s="589">
        <v>532.80904166666664</v>
      </c>
      <c r="N205" s="3" t="s">
        <v>490</v>
      </c>
      <c r="O205" s="31">
        <v>45120</v>
      </c>
      <c r="P205" s="33" t="str">
        <f>HYPERLINK("https://my.zakupki.prom.ua/remote/dispatcher/state_purchase_view/43891512", "UA-2023-07-13-000492-a")</f>
        <v>UA-2023-07-13-000492-a</v>
      </c>
      <c r="Q205" s="30">
        <f>639370.85/1.2/1000</f>
        <v>532.80904166666664</v>
      </c>
      <c r="R205" s="30">
        <v>1</v>
      </c>
      <c r="S205" s="30">
        <f>639370.85/1.2/1000</f>
        <v>532.80904166666664</v>
      </c>
      <c r="T205" s="31">
        <v>45119</v>
      </c>
      <c r="U205" s="30"/>
      <c r="V205" s="30" t="s">
        <v>59</v>
      </c>
    </row>
    <row r="206" spans="1:22" ht="78" x14ac:dyDescent="0.3">
      <c r="A206" s="30">
        <v>202</v>
      </c>
      <c r="B206" s="30" t="s">
        <v>184</v>
      </c>
      <c r="C206" s="520" t="s">
        <v>41</v>
      </c>
      <c r="D206" s="30"/>
      <c r="E206" s="446" t="s">
        <v>20</v>
      </c>
      <c r="F206" s="30" t="s">
        <v>476</v>
      </c>
      <c r="G206" s="30" t="s">
        <v>184</v>
      </c>
      <c r="H206" s="589">
        <v>231.39084166666669</v>
      </c>
      <c r="I206" s="30">
        <v>1</v>
      </c>
      <c r="J206" s="589">
        <v>231.39084166666669</v>
      </c>
      <c r="K206" s="589">
        <v>231.39084166666669</v>
      </c>
      <c r="L206" s="30">
        <v>1</v>
      </c>
      <c r="M206" s="589">
        <v>231.39084166666669</v>
      </c>
      <c r="N206" s="3" t="s">
        <v>491</v>
      </c>
      <c r="O206" s="31">
        <v>45126</v>
      </c>
      <c r="P206" s="33" t="str">
        <f>HYPERLINK("https://my.zakupki.prom.ua/remote/dispatcher/state_purchase_view/44004041", "UA-2023-07-19-002763-a")</f>
        <v>UA-2023-07-19-002763-a</v>
      </c>
      <c r="Q206" s="30">
        <f>277669.01/1.2/1000</f>
        <v>231.39084166666669</v>
      </c>
      <c r="R206" s="30">
        <v>1</v>
      </c>
      <c r="S206" s="30">
        <f>277669.01/1.2/1000</f>
        <v>231.39084166666669</v>
      </c>
      <c r="T206" s="31">
        <v>45126</v>
      </c>
      <c r="U206" s="30"/>
      <c r="V206" s="30" t="s">
        <v>59</v>
      </c>
    </row>
    <row r="207" spans="1:22" ht="140.4" x14ac:dyDescent="0.3">
      <c r="A207" s="30">
        <v>203</v>
      </c>
      <c r="B207" s="30" t="s">
        <v>184</v>
      </c>
      <c r="C207" s="520" t="s">
        <v>41</v>
      </c>
      <c r="D207" s="30" t="s">
        <v>58</v>
      </c>
      <c r="E207" s="30" t="s">
        <v>75</v>
      </c>
      <c r="F207" s="30" t="s">
        <v>477</v>
      </c>
      <c r="G207" s="30" t="s">
        <v>184</v>
      </c>
      <c r="H207" s="589">
        <v>9557.0750000000007</v>
      </c>
      <c r="I207" s="30">
        <v>1</v>
      </c>
      <c r="J207" s="589">
        <v>9557.0750000000007</v>
      </c>
      <c r="K207" s="589">
        <v>9557.0750000000007</v>
      </c>
      <c r="L207" s="30">
        <v>1</v>
      </c>
      <c r="M207" s="589">
        <v>9557.0750000000007</v>
      </c>
      <c r="N207" s="3" t="s">
        <v>492</v>
      </c>
      <c r="O207" s="31">
        <v>45119</v>
      </c>
      <c r="P207" s="33" t="str">
        <f>HYPERLINK("https://my.zakupki.prom.ua/remote/dispatcher/state_purchase_view/43867505", "UA-2023-07-12-001298-a")</f>
        <v>UA-2023-07-12-001298-a</v>
      </c>
      <c r="Q207" s="30"/>
      <c r="R207" s="30"/>
      <c r="S207" s="30"/>
      <c r="T207" s="31"/>
      <c r="U207" s="30" t="s">
        <v>93</v>
      </c>
      <c r="V207" s="30"/>
    </row>
    <row r="208" spans="1:22" ht="140.4" x14ac:dyDescent="0.3">
      <c r="A208" s="30">
        <v>204</v>
      </c>
      <c r="B208" s="30" t="s">
        <v>184</v>
      </c>
      <c r="C208" s="520" t="s">
        <v>41</v>
      </c>
      <c r="D208" s="30" t="s">
        <v>58</v>
      </c>
      <c r="E208" s="30" t="s">
        <v>75</v>
      </c>
      <c r="F208" s="30" t="s">
        <v>478</v>
      </c>
      <c r="G208" s="30" t="s">
        <v>184</v>
      </c>
      <c r="H208" s="589">
        <v>8357.2710000000006</v>
      </c>
      <c r="I208" s="30">
        <v>1</v>
      </c>
      <c r="J208" s="589">
        <v>8357.2710000000006</v>
      </c>
      <c r="K208" s="589">
        <v>8357.2710000000006</v>
      </c>
      <c r="L208" s="30">
        <v>1</v>
      </c>
      <c r="M208" s="589">
        <v>8357.2710000000006</v>
      </c>
      <c r="N208" s="3" t="s">
        <v>492</v>
      </c>
      <c r="O208" s="31">
        <v>45119</v>
      </c>
      <c r="P208" s="33" t="str">
        <f>HYPERLINK("https://my.zakupki.prom.ua/remote/dispatcher/state_purchase_view/43867505", "UA-2023-07-12-001298-a")</f>
        <v>UA-2023-07-12-001298-a</v>
      </c>
      <c r="Q208" s="30"/>
      <c r="R208" s="30"/>
      <c r="S208" s="30"/>
      <c r="T208" s="31"/>
      <c r="U208" s="30" t="s">
        <v>93</v>
      </c>
      <c r="V208" s="30"/>
    </row>
    <row r="209" spans="1:22" ht="62.4" x14ac:dyDescent="0.3">
      <c r="A209" s="30">
        <v>205</v>
      </c>
      <c r="B209" s="30" t="s">
        <v>184</v>
      </c>
      <c r="C209" s="520" t="s">
        <v>41</v>
      </c>
      <c r="D209" s="30"/>
      <c r="E209" s="30" t="s">
        <v>75</v>
      </c>
      <c r="F209" s="30" t="s">
        <v>479</v>
      </c>
      <c r="G209" s="30" t="s">
        <v>184</v>
      </c>
      <c r="H209" s="589">
        <v>442.43196666666665</v>
      </c>
      <c r="I209" s="30">
        <v>1</v>
      </c>
      <c r="J209" s="589">
        <v>442.43196666666665</v>
      </c>
      <c r="K209" s="589">
        <v>442.43196666666665</v>
      </c>
      <c r="L209" s="30">
        <v>1</v>
      </c>
      <c r="M209" s="589">
        <v>442.43196666666665</v>
      </c>
      <c r="N209" s="3" t="s">
        <v>493</v>
      </c>
      <c r="O209" s="31">
        <v>45131</v>
      </c>
      <c r="P209" s="33" t="str">
        <f>HYPERLINK("https://my.zakupki.prom.ua/remote/dispatcher/state_purchase_view/44101024", "UA-2023-07-24-008868-a")</f>
        <v>UA-2023-07-24-008868-a</v>
      </c>
      <c r="Q209" s="30">
        <f>530918.36/1.2/1000</f>
        <v>442.43196666666665</v>
      </c>
      <c r="R209" s="30">
        <v>1</v>
      </c>
      <c r="S209" s="30">
        <f>530918.36/1.2/1000</f>
        <v>442.43196666666665</v>
      </c>
      <c r="T209" s="31">
        <v>45131</v>
      </c>
      <c r="U209" s="30"/>
      <c r="V209" s="30" t="s">
        <v>59</v>
      </c>
    </row>
    <row r="210" spans="1:22" ht="93.6" x14ac:dyDescent="0.3">
      <c r="A210" s="30">
        <v>206</v>
      </c>
      <c r="B210" s="30" t="s">
        <v>184</v>
      </c>
      <c r="C210" s="520" t="s">
        <v>41</v>
      </c>
      <c r="D210" s="30"/>
      <c r="E210" s="446" t="s">
        <v>20</v>
      </c>
      <c r="F210" s="30" t="s">
        <v>480</v>
      </c>
      <c r="G210" s="30" t="s">
        <v>184</v>
      </c>
      <c r="H210" s="589">
        <v>766.66313333333346</v>
      </c>
      <c r="I210" s="30">
        <v>1</v>
      </c>
      <c r="J210" s="589">
        <v>766.66313333333346</v>
      </c>
      <c r="K210" s="589">
        <v>766.66313333333346</v>
      </c>
      <c r="L210" s="30">
        <v>1</v>
      </c>
      <c r="M210" s="589">
        <v>766.66313333333346</v>
      </c>
      <c r="N210" s="3" t="s">
        <v>494</v>
      </c>
      <c r="O210" s="31">
        <v>45131</v>
      </c>
      <c r="P210" s="33" t="str">
        <f>HYPERLINK("https://my.zakupki.prom.ua/remote/dispatcher/state_purchase_view/44101829", "UA-2023-07-24-009279-a")</f>
        <v>UA-2023-07-24-009279-a</v>
      </c>
      <c r="Q210" s="30">
        <f>919995.76/1.2/1000</f>
        <v>766.66313333333346</v>
      </c>
      <c r="R210" s="30">
        <v>1</v>
      </c>
      <c r="S210" s="30">
        <f>919995.76/1.2/1000</f>
        <v>766.66313333333346</v>
      </c>
      <c r="T210" s="31">
        <v>45131</v>
      </c>
      <c r="U210" s="30"/>
      <c r="V210" s="30" t="s">
        <v>59</v>
      </c>
    </row>
    <row r="211" spans="1:22" ht="62.4" x14ac:dyDescent="0.3">
      <c r="A211" s="30">
        <v>207</v>
      </c>
      <c r="B211" s="30" t="s">
        <v>184</v>
      </c>
      <c r="C211" s="520" t="s">
        <v>73</v>
      </c>
      <c r="D211" s="30"/>
      <c r="E211" s="30" t="s">
        <v>75</v>
      </c>
      <c r="F211" s="30" t="s">
        <v>481</v>
      </c>
      <c r="G211" s="30" t="s">
        <v>184</v>
      </c>
      <c r="H211" s="589">
        <v>327.83339166666667</v>
      </c>
      <c r="I211" s="30">
        <v>1</v>
      </c>
      <c r="J211" s="589">
        <v>327.83339166666667</v>
      </c>
      <c r="K211" s="589">
        <v>327.83339166666667</v>
      </c>
      <c r="L211" s="30">
        <v>1</v>
      </c>
      <c r="M211" s="589">
        <v>327.83339166666667</v>
      </c>
      <c r="N211" s="3" t="s">
        <v>495</v>
      </c>
      <c r="O211" s="31">
        <v>45131</v>
      </c>
      <c r="P211" s="33" t="str">
        <f>HYPERLINK("https://my.zakupki.prom.ua/remote/dispatcher/state_purchase_view/44105193", "UA-2023-07-24-010799-a")</f>
        <v>UA-2023-07-24-010799-a</v>
      </c>
      <c r="Q211" s="30">
        <f>393400.07/1.2/1000</f>
        <v>327.83339166666667</v>
      </c>
      <c r="R211" s="30">
        <v>1</v>
      </c>
      <c r="S211" s="30">
        <f>393400.07/1.2/1000</f>
        <v>327.83339166666667</v>
      </c>
      <c r="T211" s="31">
        <v>45131</v>
      </c>
      <c r="U211" s="30"/>
      <c r="V211" s="30" t="s">
        <v>59</v>
      </c>
    </row>
    <row r="212" spans="1:22" ht="171.6" x14ac:dyDescent="0.3">
      <c r="A212" s="30">
        <v>208</v>
      </c>
      <c r="B212" s="30" t="s">
        <v>184</v>
      </c>
      <c r="C212" s="520" t="s">
        <v>41</v>
      </c>
      <c r="D212" s="30"/>
      <c r="E212" s="446" t="s">
        <v>20</v>
      </c>
      <c r="F212" s="30" t="s">
        <v>482</v>
      </c>
      <c r="G212" s="30" t="s">
        <v>184</v>
      </c>
      <c r="H212" s="589">
        <v>279.85961666666662</v>
      </c>
      <c r="I212" s="30">
        <v>1</v>
      </c>
      <c r="J212" s="589">
        <v>279.85961666666662</v>
      </c>
      <c r="K212" s="589">
        <v>279.85961666666662</v>
      </c>
      <c r="L212" s="30">
        <v>1</v>
      </c>
      <c r="M212" s="589">
        <v>279.85961666666662</v>
      </c>
      <c r="N212" s="3" t="s">
        <v>496</v>
      </c>
      <c r="O212" s="31">
        <v>45134</v>
      </c>
      <c r="P212" s="33" t="str">
        <f>HYPERLINK("https://my.zakupki.prom.ua/remote/dispatcher/state_purchase_view/44182725", "UA-2023-07-27-007665-a")</f>
        <v>UA-2023-07-27-007665-a</v>
      </c>
      <c r="Q212" s="30">
        <f>335831.54/1.2/1000</f>
        <v>279.85961666666662</v>
      </c>
      <c r="R212" s="30">
        <v>1</v>
      </c>
      <c r="S212" s="30">
        <f>335831.54/1.2/1000</f>
        <v>279.85961666666662</v>
      </c>
      <c r="T212" s="31">
        <v>45134</v>
      </c>
      <c r="U212" s="30"/>
      <c r="V212" s="30" t="s">
        <v>59</v>
      </c>
    </row>
    <row r="213" spans="1:22" ht="187.2" x14ac:dyDescent="0.3">
      <c r="A213" s="30">
        <v>209</v>
      </c>
      <c r="B213" s="30" t="s">
        <v>184</v>
      </c>
      <c r="C213" s="520" t="s">
        <v>41</v>
      </c>
      <c r="D213" s="30"/>
      <c r="E213" s="446" t="s">
        <v>20</v>
      </c>
      <c r="F213" s="30" t="s">
        <v>483</v>
      </c>
      <c r="G213" s="30" t="s">
        <v>184</v>
      </c>
      <c r="H213" s="589">
        <v>748.72503333333339</v>
      </c>
      <c r="I213" s="30">
        <v>1</v>
      </c>
      <c r="J213" s="589">
        <v>748.72503333333339</v>
      </c>
      <c r="K213" s="589">
        <v>748.72503333333339</v>
      </c>
      <c r="L213" s="30">
        <v>1</v>
      </c>
      <c r="M213" s="589">
        <v>748.72503333333339</v>
      </c>
      <c r="N213" s="3" t="s">
        <v>497</v>
      </c>
      <c r="O213" s="31">
        <v>45134</v>
      </c>
      <c r="P213" s="33" t="str">
        <f>HYPERLINK("https://my.zakupki.prom.ua/remote/dispatcher/state_purchase_view/44182962", "UA-2023-07-27-007812-a")</f>
        <v>UA-2023-07-27-007812-a</v>
      </c>
      <c r="Q213" s="30">
        <v>748.72503333333339</v>
      </c>
      <c r="R213" s="30">
        <v>1</v>
      </c>
      <c r="S213" s="30">
        <v>748.72503333333339</v>
      </c>
      <c r="T213" s="31">
        <v>45134</v>
      </c>
      <c r="U213" s="30"/>
      <c r="V213" s="30" t="s">
        <v>59</v>
      </c>
    </row>
    <row r="214" spans="1:22" ht="62.4" x14ac:dyDescent="0.3">
      <c r="A214" s="30">
        <v>210</v>
      </c>
      <c r="B214" s="30" t="s">
        <v>184</v>
      </c>
      <c r="C214" s="520" t="s">
        <v>41</v>
      </c>
      <c r="D214" s="30"/>
      <c r="E214" s="30" t="s">
        <v>75</v>
      </c>
      <c r="F214" s="30" t="s">
        <v>484</v>
      </c>
      <c r="G214" s="30" t="s">
        <v>184</v>
      </c>
      <c r="H214" s="589">
        <v>281.35765833333335</v>
      </c>
      <c r="I214" s="30">
        <v>1</v>
      </c>
      <c r="J214" s="589">
        <v>281.35765833333335</v>
      </c>
      <c r="K214" s="589">
        <v>281.35765833333335</v>
      </c>
      <c r="L214" s="30">
        <v>1</v>
      </c>
      <c r="M214" s="589">
        <v>281.35765833333335</v>
      </c>
      <c r="N214" s="3" t="s">
        <v>498</v>
      </c>
      <c r="O214" s="31">
        <v>45139</v>
      </c>
      <c r="P214" s="33" t="str">
        <f>HYPERLINK("https://my.zakupki.prom.ua/remote/dispatcher/state_purchase_view/44239007", "UA-2023-08-01-001890-a")</f>
        <v>UA-2023-08-01-001890-a</v>
      </c>
      <c r="Q214" s="30">
        <v>281.35765833333335</v>
      </c>
      <c r="R214" s="30">
        <v>1</v>
      </c>
      <c r="S214" s="30">
        <v>281.35765833333335</v>
      </c>
      <c r="T214" s="31">
        <v>45138</v>
      </c>
      <c r="U214" s="30"/>
      <c r="V214" s="30" t="s">
        <v>59</v>
      </c>
    </row>
    <row r="215" spans="1:22" ht="68.25" customHeight="1" x14ac:dyDescent="0.3">
      <c r="A215" s="30">
        <v>211</v>
      </c>
      <c r="B215" s="30" t="s">
        <v>184</v>
      </c>
      <c r="C215" s="520" t="s">
        <v>41</v>
      </c>
      <c r="D215" s="30"/>
      <c r="E215" s="446" t="s">
        <v>20</v>
      </c>
      <c r="F215" s="30" t="s">
        <v>485</v>
      </c>
      <c r="G215" s="30" t="s">
        <v>184</v>
      </c>
      <c r="H215" s="589">
        <v>97.572408333333343</v>
      </c>
      <c r="I215" s="30">
        <v>1</v>
      </c>
      <c r="J215" s="589">
        <v>97.572408333333343</v>
      </c>
      <c r="K215" s="589">
        <v>97.572408333333343</v>
      </c>
      <c r="L215" s="30">
        <v>1</v>
      </c>
      <c r="M215" s="589">
        <v>97.572408333333343</v>
      </c>
      <c r="N215" s="3" t="s">
        <v>499</v>
      </c>
      <c r="O215" s="31">
        <v>45139</v>
      </c>
      <c r="P215" s="33" t="str">
        <f>HYPERLINK("https://my.zakupki.prom.ua/remote/dispatcher/state_purchase_view/44239848", "UA-2023-08-01-002229-a")</f>
        <v>UA-2023-08-01-002229-a</v>
      </c>
      <c r="Q215" s="30">
        <v>97.572408333333343</v>
      </c>
      <c r="R215" s="30">
        <v>1</v>
      </c>
      <c r="S215" s="30">
        <v>97.572408333333343</v>
      </c>
      <c r="T215" s="31">
        <v>45138</v>
      </c>
      <c r="U215" s="30"/>
      <c r="V215" s="30" t="s">
        <v>59</v>
      </c>
    </row>
    <row r="216" spans="1:22" ht="202.8" x14ac:dyDescent="0.3">
      <c r="A216" s="30">
        <v>212</v>
      </c>
      <c r="B216" s="30" t="s">
        <v>184</v>
      </c>
      <c r="C216" s="520" t="s">
        <v>41</v>
      </c>
      <c r="D216" s="30" t="s">
        <v>58</v>
      </c>
      <c r="E216" s="446" t="s">
        <v>20</v>
      </c>
      <c r="F216" s="30" t="s">
        <v>488</v>
      </c>
      <c r="G216" s="30" t="s">
        <v>184</v>
      </c>
      <c r="H216" s="589">
        <v>1314.1666666666667</v>
      </c>
      <c r="I216" s="30">
        <v>1</v>
      </c>
      <c r="J216" s="589">
        <v>1314.1666666666667</v>
      </c>
      <c r="K216" s="589">
        <v>1314.1666666666667</v>
      </c>
      <c r="L216" s="30">
        <v>1</v>
      </c>
      <c r="M216" s="589">
        <v>1314.1666666666667</v>
      </c>
      <c r="N216" s="3" t="s">
        <v>502</v>
      </c>
      <c r="O216" s="31">
        <v>45139</v>
      </c>
      <c r="P216" s="33" t="str">
        <f>HYPERLINK("https://my.zakupki.prom.ua/remote/dispatcher/state_purchase_view/44237685", "UA-2023-08-01-001260-a")</f>
        <v>UA-2023-08-01-001260-a</v>
      </c>
      <c r="Q216" s="30">
        <v>1229.3699999999999</v>
      </c>
      <c r="R216" s="30">
        <v>1</v>
      </c>
      <c r="S216" s="54">
        <v>1229.3699999999999</v>
      </c>
      <c r="T216" s="31">
        <v>45170</v>
      </c>
      <c r="U216" s="30"/>
      <c r="V216" s="30"/>
    </row>
    <row r="217" spans="1:22" ht="218.4" x14ac:dyDescent="0.3">
      <c r="A217" s="30">
        <v>213</v>
      </c>
      <c r="B217" s="30" t="s">
        <v>184</v>
      </c>
      <c r="C217" s="520" t="s">
        <v>41</v>
      </c>
      <c r="D217" s="30" t="s">
        <v>58</v>
      </c>
      <c r="E217" s="446" t="s">
        <v>20</v>
      </c>
      <c r="F217" s="30" t="s">
        <v>489</v>
      </c>
      <c r="G217" s="30" t="s">
        <v>184</v>
      </c>
      <c r="H217" s="589">
        <v>1265.8333333333335</v>
      </c>
      <c r="I217" s="30">
        <v>1</v>
      </c>
      <c r="J217" s="589">
        <v>1265.8333333333335</v>
      </c>
      <c r="K217" s="589">
        <v>1265.8333333333335</v>
      </c>
      <c r="L217" s="30">
        <v>1</v>
      </c>
      <c r="M217" s="589">
        <v>1265.8333333333335</v>
      </c>
      <c r="N217" s="3" t="s">
        <v>503</v>
      </c>
      <c r="O217" s="31">
        <v>45139</v>
      </c>
      <c r="P217" s="33" t="str">
        <f>HYPERLINK("https://my.zakupki.prom.ua/remote/dispatcher/state_purchase_view/44236786", "UA-2023-08-01-000893-a")</f>
        <v>UA-2023-08-01-000893-a</v>
      </c>
      <c r="Q217" s="30">
        <v>1141.6659</v>
      </c>
      <c r="R217" s="30">
        <v>1</v>
      </c>
      <c r="S217" s="54">
        <v>1141.6659</v>
      </c>
      <c r="T217" s="31">
        <v>45168</v>
      </c>
      <c r="U217" s="30"/>
      <c r="V217" s="30"/>
    </row>
    <row r="218" spans="1:22" ht="187.2" x14ac:dyDescent="0.3">
      <c r="A218" s="30">
        <v>214</v>
      </c>
      <c r="B218" s="30" t="s">
        <v>184</v>
      </c>
      <c r="C218" s="520" t="s">
        <v>41</v>
      </c>
      <c r="D218" s="30"/>
      <c r="E218" s="446" t="s">
        <v>20</v>
      </c>
      <c r="F218" s="30" t="s">
        <v>486</v>
      </c>
      <c r="G218" s="30" t="s">
        <v>184</v>
      </c>
      <c r="H218" s="589">
        <v>68.79965833333334</v>
      </c>
      <c r="I218" s="30">
        <v>1</v>
      </c>
      <c r="J218" s="589">
        <v>68.79965833333334</v>
      </c>
      <c r="K218" s="589">
        <v>68.79965833333334</v>
      </c>
      <c r="L218" s="30">
        <v>1</v>
      </c>
      <c r="M218" s="589">
        <v>68.79965833333334</v>
      </c>
      <c r="N218" s="3" t="s">
        <v>500</v>
      </c>
      <c r="O218" s="31">
        <v>45141</v>
      </c>
      <c r="P218" s="33" t="str">
        <f>HYPERLINK("https://my.zakupki.prom.ua/remote/dispatcher/state_purchase_view/44291790", "UA-2023-08-03-000375-a")</f>
        <v>UA-2023-08-03-000375-a</v>
      </c>
      <c r="Q218" s="30">
        <v>68.79965833333334</v>
      </c>
      <c r="R218" s="30">
        <v>1</v>
      </c>
      <c r="S218" s="30">
        <v>68.79965833333334</v>
      </c>
      <c r="T218" s="31">
        <v>45140</v>
      </c>
      <c r="U218" s="30"/>
      <c r="V218" s="30" t="s">
        <v>59</v>
      </c>
    </row>
    <row r="219" spans="1:22" ht="187.2" x14ac:dyDescent="0.3">
      <c r="A219" s="30">
        <v>215</v>
      </c>
      <c r="B219" s="30" t="s">
        <v>184</v>
      </c>
      <c r="C219" s="520" t="s">
        <v>41</v>
      </c>
      <c r="D219" s="30"/>
      <c r="E219" s="446" t="s">
        <v>20</v>
      </c>
      <c r="F219" s="30" t="s">
        <v>487</v>
      </c>
      <c r="G219" s="30" t="s">
        <v>184</v>
      </c>
      <c r="H219" s="589">
        <v>330.66725833333334</v>
      </c>
      <c r="I219" s="30">
        <v>1</v>
      </c>
      <c r="J219" s="589">
        <v>330.66725833333334</v>
      </c>
      <c r="K219" s="589">
        <v>330.66725833333334</v>
      </c>
      <c r="L219" s="30">
        <v>1</v>
      </c>
      <c r="M219" s="589">
        <v>330.66725833333334</v>
      </c>
      <c r="N219" s="3" t="s">
        <v>501</v>
      </c>
      <c r="O219" s="31">
        <v>45141</v>
      </c>
      <c r="P219" s="33" t="str">
        <f>HYPERLINK("https://my.zakupki.prom.ua/remote/dispatcher/state_purchase_view/44300695", "UA-2023-08-03-004393-a")</f>
        <v>UA-2023-08-03-004393-a</v>
      </c>
      <c r="Q219" s="30">
        <v>330.66725833333334</v>
      </c>
      <c r="R219" s="30">
        <v>1</v>
      </c>
      <c r="S219" s="30">
        <v>330.66725833333334</v>
      </c>
      <c r="T219" s="31">
        <v>45140</v>
      </c>
      <c r="U219" s="30"/>
      <c r="V219" s="30" t="s">
        <v>59</v>
      </c>
    </row>
    <row r="220" spans="1:22" ht="171.6" x14ac:dyDescent="0.3">
      <c r="A220" s="30">
        <v>216</v>
      </c>
      <c r="B220" s="30" t="s">
        <v>184</v>
      </c>
      <c r="C220" s="520" t="s">
        <v>41</v>
      </c>
      <c r="D220" s="30"/>
      <c r="E220" s="446" t="s">
        <v>20</v>
      </c>
      <c r="F220" s="30" t="s">
        <v>504</v>
      </c>
      <c r="G220" s="30" t="s">
        <v>184</v>
      </c>
      <c r="H220" s="589">
        <v>2448.8471666666665</v>
      </c>
      <c r="I220" s="30">
        <v>1</v>
      </c>
      <c r="J220" s="589">
        <v>2448.8471666666665</v>
      </c>
      <c r="K220" s="589">
        <v>2448.8471666666665</v>
      </c>
      <c r="L220" s="30">
        <v>1</v>
      </c>
      <c r="M220" s="589">
        <v>2448.8471666666665</v>
      </c>
      <c r="N220" s="6" t="s">
        <v>521</v>
      </c>
      <c r="O220" s="31">
        <v>45146</v>
      </c>
      <c r="P220" s="33" t="str">
        <f>HYPERLINK("https://my.zakupki.prom.ua/remote/dispatcher/state_purchase_view/44396461", "UA-2023-08-08-008804-a")</f>
        <v>UA-2023-08-08-008804-a</v>
      </c>
      <c r="Q220" s="30">
        <v>2448.8471666666665</v>
      </c>
      <c r="R220" s="30">
        <v>1</v>
      </c>
      <c r="S220" s="30">
        <v>2448.8471666666665</v>
      </c>
      <c r="T220" s="31">
        <v>45146</v>
      </c>
      <c r="U220" s="30"/>
      <c r="V220" s="30" t="s">
        <v>59</v>
      </c>
    </row>
    <row r="221" spans="1:22" ht="78" x14ac:dyDescent="0.3">
      <c r="A221" s="30">
        <v>217</v>
      </c>
      <c r="B221" s="30" t="s">
        <v>21</v>
      </c>
      <c r="C221" s="520" t="s">
        <v>174</v>
      </c>
      <c r="D221" s="30" t="s">
        <v>58</v>
      </c>
      <c r="E221" s="30" t="s">
        <v>88</v>
      </c>
      <c r="F221" s="30" t="s">
        <v>505</v>
      </c>
      <c r="G221" s="30" t="s">
        <v>185</v>
      </c>
      <c r="H221" s="589"/>
      <c r="I221" s="30">
        <v>43</v>
      </c>
      <c r="J221" s="589">
        <v>32108.1</v>
      </c>
      <c r="K221" s="589"/>
      <c r="L221" s="30">
        <v>43</v>
      </c>
      <c r="M221" s="589">
        <v>32108.1</v>
      </c>
      <c r="N221" s="6" t="s">
        <v>518</v>
      </c>
      <c r="O221" s="31">
        <v>45147</v>
      </c>
      <c r="P221" s="33" t="str">
        <f>HYPERLINK("https://my.zakupki.prom.ua/remote/dispatcher/state_purchase_view/44418733", "UA-2023-08-09-006222-a")</f>
        <v>UA-2023-08-09-006222-a</v>
      </c>
      <c r="Q221" s="30"/>
      <c r="R221" s="30">
        <v>43</v>
      </c>
      <c r="S221" s="70">
        <v>3042.25</v>
      </c>
      <c r="T221" s="31">
        <v>45217</v>
      </c>
      <c r="U221" s="30"/>
      <c r="V221" s="30"/>
    </row>
    <row r="222" spans="1:22" ht="93.6" x14ac:dyDescent="0.3">
      <c r="A222" s="30">
        <v>218</v>
      </c>
      <c r="B222" s="30" t="s">
        <v>21</v>
      </c>
      <c r="C222" s="520" t="s">
        <v>405</v>
      </c>
      <c r="D222" s="30" t="s">
        <v>58</v>
      </c>
      <c r="E222" s="30" t="s">
        <v>88</v>
      </c>
      <c r="F222" s="30" t="s">
        <v>506</v>
      </c>
      <c r="G222" s="30" t="s">
        <v>185</v>
      </c>
      <c r="H222" s="589"/>
      <c r="I222" s="30">
        <v>101</v>
      </c>
      <c r="J222" s="589">
        <v>134064</v>
      </c>
      <c r="K222" s="589"/>
      <c r="L222" s="30">
        <v>101</v>
      </c>
      <c r="M222" s="589">
        <v>134064</v>
      </c>
      <c r="N222" s="6" t="s">
        <v>519</v>
      </c>
      <c r="O222" s="31">
        <v>45147</v>
      </c>
      <c r="P222" s="33" t="str">
        <f>HYPERLINK("https://my.zakupki.prom.ua/remote/dispatcher/state_purchase_view/44411432", "UA-2023-08-09-003000-a")</f>
        <v>UA-2023-08-09-003000-a</v>
      </c>
      <c r="Q222" s="30"/>
      <c r="R222" s="30">
        <v>101</v>
      </c>
      <c r="S222" s="38" t="s">
        <v>556</v>
      </c>
      <c r="T222" s="31">
        <v>45169</v>
      </c>
      <c r="U222" s="30"/>
      <c r="V222" s="30"/>
    </row>
    <row r="223" spans="1:22" ht="78" x14ac:dyDescent="0.3">
      <c r="A223" s="30">
        <v>219</v>
      </c>
      <c r="B223" s="30" t="s">
        <v>529</v>
      </c>
      <c r="C223" s="520" t="s">
        <v>515</v>
      </c>
      <c r="D223" s="30" t="s">
        <v>58</v>
      </c>
      <c r="E223" s="30" t="s">
        <v>88</v>
      </c>
      <c r="F223" s="30" t="s">
        <v>507</v>
      </c>
      <c r="G223" s="30" t="s">
        <v>185</v>
      </c>
      <c r="H223" s="589"/>
      <c r="I223" s="30">
        <v>2</v>
      </c>
      <c r="J223" s="589">
        <v>9898.7999999999993</v>
      </c>
      <c r="K223" s="589"/>
      <c r="L223" s="30">
        <v>2</v>
      </c>
      <c r="M223" s="589">
        <v>9898.7999999999993</v>
      </c>
      <c r="N223" s="6" t="s">
        <v>520</v>
      </c>
      <c r="O223" s="31">
        <v>45148</v>
      </c>
      <c r="P223" s="33" t="str">
        <f>HYPERLINK("https://my.zakupki.prom.ua/remote/dispatcher/state_purchase_view/44450761", "UA-2023-08-10-007949-a")</f>
        <v>UA-2023-08-10-007949-a</v>
      </c>
      <c r="Q223" s="30"/>
      <c r="R223" s="30">
        <v>2</v>
      </c>
      <c r="S223" s="38">
        <v>976</v>
      </c>
      <c r="T223" s="31">
        <v>45166</v>
      </c>
      <c r="U223" s="30"/>
      <c r="V223" s="30"/>
    </row>
    <row r="224" spans="1:22" ht="93.6" x14ac:dyDescent="0.3">
      <c r="A224" s="30">
        <v>220</v>
      </c>
      <c r="B224" s="30" t="s">
        <v>21</v>
      </c>
      <c r="C224" s="520" t="s">
        <v>412</v>
      </c>
      <c r="D224" s="30" t="s">
        <v>58</v>
      </c>
      <c r="E224" s="30" t="s">
        <v>88</v>
      </c>
      <c r="F224" s="30" t="s">
        <v>508</v>
      </c>
      <c r="G224" s="30" t="s">
        <v>185</v>
      </c>
      <c r="H224" s="589">
        <v>4490</v>
      </c>
      <c r="I224" s="30">
        <v>1</v>
      </c>
      <c r="J224" s="589">
        <v>4490</v>
      </c>
      <c r="K224" s="589">
        <v>4490</v>
      </c>
      <c r="L224" s="30">
        <v>1</v>
      </c>
      <c r="M224" s="589">
        <v>4490</v>
      </c>
      <c r="N224" s="6" t="s">
        <v>522</v>
      </c>
      <c r="O224" s="31">
        <v>45148</v>
      </c>
      <c r="P224" s="33" t="str">
        <f>HYPERLINK("https://my.zakupki.prom.ua/remote/dispatcher/state_purchase_view/44442189", "UA-2023-08-10-004148-a")</f>
        <v>UA-2023-08-10-004148-a</v>
      </c>
      <c r="Q224" s="38">
        <v>444.6995</v>
      </c>
      <c r="R224" s="30">
        <v>1</v>
      </c>
      <c r="S224" s="30">
        <v>444.6995</v>
      </c>
      <c r="T224" s="31">
        <v>45169</v>
      </c>
      <c r="U224" s="30"/>
      <c r="V224" s="30"/>
    </row>
    <row r="225" spans="1:22" ht="140.4" x14ac:dyDescent="0.3">
      <c r="A225" s="30">
        <v>221</v>
      </c>
      <c r="B225" s="30" t="s">
        <v>21</v>
      </c>
      <c r="C225" s="520" t="s">
        <v>516</v>
      </c>
      <c r="D225" s="30" t="s">
        <v>58</v>
      </c>
      <c r="E225" s="30" t="s">
        <v>88</v>
      </c>
      <c r="F225" s="30" t="s">
        <v>509</v>
      </c>
      <c r="G225" s="30" t="s">
        <v>185</v>
      </c>
      <c r="H225" s="589"/>
      <c r="I225" s="30">
        <v>22</v>
      </c>
      <c r="J225" s="589">
        <v>107860</v>
      </c>
      <c r="K225" s="589"/>
      <c r="L225" s="30">
        <v>22</v>
      </c>
      <c r="M225" s="589">
        <v>107860</v>
      </c>
      <c r="N225" s="6" t="s">
        <v>523</v>
      </c>
      <c r="O225" s="31">
        <v>45148</v>
      </c>
      <c r="P225" s="33" t="str">
        <f>HYPERLINK("https://my.zakupki.prom.ua/remote/dispatcher/state_purchase_view/44441521", "UA-2023-08-10-003836-a")</f>
        <v>UA-2023-08-10-003836-a</v>
      </c>
      <c r="Q225" s="54">
        <v>10758.3</v>
      </c>
      <c r="R225" s="30">
        <v>22</v>
      </c>
      <c r="S225" s="30">
        <v>10758.3</v>
      </c>
      <c r="T225" s="31">
        <v>45182</v>
      </c>
      <c r="U225" s="30"/>
      <c r="V225" s="30"/>
    </row>
    <row r="226" spans="1:22" ht="109.2" x14ac:dyDescent="0.3">
      <c r="A226" s="30">
        <v>222</v>
      </c>
      <c r="B226" s="30" t="s">
        <v>184</v>
      </c>
      <c r="C226" s="520" t="s">
        <v>517</v>
      </c>
      <c r="D226" s="30" t="s">
        <v>58</v>
      </c>
      <c r="E226" s="30" t="s">
        <v>88</v>
      </c>
      <c r="F226" s="30" t="s">
        <v>510</v>
      </c>
      <c r="G226" s="30" t="s">
        <v>184</v>
      </c>
      <c r="H226" s="589">
        <v>17355</v>
      </c>
      <c r="I226" s="30">
        <v>1</v>
      </c>
      <c r="J226" s="589">
        <v>17355</v>
      </c>
      <c r="K226" s="589">
        <v>17355</v>
      </c>
      <c r="L226" s="30">
        <v>1</v>
      </c>
      <c r="M226" s="589">
        <v>17355</v>
      </c>
      <c r="N226" s="6" t="s">
        <v>524</v>
      </c>
      <c r="O226" s="31">
        <v>45148</v>
      </c>
      <c r="P226" s="33" t="str">
        <f>HYPERLINK("https://my.zakupki.prom.ua/remote/dispatcher/state_purchase_view/44441001", "UA-2023-08-10-003635-a")</f>
        <v>UA-2023-08-10-003635-a</v>
      </c>
      <c r="Q226" s="30"/>
      <c r="R226" s="30"/>
      <c r="S226" s="30"/>
      <c r="T226" s="31"/>
      <c r="U226" s="30" t="s">
        <v>555</v>
      </c>
      <c r="V226" s="30"/>
    </row>
    <row r="227" spans="1:22" ht="62.4" x14ac:dyDescent="0.3">
      <c r="A227" s="30">
        <v>223</v>
      </c>
      <c r="B227" s="30" t="s">
        <v>184</v>
      </c>
      <c r="C227" s="520" t="s">
        <v>73</v>
      </c>
      <c r="D227" s="30"/>
      <c r="E227" s="30" t="s">
        <v>75</v>
      </c>
      <c r="F227" s="30" t="s">
        <v>511</v>
      </c>
      <c r="G227" s="30" t="s">
        <v>184</v>
      </c>
      <c r="H227" s="589">
        <v>672.42191666666679</v>
      </c>
      <c r="I227" s="30">
        <v>1</v>
      </c>
      <c r="J227" s="589">
        <v>672.42191666666679</v>
      </c>
      <c r="K227" s="589">
        <v>672.42191666666679</v>
      </c>
      <c r="L227" s="30">
        <v>1</v>
      </c>
      <c r="M227" s="589">
        <v>672.42191666666679</v>
      </c>
      <c r="N227" s="6" t="s">
        <v>525</v>
      </c>
      <c r="O227" s="31">
        <v>45148</v>
      </c>
      <c r="P227" s="33" t="str">
        <f>HYPERLINK("https://my.zakupki.prom.ua/remote/dispatcher/state_purchase_view/44433428", "UA-2023-08-10-000166-a")</f>
        <v>UA-2023-08-10-000166-a</v>
      </c>
      <c r="Q227" s="30">
        <v>672.42191666666679</v>
      </c>
      <c r="R227" s="30">
        <v>1</v>
      </c>
      <c r="S227" s="30">
        <v>672.42191666666679</v>
      </c>
      <c r="T227" s="31">
        <v>45147</v>
      </c>
      <c r="U227" s="30"/>
      <c r="V227" s="30" t="s">
        <v>59</v>
      </c>
    </row>
    <row r="228" spans="1:22" ht="202.8" x14ac:dyDescent="0.3">
      <c r="A228" s="30">
        <v>224</v>
      </c>
      <c r="B228" s="30" t="s">
        <v>184</v>
      </c>
      <c r="C228" s="520" t="s">
        <v>41</v>
      </c>
      <c r="D228" s="30" t="s">
        <v>58</v>
      </c>
      <c r="E228" s="446" t="s">
        <v>20</v>
      </c>
      <c r="F228" s="30" t="s">
        <v>512</v>
      </c>
      <c r="G228" s="30" t="s">
        <v>184</v>
      </c>
      <c r="H228" s="589">
        <v>19883.875</v>
      </c>
      <c r="I228" s="30">
        <v>1</v>
      </c>
      <c r="J228" s="589">
        <v>19883.875</v>
      </c>
      <c r="K228" s="589">
        <v>19883.875</v>
      </c>
      <c r="L228" s="30">
        <v>1</v>
      </c>
      <c r="M228" s="589">
        <v>19883.875</v>
      </c>
      <c r="N228" s="6" t="s">
        <v>526</v>
      </c>
      <c r="O228" s="31">
        <v>45153</v>
      </c>
      <c r="P228" s="33" t="str">
        <f>HYPERLINK("https://my.zakupki.prom.ua/remote/dispatcher/state_purchase_view/44539346", "UA-2023-08-15-012899-a")</f>
        <v>UA-2023-08-15-012899-a</v>
      </c>
      <c r="Q228" s="38">
        <v>1958.3874000000001</v>
      </c>
      <c r="R228" s="30">
        <v>1</v>
      </c>
      <c r="S228" s="30">
        <v>1958.3874000000001</v>
      </c>
      <c r="T228" s="31">
        <v>45169</v>
      </c>
      <c r="U228" s="30"/>
      <c r="V228" s="30"/>
    </row>
    <row r="229" spans="1:22" ht="62.4" x14ac:dyDescent="0.3">
      <c r="A229" s="30">
        <v>225</v>
      </c>
      <c r="B229" s="30" t="s">
        <v>21</v>
      </c>
      <c r="C229" s="520" t="s">
        <v>178</v>
      </c>
      <c r="D229" s="30" t="s">
        <v>58</v>
      </c>
      <c r="E229" s="30" t="s">
        <v>88</v>
      </c>
      <c r="F229" s="30" t="s">
        <v>513</v>
      </c>
      <c r="G229" s="30" t="s">
        <v>185</v>
      </c>
      <c r="H229" s="589"/>
      <c r="I229" s="30">
        <v>20</v>
      </c>
      <c r="J229" s="589">
        <v>125.4</v>
      </c>
      <c r="K229" s="589"/>
      <c r="L229" s="30">
        <v>20</v>
      </c>
      <c r="M229" s="589">
        <v>125.4</v>
      </c>
      <c r="N229" s="6" t="s">
        <v>527</v>
      </c>
      <c r="O229" s="31">
        <v>45153</v>
      </c>
      <c r="P229" s="33" t="str">
        <f>HYPERLINK("https://my.zakupki.prom.ua/remote/dispatcher/state_purchase_view/44535001", "UA-2023-08-15-010986-a")</f>
        <v>UA-2023-08-15-010986-a</v>
      </c>
      <c r="Q229" s="30"/>
      <c r="R229" s="30">
        <v>20</v>
      </c>
      <c r="S229" s="38">
        <v>119.8</v>
      </c>
      <c r="T229" s="31">
        <v>45169</v>
      </c>
      <c r="U229" s="30"/>
      <c r="V229" s="30"/>
    </row>
    <row r="230" spans="1:22" ht="124.8" x14ac:dyDescent="0.3">
      <c r="A230" s="30">
        <v>226</v>
      </c>
      <c r="B230" s="30" t="s">
        <v>21</v>
      </c>
      <c r="C230" s="520" t="s">
        <v>405</v>
      </c>
      <c r="D230" s="30" t="s">
        <v>58</v>
      </c>
      <c r="E230" s="34" t="s">
        <v>88</v>
      </c>
      <c r="F230" s="34" t="s">
        <v>514</v>
      </c>
      <c r="G230" s="34" t="s">
        <v>185</v>
      </c>
      <c r="H230" s="589">
        <v>10543.4</v>
      </c>
      <c r="I230" s="34">
        <v>1</v>
      </c>
      <c r="J230" s="589">
        <v>10543.4</v>
      </c>
      <c r="K230" s="589">
        <v>10543.4</v>
      </c>
      <c r="L230" s="34">
        <v>1</v>
      </c>
      <c r="M230" s="589">
        <v>10543.4</v>
      </c>
      <c r="N230" s="3" t="s">
        <v>528</v>
      </c>
      <c r="O230" s="35">
        <v>45153</v>
      </c>
      <c r="P230" s="33" t="str">
        <f>HYPERLINK("https://my.zakupki.prom.ua/remote/dispatcher/state_purchase_view/44523546", "UA-2023-08-15-005675-a")</f>
        <v>UA-2023-08-15-005675-a</v>
      </c>
      <c r="Q230" s="51">
        <f>1201356/1000/1.2</f>
        <v>1001.13</v>
      </c>
      <c r="R230" s="34">
        <v>1</v>
      </c>
      <c r="S230" s="34">
        <v>1001.13</v>
      </c>
      <c r="T230" s="35">
        <v>45170</v>
      </c>
      <c r="U230" s="34"/>
      <c r="V230" s="34"/>
    </row>
    <row r="231" spans="1:22" ht="62.4" x14ac:dyDescent="0.3">
      <c r="A231" s="34">
        <v>227</v>
      </c>
      <c r="B231" s="34" t="s">
        <v>40</v>
      </c>
      <c r="C231" s="520" t="s">
        <v>73</v>
      </c>
      <c r="D231" s="34"/>
      <c r="E231" s="34" t="s">
        <v>75</v>
      </c>
      <c r="F231" s="34" t="s">
        <v>530</v>
      </c>
      <c r="G231" s="34" t="s">
        <v>184</v>
      </c>
      <c r="H231" s="589">
        <v>52.715508333333332</v>
      </c>
      <c r="I231" s="34">
        <v>1</v>
      </c>
      <c r="J231" s="589">
        <v>52.715508333333332</v>
      </c>
      <c r="K231" s="589">
        <v>52.715508333333332</v>
      </c>
      <c r="L231" s="34">
        <v>1</v>
      </c>
      <c r="M231" s="589">
        <v>52.715508333333332</v>
      </c>
      <c r="N231" s="3" t="s">
        <v>536</v>
      </c>
      <c r="O231" s="35">
        <v>45161</v>
      </c>
      <c r="P231" s="33" t="str">
        <f>HYPERLINK("https://my.zakupki.prom.ua/remote/dispatcher/state_purchase_view/44706235", "UA-2023-08-23-006676-a")</f>
        <v>UA-2023-08-23-006676-a</v>
      </c>
      <c r="Q231" s="34">
        <v>52.715508333333332</v>
      </c>
      <c r="R231" s="34">
        <v>1</v>
      </c>
      <c r="S231" s="34">
        <v>52.715508333333332</v>
      </c>
      <c r="T231" s="35">
        <v>45161.572472394859</v>
      </c>
      <c r="U231" s="34"/>
      <c r="V231" s="34" t="s">
        <v>59</v>
      </c>
    </row>
    <row r="232" spans="1:22" ht="62.4" x14ac:dyDescent="0.3">
      <c r="A232" s="34">
        <v>228</v>
      </c>
      <c r="B232" s="34" t="s">
        <v>40</v>
      </c>
      <c r="C232" s="520" t="s">
        <v>41</v>
      </c>
      <c r="D232" s="34"/>
      <c r="E232" s="446" t="s">
        <v>20</v>
      </c>
      <c r="F232" s="34" t="s">
        <v>531</v>
      </c>
      <c r="G232" s="34" t="s">
        <v>184</v>
      </c>
      <c r="H232" s="589">
        <v>248.68982499999998</v>
      </c>
      <c r="I232" s="34">
        <v>1</v>
      </c>
      <c r="J232" s="589">
        <v>248.68982499999998</v>
      </c>
      <c r="K232" s="589">
        <v>248.68982499999998</v>
      </c>
      <c r="L232" s="34">
        <v>1</v>
      </c>
      <c r="M232" s="589">
        <v>248.68982499999998</v>
      </c>
      <c r="N232" s="3" t="s">
        <v>535</v>
      </c>
      <c r="O232" s="35">
        <v>45161</v>
      </c>
      <c r="P232" s="33" t="str">
        <f>HYPERLINK("https://my.zakupki.prom.ua/remote/dispatcher/state_purchase_view/44705001", "UA-2023-08-23-006097-a")</f>
        <v>UA-2023-08-23-006097-a</v>
      </c>
      <c r="Q232" s="34">
        <v>248.68982499999998</v>
      </c>
      <c r="R232" s="34">
        <v>1</v>
      </c>
      <c r="S232" s="34">
        <v>248.68982499999998</v>
      </c>
      <c r="T232" s="35">
        <v>45161.552571964385</v>
      </c>
      <c r="U232" s="34"/>
      <c r="V232" s="34" t="s">
        <v>59</v>
      </c>
    </row>
    <row r="233" spans="1:22" ht="62.4" x14ac:dyDescent="0.3">
      <c r="A233" s="34">
        <v>229</v>
      </c>
      <c r="B233" s="34" t="s">
        <v>40</v>
      </c>
      <c r="C233" s="520" t="s">
        <v>41</v>
      </c>
      <c r="D233" s="34"/>
      <c r="E233" s="446" t="s">
        <v>20</v>
      </c>
      <c r="F233" s="34" t="s">
        <v>532</v>
      </c>
      <c r="G233" s="34" t="s">
        <v>184</v>
      </c>
      <c r="H233" s="589">
        <v>208.01519999999999</v>
      </c>
      <c r="I233" s="34">
        <v>1</v>
      </c>
      <c r="J233" s="589">
        <v>208.01519999999999</v>
      </c>
      <c r="K233" s="589">
        <v>208.01519999999999</v>
      </c>
      <c r="L233" s="34">
        <v>1</v>
      </c>
      <c r="M233" s="589">
        <v>208.01519999999999</v>
      </c>
      <c r="N233" s="3" t="s">
        <v>537</v>
      </c>
      <c r="O233" s="35">
        <v>45161</v>
      </c>
      <c r="P233" s="33" t="str">
        <f>HYPERLINK("https://my.zakupki.prom.ua/remote/dispatcher/state_purchase_view/44701962", "UA-2023-08-23-004657-a")</f>
        <v>UA-2023-08-23-004657-a</v>
      </c>
      <c r="Q233" s="34">
        <v>208.01519999999999</v>
      </c>
      <c r="R233" s="34">
        <v>1</v>
      </c>
      <c r="S233" s="34">
        <v>208.01519999999999</v>
      </c>
      <c r="T233" s="35">
        <v>45161.501702151501</v>
      </c>
      <c r="U233" s="34"/>
      <c r="V233" s="34" t="s">
        <v>59</v>
      </c>
    </row>
    <row r="234" spans="1:22" ht="62.4" x14ac:dyDescent="0.3">
      <c r="A234" s="34">
        <v>230</v>
      </c>
      <c r="B234" s="34" t="s">
        <v>40</v>
      </c>
      <c r="C234" s="520" t="s">
        <v>41</v>
      </c>
      <c r="D234" s="34"/>
      <c r="E234" s="446" t="s">
        <v>20</v>
      </c>
      <c r="F234" s="34" t="s">
        <v>533</v>
      </c>
      <c r="G234" s="34" t="s">
        <v>184</v>
      </c>
      <c r="H234" s="589">
        <v>263.00654166666669</v>
      </c>
      <c r="I234" s="34">
        <v>1</v>
      </c>
      <c r="J234" s="589">
        <v>263.00654166666669</v>
      </c>
      <c r="K234" s="589">
        <v>263.00654166666669</v>
      </c>
      <c r="L234" s="34">
        <v>1</v>
      </c>
      <c r="M234" s="589">
        <v>263.00654166666669</v>
      </c>
      <c r="N234" s="3" t="s">
        <v>538</v>
      </c>
      <c r="O234" s="35">
        <v>45162</v>
      </c>
      <c r="P234" s="33" t="str">
        <f>HYPERLINK("https://my.zakupki.prom.ua/remote/dispatcher/state_purchase_view/44727318", "UA-2023-08-24-003436-a")</f>
        <v>UA-2023-08-24-003436-a</v>
      </c>
      <c r="Q234" s="34">
        <v>263.00654166666669</v>
      </c>
      <c r="R234" s="34">
        <v>1</v>
      </c>
      <c r="S234" s="34">
        <v>263.00654166666669</v>
      </c>
      <c r="T234" s="35">
        <v>45162.470152068599</v>
      </c>
      <c r="U234" s="34"/>
      <c r="V234" s="34" t="s">
        <v>59</v>
      </c>
    </row>
    <row r="235" spans="1:22" ht="46.8" x14ac:dyDescent="0.3">
      <c r="A235" s="34">
        <v>231</v>
      </c>
      <c r="B235" s="34" t="s">
        <v>21</v>
      </c>
      <c r="C235" s="520" t="s">
        <v>32</v>
      </c>
      <c r="D235" s="34" t="s">
        <v>58</v>
      </c>
      <c r="E235" s="446" t="s">
        <v>20</v>
      </c>
      <c r="F235" s="34" t="s">
        <v>534</v>
      </c>
      <c r="G235" s="34" t="s">
        <v>185</v>
      </c>
      <c r="H235" s="589">
        <v>162.5</v>
      </c>
      <c r="I235" s="34">
        <v>1</v>
      </c>
      <c r="J235" s="589">
        <v>162.5</v>
      </c>
      <c r="K235" s="589">
        <v>162.5</v>
      </c>
      <c r="L235" s="34">
        <v>1</v>
      </c>
      <c r="M235" s="589">
        <v>162.5</v>
      </c>
      <c r="N235" s="3" t="s">
        <v>539</v>
      </c>
      <c r="O235" s="35">
        <v>45162</v>
      </c>
      <c r="P235" s="33" t="str">
        <f>HYPERLINK("https://my.zakupki.prom.ua/remote/dispatcher/state_purchase_view/44720799", "UA-2023-08-24-000445-a")</f>
        <v>UA-2023-08-24-000445-a</v>
      </c>
      <c r="Q235" s="51">
        <v>154.25</v>
      </c>
      <c r="R235" s="34">
        <v>1</v>
      </c>
      <c r="S235" s="51">
        <v>154.25</v>
      </c>
      <c r="T235" s="35">
        <v>45180</v>
      </c>
      <c r="U235" s="34"/>
      <c r="V235" s="34"/>
    </row>
    <row r="236" spans="1:22" ht="62.4" x14ac:dyDescent="0.3">
      <c r="A236" s="1">
        <v>232</v>
      </c>
      <c r="B236" s="43" t="s">
        <v>40</v>
      </c>
      <c r="C236" s="44" t="s">
        <v>541</v>
      </c>
      <c r="D236" s="38"/>
      <c r="E236" s="38" t="s">
        <v>75</v>
      </c>
      <c r="F236" s="38" t="s">
        <v>543</v>
      </c>
      <c r="G236" s="38" t="s">
        <v>184</v>
      </c>
      <c r="H236" s="594">
        <v>196.83361666666667</v>
      </c>
      <c r="I236" s="38">
        <v>1</v>
      </c>
      <c r="J236" s="594">
        <v>196.83361666666667</v>
      </c>
      <c r="K236" s="594">
        <v>196.83361666666667</v>
      </c>
      <c r="L236" s="38">
        <v>1</v>
      </c>
      <c r="M236" s="594">
        <v>196.83361666666667</v>
      </c>
      <c r="N236" s="3" t="s">
        <v>544</v>
      </c>
      <c r="O236" s="46">
        <v>45166</v>
      </c>
      <c r="P236" s="33" t="str">
        <f>HYPERLINK("https://my.zakupki.prom.ua/remote/dispatcher/state_purchase_view/44771791", "UA-2023-08-28-000647-a")</f>
        <v>UA-2023-08-28-000647-a</v>
      </c>
      <c r="Q236" s="45">
        <v>196.83361666666667</v>
      </c>
      <c r="R236" s="38">
        <v>1</v>
      </c>
      <c r="S236" s="45">
        <v>196.83361666666667</v>
      </c>
      <c r="T236" s="46">
        <v>45166</v>
      </c>
      <c r="U236" s="38"/>
      <c r="V236" s="38" t="s">
        <v>59</v>
      </c>
    </row>
    <row r="237" spans="1:22" ht="62.4" x14ac:dyDescent="0.3">
      <c r="A237" s="38">
        <v>233</v>
      </c>
      <c r="B237" s="38" t="s">
        <v>21</v>
      </c>
      <c r="C237" s="47" t="s">
        <v>412</v>
      </c>
      <c r="D237" s="38" t="s">
        <v>58</v>
      </c>
      <c r="E237" s="446" t="s">
        <v>20</v>
      </c>
      <c r="F237" s="59" t="s">
        <v>545</v>
      </c>
      <c r="G237" s="38" t="s">
        <v>185</v>
      </c>
      <c r="H237" s="595"/>
      <c r="I237" s="38">
        <v>180</v>
      </c>
      <c r="J237" s="589">
        <v>372.06</v>
      </c>
      <c r="K237" s="596"/>
      <c r="L237" s="49">
        <v>180</v>
      </c>
      <c r="M237" s="589">
        <v>372.06</v>
      </c>
      <c r="N237" s="3" t="s">
        <v>546</v>
      </c>
      <c r="O237" s="37">
        <v>45167</v>
      </c>
      <c r="P237" s="33" t="str">
        <f>HYPERLINK("https://my.zakupki.prom.ua/remote/dispatcher/state_purchase_view/44807604", "UA-2023-08-29-004307-a")</f>
        <v>UA-2023-08-29-004307-a</v>
      </c>
      <c r="Q237" s="38"/>
      <c r="R237" s="38">
        <v>180</v>
      </c>
      <c r="S237" s="38">
        <v>372.06</v>
      </c>
      <c r="T237" s="55">
        <v>45187</v>
      </c>
      <c r="U237" s="38"/>
      <c r="V237" s="38"/>
    </row>
    <row r="238" spans="1:22" ht="62.4" x14ac:dyDescent="0.3">
      <c r="A238" s="38">
        <v>234</v>
      </c>
      <c r="B238" s="38" t="s">
        <v>40</v>
      </c>
      <c r="C238" s="44" t="s">
        <v>41</v>
      </c>
      <c r="D238" s="38"/>
      <c r="E238" s="446" t="s">
        <v>20</v>
      </c>
      <c r="F238" s="44" t="s">
        <v>547</v>
      </c>
      <c r="G238" s="38" t="s">
        <v>184</v>
      </c>
      <c r="H238" s="595">
        <v>299.56304166666672</v>
      </c>
      <c r="I238" s="38">
        <v>1</v>
      </c>
      <c r="J238" s="589">
        <v>299.56304166666672</v>
      </c>
      <c r="K238" s="589">
        <v>299.56304166666672</v>
      </c>
      <c r="L238" s="38">
        <v>1</v>
      </c>
      <c r="M238" s="589">
        <v>299.56304166666672</v>
      </c>
      <c r="N238" s="3" t="s">
        <v>548</v>
      </c>
      <c r="O238" s="37">
        <v>45169</v>
      </c>
      <c r="P238" s="33" t="str">
        <f>HYPERLINK("https://my.zakupki.prom.ua/remote/dispatcher/state_purchase_view/44854320", "UA-2023-08-31-001439-a")</f>
        <v>UA-2023-08-31-001439-a</v>
      </c>
      <c r="Q238" s="38">
        <v>299.56304166666672</v>
      </c>
      <c r="R238" s="38">
        <v>1</v>
      </c>
      <c r="S238" s="38">
        <v>299.56304166666672</v>
      </c>
      <c r="T238" s="37">
        <v>45169</v>
      </c>
      <c r="U238" s="38"/>
      <c r="V238" s="38" t="s">
        <v>59</v>
      </c>
    </row>
    <row r="239" spans="1:22" ht="62.4" x14ac:dyDescent="0.3">
      <c r="A239" s="38">
        <v>235</v>
      </c>
      <c r="B239" s="38" t="s">
        <v>40</v>
      </c>
      <c r="C239" s="44" t="s">
        <v>41</v>
      </c>
      <c r="D239" s="38"/>
      <c r="E239" s="446" t="s">
        <v>20</v>
      </c>
      <c r="F239" s="44" t="s">
        <v>549</v>
      </c>
      <c r="G239" s="38" t="s">
        <v>184</v>
      </c>
      <c r="H239" s="595">
        <v>187.04543333333334</v>
      </c>
      <c r="I239" s="38">
        <v>1</v>
      </c>
      <c r="J239" s="589">
        <v>187.04543333333334</v>
      </c>
      <c r="K239" s="595">
        <v>187.04543333333334</v>
      </c>
      <c r="L239" s="38">
        <v>1</v>
      </c>
      <c r="M239" s="589">
        <v>187.04543333333334</v>
      </c>
      <c r="N239" s="3" t="s">
        <v>550</v>
      </c>
      <c r="O239" s="37">
        <v>45169</v>
      </c>
      <c r="P239" s="33" t="str">
        <f>HYPERLINK("https://my.zakupki.prom.ua/remote/dispatcher/state_purchase_view/44854535", "UA-2023-08-31-001572-a")</f>
        <v>UA-2023-08-31-001572-a</v>
      </c>
      <c r="Q239" s="38">
        <v>187.04543333333334</v>
      </c>
      <c r="R239" s="38">
        <v>1</v>
      </c>
      <c r="S239" s="38">
        <v>187.04543333333334</v>
      </c>
      <c r="T239" s="37">
        <v>45169</v>
      </c>
      <c r="U239" s="38"/>
      <c r="V239" s="38" t="s">
        <v>59</v>
      </c>
    </row>
    <row r="240" spans="1:22" ht="62.4" x14ac:dyDescent="0.3">
      <c r="A240" s="38">
        <v>236</v>
      </c>
      <c r="B240" s="38" t="s">
        <v>40</v>
      </c>
      <c r="C240" s="44" t="s">
        <v>41</v>
      </c>
      <c r="D240" s="38"/>
      <c r="E240" s="446" t="s">
        <v>20</v>
      </c>
      <c r="F240" s="44" t="s">
        <v>551</v>
      </c>
      <c r="G240" s="38" t="s">
        <v>184</v>
      </c>
      <c r="H240" s="595">
        <v>67.505383333333342</v>
      </c>
      <c r="I240" s="38">
        <v>1</v>
      </c>
      <c r="J240" s="589">
        <v>67.505383333333342</v>
      </c>
      <c r="K240" s="589">
        <v>67.505383333333342</v>
      </c>
      <c r="L240" s="38">
        <v>1</v>
      </c>
      <c r="M240" s="589">
        <v>67.505383333333342</v>
      </c>
      <c r="N240" s="3" t="s">
        <v>552</v>
      </c>
      <c r="O240" s="37">
        <v>45169</v>
      </c>
      <c r="P240" s="33" t="str">
        <f>HYPERLINK("https://my.zakupki.prom.ua/remote/dispatcher/state_purchase_view/44854889", "UA-2023-08-31-001699-a")</f>
        <v>UA-2023-08-31-001699-a</v>
      </c>
      <c r="Q240" s="38">
        <v>67.505383333333342</v>
      </c>
      <c r="R240" s="38">
        <v>1</v>
      </c>
      <c r="S240" s="38">
        <v>67.505383333333342</v>
      </c>
      <c r="T240" s="37">
        <v>45169</v>
      </c>
      <c r="U240" s="38"/>
      <c r="V240" s="38" t="s">
        <v>59</v>
      </c>
    </row>
    <row r="241" spans="1:22" ht="156" x14ac:dyDescent="0.3">
      <c r="A241" s="38">
        <v>237</v>
      </c>
      <c r="B241" s="38" t="s">
        <v>21</v>
      </c>
      <c r="C241" s="50" t="s">
        <v>516</v>
      </c>
      <c r="D241" s="38" t="s">
        <v>58</v>
      </c>
      <c r="E241" s="38" t="s">
        <v>88</v>
      </c>
      <c r="F241" s="41" t="s">
        <v>553</v>
      </c>
      <c r="G241" s="38" t="s">
        <v>185</v>
      </c>
      <c r="H241" s="595"/>
      <c r="I241" s="38">
        <v>28</v>
      </c>
      <c r="J241" s="589">
        <f>16670400/1000/1.2</f>
        <v>13892.000000000002</v>
      </c>
      <c r="K241" s="589"/>
      <c r="L241" s="38">
        <v>28</v>
      </c>
      <c r="M241" s="589">
        <v>13892.000000000002</v>
      </c>
      <c r="N241" s="3" t="s">
        <v>554</v>
      </c>
      <c r="O241" s="37">
        <v>45170</v>
      </c>
      <c r="P241" s="42" t="str">
        <f>HYPERLINK("https://my.zakupki.prom.ua/remote/dispatcher/state_purchase_view/44895251", "UA-2023-09-01-009213-a")</f>
        <v>UA-2023-09-01-009213-a</v>
      </c>
      <c r="Q241" s="38"/>
      <c r="R241" s="38"/>
      <c r="S241" s="38"/>
      <c r="T241" s="37"/>
      <c r="U241" s="54" t="s">
        <v>555</v>
      </c>
      <c r="V241" s="38"/>
    </row>
    <row r="242" spans="1:22" ht="62.4" x14ac:dyDescent="0.3">
      <c r="A242" s="38">
        <v>238</v>
      </c>
      <c r="B242" s="38" t="s">
        <v>40</v>
      </c>
      <c r="C242" s="44" t="s">
        <v>541</v>
      </c>
      <c r="D242" s="38"/>
      <c r="E242" s="38" t="s">
        <v>75</v>
      </c>
      <c r="F242" s="44" t="s">
        <v>540</v>
      </c>
      <c r="G242" s="38" t="s">
        <v>184</v>
      </c>
      <c r="H242" s="595">
        <f>255985.58/1000/1.2</f>
        <v>213.32131666666666</v>
      </c>
      <c r="I242" s="38">
        <v>1</v>
      </c>
      <c r="J242" s="595">
        <f>255985.58/1000/1.2</f>
        <v>213.32131666666666</v>
      </c>
      <c r="K242" s="595">
        <f>255985.58/1000/1.2</f>
        <v>213.32131666666666</v>
      </c>
      <c r="L242" s="38">
        <v>1</v>
      </c>
      <c r="M242" s="595">
        <f>255985.58/1000/1.2</f>
        <v>213.32131666666666</v>
      </c>
      <c r="N242" s="3" t="s">
        <v>542</v>
      </c>
      <c r="O242" s="48">
        <v>45170</v>
      </c>
      <c r="P242" s="33" t="str">
        <f>HYPERLINK("https://my.zakupki.prom.ua/remote/dispatcher/state_purchase_view/44902990", "UA-2023-09-04-001378-a")</f>
        <v>UA-2023-09-04-001378-a</v>
      </c>
      <c r="Q242" s="38">
        <v>213.32131666666666</v>
      </c>
      <c r="R242" s="38">
        <v>1</v>
      </c>
      <c r="S242" s="38">
        <v>213.32131666666666</v>
      </c>
      <c r="T242" s="37">
        <v>45170</v>
      </c>
      <c r="U242" s="38"/>
      <c r="V242" s="38" t="s">
        <v>59</v>
      </c>
    </row>
    <row r="243" spans="1:22" ht="124.8" x14ac:dyDescent="0.3">
      <c r="A243" s="39">
        <v>239</v>
      </c>
      <c r="B243" s="39" t="s">
        <v>40</v>
      </c>
      <c r="C243" s="520" t="s">
        <v>517</v>
      </c>
      <c r="D243" s="39"/>
      <c r="E243" s="39" t="s">
        <v>88</v>
      </c>
      <c r="F243" s="39" t="s">
        <v>510</v>
      </c>
      <c r="G243" s="39" t="s">
        <v>184</v>
      </c>
      <c r="H243" s="589">
        <v>1735.5</v>
      </c>
      <c r="I243" s="39">
        <v>1</v>
      </c>
      <c r="J243" s="589">
        <v>1735.5</v>
      </c>
      <c r="K243" s="589">
        <v>1735.5</v>
      </c>
      <c r="L243" s="39">
        <v>1</v>
      </c>
      <c r="M243" s="589">
        <v>1735.5</v>
      </c>
      <c r="N243" s="6" t="s">
        <v>557</v>
      </c>
      <c r="O243" s="40">
        <v>45181</v>
      </c>
      <c r="P243" s="42" t="str">
        <f>HYPERLINK("https://my.zakupki.prom.ua/remote/dispatcher/state_purchase_lot_view/1042853", "UA-2023-09-12-005223-a-L1")</f>
        <v>UA-2023-09-12-005223-a-L1</v>
      </c>
      <c r="Q243" s="39">
        <v>1735.5</v>
      </c>
      <c r="R243" s="39">
        <v>1</v>
      </c>
      <c r="S243" s="39">
        <v>1735.5</v>
      </c>
      <c r="T243" s="40"/>
      <c r="U243" s="39" t="s">
        <v>600</v>
      </c>
      <c r="V243" s="39"/>
    </row>
    <row r="244" spans="1:22" ht="62.4" x14ac:dyDescent="0.3">
      <c r="A244" s="39">
        <v>240</v>
      </c>
      <c r="B244" s="39" t="s">
        <v>40</v>
      </c>
      <c r="C244" s="520" t="s">
        <v>41</v>
      </c>
      <c r="D244" s="39"/>
      <c r="E244" s="446" t="s">
        <v>20</v>
      </c>
      <c r="F244" s="39" t="s">
        <v>558</v>
      </c>
      <c r="G244" s="39" t="s">
        <v>184</v>
      </c>
      <c r="H244" s="589">
        <v>167.10406599999999</v>
      </c>
      <c r="I244" s="39">
        <v>1</v>
      </c>
      <c r="J244" s="589">
        <v>167.10406599999999</v>
      </c>
      <c r="K244" s="589">
        <v>167.10406599999999</v>
      </c>
      <c r="L244" s="52">
        <v>1</v>
      </c>
      <c r="M244" s="589">
        <v>167.10406599999999</v>
      </c>
      <c r="N244" s="6" t="s">
        <v>559</v>
      </c>
      <c r="O244" s="53">
        <v>45181</v>
      </c>
      <c r="P244" s="33" t="str">
        <f>HYPERLINK("https://my.zakupki.prom.ua/remote/dispatcher/state_purchase_view/45103007", "UA-2023-09-12-003129-a")</f>
        <v>UA-2023-09-12-003129-a</v>
      </c>
      <c r="Q244" s="52">
        <v>167.10406599999999</v>
      </c>
      <c r="R244" s="52">
        <v>1</v>
      </c>
      <c r="S244" s="52">
        <v>167.10406599999999</v>
      </c>
      <c r="T244" s="53">
        <v>45181</v>
      </c>
      <c r="U244" s="39"/>
      <c r="V244" s="52" t="s">
        <v>59</v>
      </c>
    </row>
    <row r="245" spans="1:22" ht="62.4" x14ac:dyDescent="0.3">
      <c r="A245" s="39">
        <v>241</v>
      </c>
      <c r="B245" s="39" t="s">
        <v>40</v>
      </c>
      <c r="C245" s="520" t="s">
        <v>41</v>
      </c>
      <c r="D245" s="39"/>
      <c r="E245" s="446" t="s">
        <v>20</v>
      </c>
      <c r="F245" s="39" t="s">
        <v>560</v>
      </c>
      <c r="G245" s="39" t="s">
        <v>184</v>
      </c>
      <c r="H245" s="589">
        <v>415.16779100000002</v>
      </c>
      <c r="I245" s="39">
        <v>1</v>
      </c>
      <c r="J245" s="589">
        <v>415.16779100000002</v>
      </c>
      <c r="K245" s="589">
        <v>415.16779100000002</v>
      </c>
      <c r="L245" s="52">
        <v>1</v>
      </c>
      <c r="M245" s="589">
        <v>415.16779100000002</v>
      </c>
      <c r="N245" s="6" t="s">
        <v>562</v>
      </c>
      <c r="O245" s="53">
        <v>45181</v>
      </c>
      <c r="P245" s="33" t="str">
        <f>HYPERLINK("https://my.zakupki.prom.ua/remote/dispatcher/state_purchase_view/45101986", "UA-2023-09-12-002759-a")</f>
        <v>UA-2023-09-12-002759-a</v>
      </c>
      <c r="Q245" s="52">
        <v>415.16779100000002</v>
      </c>
      <c r="R245" s="52">
        <v>1</v>
      </c>
      <c r="S245" s="52">
        <v>415.16779100000002</v>
      </c>
      <c r="T245" s="53">
        <v>45181</v>
      </c>
      <c r="U245" s="39"/>
      <c r="V245" s="52" t="s">
        <v>59</v>
      </c>
    </row>
    <row r="246" spans="1:22" ht="62.4" x14ac:dyDescent="0.3">
      <c r="A246" s="39">
        <v>242</v>
      </c>
      <c r="B246" s="39" t="s">
        <v>40</v>
      </c>
      <c r="C246" s="520" t="s">
        <v>41</v>
      </c>
      <c r="D246" s="39"/>
      <c r="E246" s="446" t="s">
        <v>20</v>
      </c>
      <c r="F246" s="39" t="s">
        <v>561</v>
      </c>
      <c r="G246" s="39" t="s">
        <v>184</v>
      </c>
      <c r="H246" s="589">
        <v>101.80864099999999</v>
      </c>
      <c r="I246" s="39">
        <v>1</v>
      </c>
      <c r="J246" s="589">
        <v>101.80864099999999</v>
      </c>
      <c r="K246" s="589">
        <v>101.80864099999999</v>
      </c>
      <c r="L246" s="52">
        <v>1</v>
      </c>
      <c r="M246" s="589">
        <v>101.80864099999999</v>
      </c>
      <c r="N246" s="6" t="s">
        <v>563</v>
      </c>
      <c r="O246" s="53">
        <v>45181</v>
      </c>
      <c r="P246" s="42" t="str">
        <f>HYPERLINK("https://my.zakupki.prom.ua/remote/dispatcher/state_purchase_view/45099204", "UA-2023-09-12-001499-a")</f>
        <v>UA-2023-09-12-001499-a</v>
      </c>
      <c r="Q246" s="52">
        <v>101.80864099999999</v>
      </c>
      <c r="R246" s="52">
        <v>1</v>
      </c>
      <c r="S246" s="52">
        <v>101.80864099999999</v>
      </c>
      <c r="T246" s="53">
        <v>45181</v>
      </c>
      <c r="U246" s="39"/>
      <c r="V246" s="52" t="s">
        <v>59</v>
      </c>
    </row>
    <row r="247" spans="1:22" ht="109.2" x14ac:dyDescent="0.3">
      <c r="A247" s="39">
        <v>243</v>
      </c>
      <c r="B247" s="52" t="s">
        <v>21</v>
      </c>
      <c r="C247" s="520" t="s">
        <v>173</v>
      </c>
      <c r="D247" s="81" t="s">
        <v>58</v>
      </c>
      <c r="E247" s="52" t="s">
        <v>88</v>
      </c>
      <c r="F247" s="39" t="s">
        <v>564</v>
      </c>
      <c r="G247" s="52" t="s">
        <v>21</v>
      </c>
      <c r="H247" s="589"/>
      <c r="I247" s="39">
        <v>20</v>
      </c>
      <c r="J247" s="589">
        <v>89.4</v>
      </c>
      <c r="K247" s="589"/>
      <c r="L247" s="39">
        <v>20</v>
      </c>
      <c r="M247" s="589">
        <v>89.4</v>
      </c>
      <c r="N247" s="6" t="s">
        <v>565</v>
      </c>
      <c r="O247" s="40">
        <v>45175</v>
      </c>
      <c r="P247" s="33" t="str">
        <f>HYPERLINK("https://my.zakupki.prom.ua/remote/dispatcher/state_purchase_view/44982124", "UA-2023-09-06-008139-a")</f>
        <v>UA-2023-09-06-008139-a</v>
      </c>
      <c r="Q247" s="39"/>
      <c r="R247" s="39">
        <v>20</v>
      </c>
      <c r="S247" s="52">
        <v>89.4</v>
      </c>
      <c r="T247" s="40"/>
      <c r="U247" s="52" t="s">
        <v>574</v>
      </c>
      <c r="V247" s="39"/>
    </row>
    <row r="248" spans="1:22" ht="78" x14ac:dyDescent="0.3">
      <c r="A248" s="39">
        <v>244</v>
      </c>
      <c r="B248" s="52" t="s">
        <v>21</v>
      </c>
      <c r="C248" s="520" t="s">
        <v>180</v>
      </c>
      <c r="D248" s="81" t="s">
        <v>58</v>
      </c>
      <c r="E248" s="52" t="s">
        <v>88</v>
      </c>
      <c r="F248" s="39" t="s">
        <v>566</v>
      </c>
      <c r="G248" s="52" t="s">
        <v>21</v>
      </c>
      <c r="H248" s="589"/>
      <c r="I248" s="39">
        <v>5</v>
      </c>
      <c r="J248" s="589">
        <v>1802.08</v>
      </c>
      <c r="K248" s="589"/>
      <c r="L248" s="39">
        <v>5</v>
      </c>
      <c r="M248" s="589">
        <v>1802.08</v>
      </c>
      <c r="N248" s="6" t="s">
        <v>567</v>
      </c>
      <c r="O248" s="53">
        <v>45175</v>
      </c>
      <c r="P248" s="42" t="str">
        <f>HYPERLINK("https://my.zakupki.prom.ua/remote/dispatcher/state_purchase_view/44981628", "UA-2023-09-06-007953-a")</f>
        <v>UA-2023-09-06-007953-a</v>
      </c>
      <c r="Q248" s="39"/>
      <c r="R248" s="39">
        <v>5</v>
      </c>
      <c r="S248" s="52">
        <v>1802.08</v>
      </c>
      <c r="T248" s="40"/>
      <c r="U248" s="52" t="s">
        <v>93</v>
      </c>
      <c r="V248" s="39"/>
    </row>
    <row r="249" spans="1:22" ht="124.8" x14ac:dyDescent="0.3">
      <c r="A249" s="9">
        <v>245</v>
      </c>
      <c r="B249" s="9" t="s">
        <v>21</v>
      </c>
      <c r="C249" s="9" t="s">
        <v>179</v>
      </c>
      <c r="D249" s="81" t="s">
        <v>58</v>
      </c>
      <c r="E249" s="9" t="s">
        <v>88</v>
      </c>
      <c r="F249" s="9" t="s">
        <v>568</v>
      </c>
      <c r="G249" s="9" t="s">
        <v>21</v>
      </c>
      <c r="H249" s="593">
        <v>95.23</v>
      </c>
      <c r="I249" s="9">
        <v>1</v>
      </c>
      <c r="J249" s="593">
        <v>95.23</v>
      </c>
      <c r="K249" s="593">
        <v>95.23</v>
      </c>
      <c r="L249" s="9">
        <v>1</v>
      </c>
      <c r="M249" s="593">
        <v>95.23</v>
      </c>
      <c r="N249" s="56" t="s">
        <v>569</v>
      </c>
      <c r="O249" s="10">
        <v>45175</v>
      </c>
      <c r="P249" s="33" t="str">
        <f>HYPERLINK("https://my.zakupki.prom.ua/remote/dispatcher/state_purchase_view/44980799", "UA-2023-09-06-007560-a")</f>
        <v>UA-2023-09-06-007560-a</v>
      </c>
      <c r="Q249" s="9">
        <v>95.23</v>
      </c>
      <c r="R249" s="9">
        <v>1</v>
      </c>
      <c r="S249" s="9">
        <v>95.23</v>
      </c>
      <c r="T249" s="10"/>
      <c r="U249" s="9" t="s">
        <v>93</v>
      </c>
      <c r="V249" s="9"/>
    </row>
    <row r="250" spans="1:22" ht="93.6" x14ac:dyDescent="0.3">
      <c r="A250" s="52">
        <v>246</v>
      </c>
      <c r="B250" s="52" t="s">
        <v>21</v>
      </c>
      <c r="C250" s="520" t="s">
        <v>177</v>
      </c>
      <c r="D250" s="81" t="s">
        <v>58</v>
      </c>
      <c r="E250" s="52" t="s">
        <v>88</v>
      </c>
      <c r="F250" s="52" t="s">
        <v>570</v>
      </c>
      <c r="G250" s="52" t="s">
        <v>21</v>
      </c>
      <c r="H250" s="589"/>
      <c r="I250" s="52">
        <v>5</v>
      </c>
      <c r="J250" s="589">
        <v>231.75</v>
      </c>
      <c r="K250" s="589"/>
      <c r="L250" s="52">
        <v>5</v>
      </c>
      <c r="M250" s="589">
        <v>231.75</v>
      </c>
      <c r="N250" s="6" t="s">
        <v>572</v>
      </c>
      <c r="O250" s="53">
        <v>45175</v>
      </c>
      <c r="P250" s="33" t="str">
        <f>HYPERLINK("https://my.zakupki.prom.ua/remote/dispatcher/state_purchase_view/44980722", "UA-2023-09-06-007510-a")</f>
        <v>UA-2023-09-06-007510-a</v>
      </c>
      <c r="Q250" s="52"/>
      <c r="R250" s="52">
        <v>5</v>
      </c>
      <c r="S250" s="52">
        <v>231.75</v>
      </c>
      <c r="T250" s="53"/>
      <c r="U250" s="52" t="s">
        <v>93</v>
      </c>
      <c r="V250" s="52"/>
    </row>
    <row r="251" spans="1:22" ht="78" x14ac:dyDescent="0.3">
      <c r="A251" s="52">
        <v>247</v>
      </c>
      <c r="B251" s="52" t="s">
        <v>21</v>
      </c>
      <c r="C251" s="520" t="s">
        <v>32</v>
      </c>
      <c r="D251" s="81" t="s">
        <v>58</v>
      </c>
      <c r="E251" s="52" t="s">
        <v>88</v>
      </c>
      <c r="F251" s="52" t="s">
        <v>571</v>
      </c>
      <c r="G251" s="52" t="s">
        <v>21</v>
      </c>
      <c r="H251" s="589"/>
      <c r="I251" s="52">
        <v>40</v>
      </c>
      <c r="J251" s="589">
        <v>210</v>
      </c>
      <c r="K251" s="589"/>
      <c r="L251" s="52">
        <v>40</v>
      </c>
      <c r="M251" s="589">
        <v>210</v>
      </c>
      <c r="N251" s="6" t="s">
        <v>573</v>
      </c>
      <c r="O251" s="53">
        <v>45175</v>
      </c>
      <c r="P251" s="33" t="str">
        <f>HYPERLINK("https://my.zakupki.prom.ua/remote/dispatcher/state_purchase_view/44947327", "UA-2023-09-05-007575-a")</f>
        <v>UA-2023-09-05-007575-a</v>
      </c>
      <c r="Q251" s="52"/>
      <c r="R251" s="52">
        <v>40</v>
      </c>
      <c r="S251" s="52">
        <v>210</v>
      </c>
      <c r="T251" s="53"/>
      <c r="U251" s="52" t="s">
        <v>93</v>
      </c>
      <c r="V251" s="52"/>
    </row>
    <row r="252" spans="1:22" ht="62.4" x14ac:dyDescent="0.3">
      <c r="A252" s="57">
        <v>248</v>
      </c>
      <c r="B252" s="57" t="s">
        <v>40</v>
      </c>
      <c r="C252" s="44" t="s">
        <v>41</v>
      </c>
      <c r="D252" s="57"/>
      <c r="E252" s="446" t="s">
        <v>20</v>
      </c>
      <c r="F252" s="44" t="s">
        <v>575</v>
      </c>
      <c r="G252" s="57" t="s">
        <v>40</v>
      </c>
      <c r="H252" s="589">
        <v>200.1147</v>
      </c>
      <c r="I252" s="57">
        <v>1</v>
      </c>
      <c r="J252" s="589">
        <v>200.1147</v>
      </c>
      <c r="K252" s="589">
        <v>200.1147</v>
      </c>
      <c r="L252" s="57">
        <v>1</v>
      </c>
      <c r="M252" s="589">
        <v>200.1147</v>
      </c>
      <c r="N252" s="6" t="s">
        <v>576</v>
      </c>
      <c r="O252" s="58">
        <v>45187</v>
      </c>
      <c r="P252" s="33" t="str">
        <f>HYPERLINK("https://my.zakupki.prom.ua/remote/dispatcher/state_purchase_view/45239472", "UA-2023-09-18-004898-a")</f>
        <v>UA-2023-09-18-004898-a</v>
      </c>
      <c r="Q252" s="57">
        <v>200.1147</v>
      </c>
      <c r="R252" s="57">
        <v>1</v>
      </c>
      <c r="S252" s="57">
        <v>200.1147</v>
      </c>
      <c r="T252" s="88">
        <v>45187</v>
      </c>
      <c r="U252" s="57"/>
      <c r="V252" s="57" t="s">
        <v>59</v>
      </c>
    </row>
    <row r="253" spans="1:22" ht="62.4" x14ac:dyDescent="0.3">
      <c r="A253" s="57">
        <v>249</v>
      </c>
      <c r="B253" s="57" t="s">
        <v>40</v>
      </c>
      <c r="C253" s="44" t="s">
        <v>41</v>
      </c>
      <c r="D253" s="57"/>
      <c r="E253" s="446" t="s">
        <v>20</v>
      </c>
      <c r="F253" s="62" t="s">
        <v>577</v>
      </c>
      <c r="G253" s="57" t="s">
        <v>40</v>
      </c>
      <c r="H253" s="589">
        <v>81.153700000000001</v>
      </c>
      <c r="I253" s="57">
        <v>1</v>
      </c>
      <c r="J253" s="589">
        <v>81.153700000000001</v>
      </c>
      <c r="K253" s="589">
        <v>81.153700000000001</v>
      </c>
      <c r="L253" s="57">
        <v>1</v>
      </c>
      <c r="M253" s="589">
        <v>81.153700000000001</v>
      </c>
      <c r="N253" s="6" t="s">
        <v>578</v>
      </c>
      <c r="O253" s="58">
        <v>45188</v>
      </c>
      <c r="P253" s="42" t="str">
        <f>HYPERLINK("https://my.zakupki.prom.ua/remote/dispatcher/state_purchase_view/45277635", "UA-2023-09-19-007532-a")</f>
        <v>UA-2023-09-19-007532-a</v>
      </c>
      <c r="Q253" s="57">
        <v>81.153700000000001</v>
      </c>
      <c r="R253" s="57">
        <v>1</v>
      </c>
      <c r="S253" s="57">
        <v>81.153700000000001</v>
      </c>
      <c r="T253" s="88">
        <v>45188</v>
      </c>
      <c r="U253" s="57"/>
      <c r="V253" s="57" t="s">
        <v>59</v>
      </c>
    </row>
    <row r="254" spans="1:22" ht="62.4" x14ac:dyDescent="0.3">
      <c r="A254" s="57">
        <v>250</v>
      </c>
      <c r="B254" s="57" t="s">
        <v>40</v>
      </c>
      <c r="C254" s="44" t="s">
        <v>73</v>
      </c>
      <c r="D254" s="57"/>
      <c r="E254" s="57" t="s">
        <v>75</v>
      </c>
      <c r="F254" s="44" t="s">
        <v>579</v>
      </c>
      <c r="G254" s="57" t="s">
        <v>40</v>
      </c>
      <c r="H254" s="589">
        <v>48.749989999999997</v>
      </c>
      <c r="I254" s="57">
        <v>1</v>
      </c>
      <c r="J254" s="589">
        <v>48.749989999999997</v>
      </c>
      <c r="K254" s="589">
        <v>48.749989999999997</v>
      </c>
      <c r="L254" s="57">
        <v>1</v>
      </c>
      <c r="M254" s="589">
        <v>48.749989999999997</v>
      </c>
      <c r="N254" s="6" t="s">
        <v>580</v>
      </c>
      <c r="O254" s="58">
        <v>45189</v>
      </c>
      <c r="P254" s="33" t="str">
        <f>HYPERLINK("https://my.zakupki.prom.ua/remote/dispatcher/state_purchase_view/45319690", "UA-2023-09-20-010554-a")</f>
        <v>UA-2023-09-20-010554-a</v>
      </c>
      <c r="Q254" s="57">
        <v>48.749989999999997</v>
      </c>
      <c r="R254" s="57">
        <v>1</v>
      </c>
      <c r="S254" s="57">
        <v>48.749989999999997</v>
      </c>
      <c r="T254" s="88">
        <v>45189</v>
      </c>
      <c r="U254" s="57"/>
      <c r="V254" s="57" t="s">
        <v>59</v>
      </c>
    </row>
    <row r="255" spans="1:22" ht="62.4" x14ac:dyDescent="0.3">
      <c r="A255" s="57">
        <v>251</v>
      </c>
      <c r="B255" s="57" t="s">
        <v>40</v>
      </c>
      <c r="C255" s="41" t="s">
        <v>73</v>
      </c>
      <c r="D255" s="57"/>
      <c r="E255" s="57" t="s">
        <v>75</v>
      </c>
      <c r="F255" s="41" t="s">
        <v>581</v>
      </c>
      <c r="G255" s="57" t="s">
        <v>40</v>
      </c>
      <c r="H255" s="589">
        <v>77.5</v>
      </c>
      <c r="I255" s="57">
        <v>1</v>
      </c>
      <c r="J255" s="589">
        <v>77.5</v>
      </c>
      <c r="K255" s="589">
        <v>77.5</v>
      </c>
      <c r="L255" s="57">
        <v>1</v>
      </c>
      <c r="M255" s="589">
        <v>77.5</v>
      </c>
      <c r="N255" s="6" t="s">
        <v>582</v>
      </c>
      <c r="O255" s="58">
        <v>45191</v>
      </c>
      <c r="P255" s="42" t="str">
        <f>HYPERLINK("https://my.zakupki.prom.ua/remote/dispatcher/state_purchase_view/45367412", "UA-2023-09-22-000657-a")</f>
        <v>UA-2023-09-22-000657-a</v>
      </c>
      <c r="Q255" s="57">
        <v>77.5</v>
      </c>
      <c r="R255" s="57">
        <v>1</v>
      </c>
      <c r="S255" s="57">
        <v>77.5</v>
      </c>
      <c r="T255" s="88">
        <v>45191</v>
      </c>
      <c r="U255" s="57"/>
      <c r="V255" s="57" t="s">
        <v>59</v>
      </c>
    </row>
    <row r="256" spans="1:22" ht="62.4" x14ac:dyDescent="0.3">
      <c r="A256" s="57">
        <v>252</v>
      </c>
      <c r="B256" s="57" t="s">
        <v>21</v>
      </c>
      <c r="C256" s="63" t="s">
        <v>300</v>
      </c>
      <c r="D256" s="81" t="s">
        <v>58</v>
      </c>
      <c r="E256" s="57" t="s">
        <v>88</v>
      </c>
      <c r="F256" s="57" t="s">
        <v>583</v>
      </c>
      <c r="G256" s="57" t="s">
        <v>21</v>
      </c>
      <c r="H256" s="589"/>
      <c r="I256" s="57"/>
      <c r="J256" s="589">
        <v>34.457160000000002</v>
      </c>
      <c r="K256" s="589"/>
      <c r="L256" s="57"/>
      <c r="M256" s="589">
        <v>34.457160000000002</v>
      </c>
      <c r="N256" s="6" t="s">
        <v>585</v>
      </c>
      <c r="O256" s="58">
        <v>45191</v>
      </c>
      <c r="P256" s="64" t="s">
        <v>584</v>
      </c>
      <c r="Q256" s="57"/>
      <c r="R256" s="57"/>
      <c r="S256" s="57">
        <v>34.457160000000002</v>
      </c>
      <c r="T256" s="88">
        <v>45191</v>
      </c>
      <c r="U256" s="57"/>
      <c r="V256" s="57" t="s">
        <v>59</v>
      </c>
    </row>
    <row r="257" spans="1:22" ht="78" x14ac:dyDescent="0.3">
      <c r="A257" s="61">
        <v>253</v>
      </c>
      <c r="B257" s="61" t="s">
        <v>40</v>
      </c>
      <c r="C257" s="44" t="s">
        <v>41</v>
      </c>
      <c r="D257" s="61"/>
      <c r="E257" s="446" t="s">
        <v>20</v>
      </c>
      <c r="F257" s="61" t="s">
        <v>586</v>
      </c>
      <c r="G257" s="61" t="s">
        <v>40</v>
      </c>
      <c r="H257" s="589">
        <v>230.40833000000001</v>
      </c>
      <c r="I257" s="61">
        <v>1</v>
      </c>
      <c r="J257" s="589">
        <v>230.40833000000001</v>
      </c>
      <c r="K257" s="589">
        <v>230.40833000000001</v>
      </c>
      <c r="L257" s="61">
        <v>1</v>
      </c>
      <c r="M257" s="589">
        <v>230.40833000000001</v>
      </c>
      <c r="N257" s="6" t="s">
        <v>587</v>
      </c>
      <c r="O257" s="60">
        <v>45194</v>
      </c>
      <c r="P257" s="33" t="str">
        <f>HYPERLINK("https://my.zakupki.prom.ua/remote/dispatcher/state_purchase_view/45419691", "UA-2023-09-25-008707-a")</f>
        <v>UA-2023-09-25-008707-a</v>
      </c>
      <c r="Q257" s="61">
        <v>230.40833000000001</v>
      </c>
      <c r="R257" s="61">
        <v>1</v>
      </c>
      <c r="S257" s="61">
        <v>230.40833000000001</v>
      </c>
      <c r="T257" s="88">
        <v>45194</v>
      </c>
      <c r="U257" s="61"/>
      <c r="V257" s="61" t="s">
        <v>59</v>
      </c>
    </row>
    <row r="258" spans="1:22" ht="78" x14ac:dyDescent="0.3">
      <c r="A258" s="61">
        <v>254</v>
      </c>
      <c r="B258" s="61" t="s">
        <v>40</v>
      </c>
      <c r="C258" s="44" t="s">
        <v>41</v>
      </c>
      <c r="D258" s="61"/>
      <c r="E258" s="446" t="s">
        <v>20</v>
      </c>
      <c r="F258" s="61" t="s">
        <v>588</v>
      </c>
      <c r="G258" s="61" t="s">
        <v>40</v>
      </c>
      <c r="H258" s="589">
        <v>394.19400000000002</v>
      </c>
      <c r="I258" s="61">
        <v>1</v>
      </c>
      <c r="J258" s="589">
        <v>394.19400000000002</v>
      </c>
      <c r="K258" s="589">
        <v>394.19400000000002</v>
      </c>
      <c r="L258" s="61">
        <v>1</v>
      </c>
      <c r="M258" s="589">
        <v>394.19400000000002</v>
      </c>
      <c r="N258" s="6" t="s">
        <v>589</v>
      </c>
      <c r="O258" s="60">
        <v>45194</v>
      </c>
      <c r="P258" s="67" t="str">
        <f>HYPERLINK("https://my.zakupki.prom.ua/remote/dispatcher/state_purchase_view/45419703", "UA-2023-09-25-008718-a")</f>
        <v>UA-2023-09-25-008718-a</v>
      </c>
      <c r="Q258" s="61">
        <v>394.19400000000002</v>
      </c>
      <c r="R258" s="61">
        <v>1</v>
      </c>
      <c r="S258" s="61">
        <v>394.19400000000002</v>
      </c>
      <c r="T258" s="88">
        <v>45194</v>
      </c>
      <c r="U258" s="61"/>
      <c r="V258" s="61" t="s">
        <v>59</v>
      </c>
    </row>
    <row r="259" spans="1:22" ht="62.4" x14ac:dyDescent="0.3">
      <c r="A259" s="65">
        <v>255</v>
      </c>
      <c r="B259" s="65" t="s">
        <v>40</v>
      </c>
      <c r="C259" s="44" t="s">
        <v>41</v>
      </c>
      <c r="D259" s="65"/>
      <c r="E259" s="446" t="s">
        <v>20</v>
      </c>
      <c r="F259" s="65" t="s">
        <v>590</v>
      </c>
      <c r="G259" s="65" t="s">
        <v>40</v>
      </c>
      <c r="H259" s="589">
        <v>132.84333000000001</v>
      </c>
      <c r="I259" s="65">
        <v>1</v>
      </c>
      <c r="J259" s="589">
        <v>132.84333000000001</v>
      </c>
      <c r="K259" s="589">
        <v>132.84333000000001</v>
      </c>
      <c r="L259" s="65">
        <v>1</v>
      </c>
      <c r="M259" s="589">
        <v>132.84333000000001</v>
      </c>
      <c r="N259" s="6" t="s">
        <v>591</v>
      </c>
      <c r="O259" s="66">
        <v>45196</v>
      </c>
      <c r="P259" s="33" t="str">
        <f>HYPERLINK("https://my.zakupki.prom.ua/remote/dispatcher/state_purchase_view/45482565", "UA-2023-09-27-006761-a")</f>
        <v>UA-2023-09-27-006761-a</v>
      </c>
      <c r="Q259" s="65">
        <v>132.84333000000001</v>
      </c>
      <c r="R259" s="65">
        <v>1</v>
      </c>
      <c r="S259" s="65">
        <v>132.84333000000001</v>
      </c>
      <c r="T259" s="88">
        <v>45196</v>
      </c>
      <c r="U259" s="65"/>
      <c r="V259" s="65" t="s">
        <v>59</v>
      </c>
    </row>
    <row r="260" spans="1:22" ht="62.4" x14ac:dyDescent="0.3">
      <c r="A260" s="68">
        <v>256</v>
      </c>
      <c r="B260" s="68" t="s">
        <v>40</v>
      </c>
      <c r="C260" s="44" t="s">
        <v>41</v>
      </c>
      <c r="D260" s="68"/>
      <c r="E260" s="446" t="s">
        <v>20</v>
      </c>
      <c r="F260" s="44" t="s">
        <v>592</v>
      </c>
      <c r="G260" s="68" t="s">
        <v>40</v>
      </c>
      <c r="H260" s="589">
        <v>654.21704</v>
      </c>
      <c r="I260" s="68">
        <v>1</v>
      </c>
      <c r="J260" s="589">
        <v>654.21704</v>
      </c>
      <c r="K260" s="589">
        <v>654.21704</v>
      </c>
      <c r="L260" s="68">
        <v>1</v>
      </c>
      <c r="M260" s="589">
        <v>654.21704</v>
      </c>
      <c r="N260" s="6" t="s">
        <v>593</v>
      </c>
      <c r="O260" s="69">
        <v>45196</v>
      </c>
      <c r="P260" s="33" t="str">
        <f>HYPERLINK("https://my.zakupki.prom.ua/remote/dispatcher/state_purchase_view/45483418", "UA-2023-09-27-007155-a")</f>
        <v>UA-2023-09-27-007155-a</v>
      </c>
      <c r="Q260" s="68">
        <v>654.21704</v>
      </c>
      <c r="R260" s="68">
        <v>1</v>
      </c>
      <c r="S260" s="68">
        <v>654.21704</v>
      </c>
      <c r="T260" s="88">
        <v>45196</v>
      </c>
      <c r="U260" s="68"/>
      <c r="V260" s="68" t="s">
        <v>59</v>
      </c>
    </row>
    <row r="261" spans="1:22" ht="109.2" x14ac:dyDescent="0.3">
      <c r="A261" s="68">
        <v>257</v>
      </c>
      <c r="B261" s="68" t="s">
        <v>40</v>
      </c>
      <c r="C261" s="44" t="s">
        <v>517</v>
      </c>
      <c r="D261" s="68"/>
      <c r="E261" s="68" t="s">
        <v>88</v>
      </c>
      <c r="F261" s="44" t="s">
        <v>594</v>
      </c>
      <c r="G261" s="68" t="s">
        <v>40</v>
      </c>
      <c r="H261" s="589">
        <v>1166.6659</v>
      </c>
      <c r="I261" s="68">
        <v>1</v>
      </c>
      <c r="J261" s="589">
        <v>1166.6659</v>
      </c>
      <c r="K261" s="589">
        <v>1166.6659</v>
      </c>
      <c r="L261" s="68">
        <v>1</v>
      </c>
      <c r="M261" s="589">
        <v>1166.6659</v>
      </c>
      <c r="N261" s="6" t="s">
        <v>595</v>
      </c>
      <c r="O261" s="69">
        <v>45198</v>
      </c>
      <c r="P261" s="33" t="str">
        <f>HYPERLINK("https://my.zakupki.prom.ua/remote/dispatcher/state_purchase_view/45549412", "UA-2023-09-29-009263-a")</f>
        <v>UA-2023-09-29-009263-a</v>
      </c>
      <c r="Q261" s="78">
        <v>1166.6659</v>
      </c>
      <c r="R261" s="68">
        <v>1</v>
      </c>
      <c r="S261" s="78">
        <v>1166.6659</v>
      </c>
      <c r="T261" s="69">
        <v>45224</v>
      </c>
      <c r="U261" s="68"/>
      <c r="V261" s="68"/>
    </row>
    <row r="262" spans="1:22" ht="62.4" x14ac:dyDescent="0.3">
      <c r="A262" s="68">
        <v>258</v>
      </c>
      <c r="B262" s="68" t="s">
        <v>40</v>
      </c>
      <c r="C262" s="44" t="s">
        <v>73</v>
      </c>
      <c r="D262" s="68"/>
      <c r="E262" s="68" t="s">
        <v>75</v>
      </c>
      <c r="F262" s="44" t="s">
        <v>596</v>
      </c>
      <c r="G262" s="68" t="s">
        <v>40</v>
      </c>
      <c r="H262" s="589">
        <v>525.10654999999997</v>
      </c>
      <c r="I262" s="68">
        <v>1</v>
      </c>
      <c r="J262" s="589">
        <v>525.10654999999997</v>
      </c>
      <c r="K262" s="589">
        <v>525.10654999999997</v>
      </c>
      <c r="L262" s="68">
        <v>1</v>
      </c>
      <c r="M262" s="589">
        <v>525.10654999999997</v>
      </c>
      <c r="N262" s="6" t="s">
        <v>597</v>
      </c>
      <c r="O262" s="69">
        <v>45202</v>
      </c>
      <c r="P262" s="33" t="str">
        <f>HYPERLINK("https://my.zakupki.prom.ua/remote/dispatcher/state_purchase_view/45589939", "UA-2023-10-03-002362-a")</f>
        <v>UA-2023-10-03-002362-a</v>
      </c>
      <c r="Q262" s="68">
        <v>525.10654999999997</v>
      </c>
      <c r="R262" s="68">
        <v>1</v>
      </c>
      <c r="S262" s="68">
        <v>525.10654999999997</v>
      </c>
      <c r="T262" s="82">
        <v>45202</v>
      </c>
      <c r="U262" s="68"/>
      <c r="V262" s="68" t="s">
        <v>59</v>
      </c>
    </row>
    <row r="263" spans="1:22" ht="62.4" x14ac:dyDescent="0.3">
      <c r="A263" s="68">
        <v>259</v>
      </c>
      <c r="B263" s="68" t="s">
        <v>40</v>
      </c>
      <c r="C263" s="44" t="s">
        <v>73</v>
      </c>
      <c r="D263" s="68"/>
      <c r="E263" s="446" t="s">
        <v>20</v>
      </c>
      <c r="F263" s="44" t="s">
        <v>598</v>
      </c>
      <c r="G263" s="68" t="s">
        <v>40</v>
      </c>
      <c r="H263" s="589">
        <v>60.484029999999997</v>
      </c>
      <c r="I263" s="68">
        <v>1</v>
      </c>
      <c r="J263" s="589">
        <v>60.484029999999997</v>
      </c>
      <c r="K263" s="589">
        <v>60.484029999999997</v>
      </c>
      <c r="L263" s="68">
        <v>1</v>
      </c>
      <c r="M263" s="589">
        <v>60.484029999999997</v>
      </c>
      <c r="N263" s="6" t="s">
        <v>599</v>
      </c>
      <c r="O263" s="69">
        <v>45208</v>
      </c>
      <c r="P263" s="33" t="str">
        <f>HYPERLINK("https://my.zakupki.prom.ua/remote/dispatcher/state_purchase_view/45723610", "UA-2023-10-09-004357-a")</f>
        <v>UA-2023-10-09-004357-a</v>
      </c>
      <c r="Q263" s="68">
        <v>60.484029999999997</v>
      </c>
      <c r="R263" s="68">
        <v>1</v>
      </c>
      <c r="S263" s="68">
        <v>60.484029999999997</v>
      </c>
      <c r="T263" s="82">
        <v>45208</v>
      </c>
      <c r="U263" s="68"/>
      <c r="V263" s="68" t="s">
        <v>59</v>
      </c>
    </row>
    <row r="264" spans="1:22" ht="62.4" x14ac:dyDescent="0.3">
      <c r="A264" s="75">
        <v>260</v>
      </c>
      <c r="B264" s="75" t="s">
        <v>40</v>
      </c>
      <c r="C264" s="44" t="s">
        <v>73</v>
      </c>
      <c r="D264" s="75"/>
      <c r="E264" s="446" t="s">
        <v>20</v>
      </c>
      <c r="F264" s="70" t="s">
        <v>601</v>
      </c>
      <c r="G264" s="70" t="s">
        <v>40</v>
      </c>
      <c r="H264" s="589">
        <v>93.933940000000007</v>
      </c>
      <c r="I264" s="70">
        <v>1</v>
      </c>
      <c r="J264" s="589">
        <v>93.933940000000007</v>
      </c>
      <c r="K264" s="589">
        <v>93.933940000000007</v>
      </c>
      <c r="L264" s="70">
        <v>1</v>
      </c>
      <c r="M264" s="589">
        <v>93.933940000000007</v>
      </c>
      <c r="N264" s="6" t="s">
        <v>602</v>
      </c>
      <c r="O264" s="71">
        <v>45209</v>
      </c>
      <c r="P264" s="33" t="str">
        <f>HYPERLINK("https://my.zakupivli.pro/remote/dispatcher/state_purchase_view/45776105", "UA-2023-10-10-013153-a")</f>
        <v>UA-2023-10-10-013153-a</v>
      </c>
      <c r="Q264" s="70">
        <v>93.933940000000007</v>
      </c>
      <c r="R264" s="70">
        <v>1</v>
      </c>
      <c r="S264" s="70">
        <v>93.933940000000007</v>
      </c>
      <c r="T264" s="82">
        <v>45209</v>
      </c>
      <c r="U264" s="70"/>
      <c r="V264" s="70" t="s">
        <v>59</v>
      </c>
    </row>
    <row r="265" spans="1:22" ht="62.4" x14ac:dyDescent="0.3">
      <c r="A265" s="75">
        <v>261</v>
      </c>
      <c r="B265" s="75" t="s">
        <v>40</v>
      </c>
      <c r="C265" s="44" t="s">
        <v>73</v>
      </c>
      <c r="D265" s="75"/>
      <c r="E265" s="70" t="s">
        <v>75</v>
      </c>
      <c r="F265" s="70" t="s">
        <v>603</v>
      </c>
      <c r="G265" s="70" t="s">
        <v>40</v>
      </c>
      <c r="H265" s="589">
        <v>52.685160000000003</v>
      </c>
      <c r="I265" s="70">
        <v>1</v>
      </c>
      <c r="J265" s="589">
        <v>52.685160000000003</v>
      </c>
      <c r="K265" s="589">
        <v>52.685160000000003</v>
      </c>
      <c r="L265" s="70">
        <v>1</v>
      </c>
      <c r="M265" s="589">
        <v>52.685160000000003</v>
      </c>
      <c r="N265" s="6" t="s">
        <v>604</v>
      </c>
      <c r="O265" s="71">
        <v>45215</v>
      </c>
      <c r="P265" s="42" t="str">
        <f>HYPERLINK("https://my.zakupivli.pro/remote/dispatcher/state_purchase_view/45900809", "UA-2023-10-16-006331-a")</f>
        <v>UA-2023-10-16-006331-a</v>
      </c>
      <c r="Q265" s="70">
        <v>52.685160000000003</v>
      </c>
      <c r="R265" s="70">
        <v>1</v>
      </c>
      <c r="S265" s="70">
        <v>52.685160000000003</v>
      </c>
      <c r="T265" s="82">
        <v>45215</v>
      </c>
      <c r="U265" s="70"/>
      <c r="V265" s="70" t="s">
        <v>59</v>
      </c>
    </row>
    <row r="266" spans="1:22" ht="62.4" x14ac:dyDescent="0.3">
      <c r="A266" s="75">
        <v>262</v>
      </c>
      <c r="B266" s="75" t="s">
        <v>40</v>
      </c>
      <c r="C266" s="44" t="s">
        <v>73</v>
      </c>
      <c r="D266" s="75"/>
      <c r="E266" s="72" t="s">
        <v>75</v>
      </c>
      <c r="F266" s="70" t="s">
        <v>605</v>
      </c>
      <c r="G266" s="72" t="s">
        <v>40</v>
      </c>
      <c r="H266" s="589">
        <v>157.77170000000001</v>
      </c>
      <c r="I266" s="72">
        <v>1</v>
      </c>
      <c r="J266" s="589">
        <v>157.77170000000001</v>
      </c>
      <c r="K266" s="589">
        <v>157.77170000000001</v>
      </c>
      <c r="L266" s="72">
        <v>1</v>
      </c>
      <c r="M266" s="589">
        <v>157.77170000000001</v>
      </c>
      <c r="N266" s="6" t="s">
        <v>606</v>
      </c>
      <c r="O266" s="71">
        <v>45223</v>
      </c>
      <c r="P266" s="33" t="str">
        <f>HYPERLINK("https://my.zakupivli.pro/remote/dispatcher/state_purchase_view/46124597", "UA-2023-10-24-009180-a")</f>
        <v>UA-2023-10-24-009180-a</v>
      </c>
      <c r="Q266" s="74">
        <v>157.77170000000001</v>
      </c>
      <c r="R266" s="72">
        <v>1</v>
      </c>
      <c r="S266" s="74">
        <v>157.77170000000001</v>
      </c>
      <c r="T266" s="82">
        <v>45223</v>
      </c>
      <c r="U266" s="70"/>
      <c r="V266" s="72" t="s">
        <v>59</v>
      </c>
    </row>
    <row r="267" spans="1:22" ht="62.4" x14ac:dyDescent="0.3">
      <c r="A267" s="75">
        <v>263</v>
      </c>
      <c r="B267" s="75" t="s">
        <v>40</v>
      </c>
      <c r="C267" s="44" t="s">
        <v>73</v>
      </c>
      <c r="D267" s="75"/>
      <c r="E267" s="72" t="s">
        <v>75</v>
      </c>
      <c r="F267" s="41" t="s">
        <v>605</v>
      </c>
      <c r="G267" s="72" t="s">
        <v>40</v>
      </c>
      <c r="H267" s="589">
        <v>136.57335</v>
      </c>
      <c r="I267" s="72">
        <v>1</v>
      </c>
      <c r="J267" s="589">
        <v>136.57335</v>
      </c>
      <c r="K267" s="589">
        <v>136.57335</v>
      </c>
      <c r="L267" s="72">
        <v>1</v>
      </c>
      <c r="M267" s="589">
        <v>136.57335</v>
      </c>
      <c r="N267" s="6" t="s">
        <v>607</v>
      </c>
      <c r="O267" s="73">
        <v>45223</v>
      </c>
      <c r="P267" s="42" t="str">
        <f>HYPERLINK("https://my.zakupivli.pro/remote/dispatcher/state_purchase_view/46132051", "UA-2023-10-24-012659-a")</f>
        <v>UA-2023-10-24-012659-a</v>
      </c>
      <c r="Q267" s="74">
        <v>136.57335</v>
      </c>
      <c r="R267" s="72">
        <v>1</v>
      </c>
      <c r="S267" s="74">
        <v>136.57335</v>
      </c>
      <c r="T267" s="82">
        <v>45223</v>
      </c>
      <c r="U267" s="70"/>
      <c r="V267" s="72" t="s">
        <v>59</v>
      </c>
    </row>
    <row r="268" spans="1:22" ht="62.4" x14ac:dyDescent="0.3">
      <c r="A268" s="75">
        <v>264</v>
      </c>
      <c r="B268" s="76" t="s">
        <v>40</v>
      </c>
      <c r="C268" s="520" t="s">
        <v>41</v>
      </c>
      <c r="D268" s="75"/>
      <c r="E268" s="446" t="s">
        <v>20</v>
      </c>
      <c r="F268" s="44" t="s">
        <v>608</v>
      </c>
      <c r="G268" s="76" t="s">
        <v>40</v>
      </c>
      <c r="H268" s="589">
        <v>290.55032999999997</v>
      </c>
      <c r="I268" s="76">
        <v>1</v>
      </c>
      <c r="J268" s="589">
        <v>290.55032999999997</v>
      </c>
      <c r="K268" s="589">
        <v>290.55032999999997</v>
      </c>
      <c r="L268" s="76">
        <v>1</v>
      </c>
      <c r="M268" s="589">
        <v>290.55032999999997</v>
      </c>
      <c r="N268" s="6" t="s">
        <v>610</v>
      </c>
      <c r="O268" s="71">
        <v>45224</v>
      </c>
      <c r="P268" s="33" t="str">
        <f>HYPERLINK("https://my.zakupivli.pro/remote/dispatcher/state_purchase_view/46171793", "UA-2023-10-25-014030-a")</f>
        <v>UA-2023-10-25-014030-a</v>
      </c>
      <c r="Q268" s="76">
        <v>290.55032999999997</v>
      </c>
      <c r="R268" s="76">
        <v>1</v>
      </c>
      <c r="S268" s="76">
        <v>290.55032999999997</v>
      </c>
      <c r="T268" s="82">
        <v>45224</v>
      </c>
      <c r="U268" s="70"/>
      <c r="V268" s="76" t="s">
        <v>59</v>
      </c>
    </row>
    <row r="269" spans="1:22" ht="62.4" x14ac:dyDescent="0.3">
      <c r="A269" s="75">
        <v>265</v>
      </c>
      <c r="B269" s="76" t="s">
        <v>40</v>
      </c>
      <c r="C269" s="520" t="s">
        <v>41</v>
      </c>
      <c r="D269" s="75"/>
      <c r="E269" s="446" t="s">
        <v>20</v>
      </c>
      <c r="F269" s="44" t="s">
        <v>560</v>
      </c>
      <c r="G269" s="76" t="s">
        <v>40</v>
      </c>
      <c r="H269" s="589">
        <v>67.260239999999996</v>
      </c>
      <c r="I269" s="76">
        <v>1</v>
      </c>
      <c r="J269" s="589">
        <v>67.260239999999996</v>
      </c>
      <c r="K269" s="589">
        <v>67.260239999999996</v>
      </c>
      <c r="L269" s="76">
        <v>1</v>
      </c>
      <c r="M269" s="589">
        <v>67.260239999999996</v>
      </c>
      <c r="N269" s="6" t="s">
        <v>611</v>
      </c>
      <c r="O269" s="77">
        <v>45224</v>
      </c>
      <c r="P269" s="33" t="str">
        <f>HYPERLINK("https://my.zakupivli.pro/remote/dispatcher/state_purchase_view/46171789", "UA-2023-10-25-014028-a")</f>
        <v>UA-2023-10-25-014028-a</v>
      </c>
      <c r="Q269" s="76">
        <v>67.260239999999996</v>
      </c>
      <c r="R269" s="76">
        <v>1</v>
      </c>
      <c r="S269" s="76">
        <v>67.260239999999996</v>
      </c>
      <c r="T269" s="82">
        <v>45224</v>
      </c>
      <c r="U269" s="70"/>
      <c r="V269" s="76" t="s">
        <v>59</v>
      </c>
    </row>
    <row r="270" spans="1:22" ht="62.4" x14ac:dyDescent="0.3">
      <c r="A270" s="75">
        <v>266</v>
      </c>
      <c r="B270" s="76" t="s">
        <v>40</v>
      </c>
      <c r="C270" s="520" t="s">
        <v>41</v>
      </c>
      <c r="D270" s="75"/>
      <c r="E270" s="446" t="s">
        <v>20</v>
      </c>
      <c r="F270" s="44" t="s">
        <v>609</v>
      </c>
      <c r="G270" s="76" t="s">
        <v>40</v>
      </c>
      <c r="H270" s="589">
        <v>307.03503999999998</v>
      </c>
      <c r="I270" s="76">
        <v>1</v>
      </c>
      <c r="J270" s="589">
        <v>307.03503999999998</v>
      </c>
      <c r="K270" s="589">
        <v>307.03503999999998</v>
      </c>
      <c r="L270" s="76">
        <v>1</v>
      </c>
      <c r="M270" s="589">
        <v>307.03503999999998</v>
      </c>
      <c r="N270" s="6" t="s">
        <v>612</v>
      </c>
      <c r="O270" s="77">
        <v>45224</v>
      </c>
      <c r="P270" s="33" t="str">
        <f>HYPERLINK("https://my.zakupivli.pro/remote/dispatcher/state_purchase_view/46171200", "UA-2023-10-25-013765-a")</f>
        <v>UA-2023-10-25-013765-a</v>
      </c>
      <c r="Q270" s="76">
        <v>307.03503999999998</v>
      </c>
      <c r="R270" s="76">
        <v>1</v>
      </c>
      <c r="S270" s="76">
        <v>307.03503999999998</v>
      </c>
      <c r="T270" s="82">
        <v>45224</v>
      </c>
      <c r="U270" s="70"/>
      <c r="V270" s="76" t="s">
        <v>59</v>
      </c>
    </row>
    <row r="271" spans="1:22" ht="78" x14ac:dyDescent="0.3">
      <c r="A271" s="75">
        <v>267</v>
      </c>
      <c r="B271" s="78" t="s">
        <v>40</v>
      </c>
      <c r="C271" s="520" t="s">
        <v>41</v>
      </c>
      <c r="D271" s="75"/>
      <c r="E271" s="446" t="s">
        <v>20</v>
      </c>
      <c r="F271" s="44" t="s">
        <v>613</v>
      </c>
      <c r="G271" s="78" t="s">
        <v>40</v>
      </c>
      <c r="H271" s="589">
        <v>55.721670000000003</v>
      </c>
      <c r="I271" s="78">
        <v>1</v>
      </c>
      <c r="J271" s="589">
        <v>55.721670000000003</v>
      </c>
      <c r="K271" s="589">
        <v>55.721670000000003</v>
      </c>
      <c r="L271" s="78">
        <v>1</v>
      </c>
      <c r="M271" s="589">
        <v>55.721670000000003</v>
      </c>
      <c r="N271" s="6" t="s">
        <v>615</v>
      </c>
      <c r="O271" s="71">
        <v>45239</v>
      </c>
      <c r="P271" s="33" t="str">
        <f>HYPERLINK("https://my.zakupivli.pro/remote/dispatcher/state_purchase_view/46516934", "UA-2023-11-09-003211-a")</f>
        <v>UA-2023-11-09-003211-a</v>
      </c>
      <c r="Q271" s="78">
        <v>55.721670000000003</v>
      </c>
      <c r="R271" s="78">
        <v>1</v>
      </c>
      <c r="S271" s="78">
        <v>55.721670000000003</v>
      </c>
      <c r="T271" s="82">
        <v>45239</v>
      </c>
      <c r="U271" s="70"/>
      <c r="V271" s="78" t="s">
        <v>59</v>
      </c>
    </row>
    <row r="272" spans="1:22" ht="62.4" x14ac:dyDescent="0.3">
      <c r="A272" s="75">
        <v>268</v>
      </c>
      <c r="B272" s="78" t="s">
        <v>40</v>
      </c>
      <c r="C272" s="520" t="s">
        <v>41</v>
      </c>
      <c r="D272" s="75"/>
      <c r="E272" s="446" t="s">
        <v>20</v>
      </c>
      <c r="F272" s="44" t="s">
        <v>614</v>
      </c>
      <c r="G272" s="78" t="s">
        <v>40</v>
      </c>
      <c r="H272" s="589">
        <v>382.24921000000001</v>
      </c>
      <c r="I272" s="78">
        <v>1</v>
      </c>
      <c r="J272" s="589">
        <v>382.24921000000001</v>
      </c>
      <c r="K272" s="589">
        <v>382.24921000000001</v>
      </c>
      <c r="L272" s="78">
        <v>1</v>
      </c>
      <c r="M272" s="589">
        <v>382.24921000000001</v>
      </c>
      <c r="N272" s="6" t="s">
        <v>616</v>
      </c>
      <c r="O272" s="71">
        <v>45239</v>
      </c>
      <c r="P272" s="33" t="str">
        <f>HYPERLINK("https://my.zakupivli.pro/remote/dispatcher/state_purchase_view/46516207", "UA-2023-11-09-002876-a")</f>
        <v>UA-2023-11-09-002876-a</v>
      </c>
      <c r="Q272" s="78">
        <v>382.24921000000001</v>
      </c>
      <c r="R272" s="78">
        <v>1</v>
      </c>
      <c r="S272" s="78">
        <v>382.24921000000001</v>
      </c>
      <c r="T272" s="82">
        <v>45239</v>
      </c>
      <c r="U272" s="70"/>
      <c r="V272" s="78" t="s">
        <v>59</v>
      </c>
    </row>
    <row r="273" spans="1:26" ht="43.2" x14ac:dyDescent="0.3">
      <c r="A273" s="75">
        <v>269</v>
      </c>
      <c r="B273" s="80" t="s">
        <v>21</v>
      </c>
      <c r="C273" s="41" t="s">
        <v>180</v>
      </c>
      <c r="D273" s="81" t="s">
        <v>58</v>
      </c>
      <c r="E273" s="80" t="s">
        <v>88</v>
      </c>
      <c r="F273" s="83" t="s">
        <v>617</v>
      </c>
      <c r="G273" s="80" t="s">
        <v>21</v>
      </c>
      <c r="H273" s="589">
        <v>1043.44</v>
      </c>
      <c r="I273" s="70">
        <v>2</v>
      </c>
      <c r="J273" s="589">
        <v>1043.44</v>
      </c>
      <c r="K273" s="589"/>
      <c r="L273" s="70">
        <v>2</v>
      </c>
      <c r="M273" s="589">
        <v>1043.44</v>
      </c>
      <c r="N273" s="6" t="s">
        <v>618</v>
      </c>
      <c r="O273" s="71">
        <v>45247</v>
      </c>
      <c r="P273" s="42" t="str">
        <f>HYPERLINK("https://my.zakupivli.pro/remote/dispatcher/state_purchase_view/46767750", "UA-2023-11-17-011056-a")</f>
        <v>UA-2023-11-17-011056-a</v>
      </c>
      <c r="Q273" s="81"/>
      <c r="R273" s="70">
        <v>2</v>
      </c>
      <c r="S273" s="81">
        <v>1043.44</v>
      </c>
      <c r="T273" s="71">
        <v>45264</v>
      </c>
      <c r="U273" s="70"/>
      <c r="V273" s="70"/>
    </row>
    <row r="274" spans="1:26" ht="62.4" x14ac:dyDescent="0.3">
      <c r="A274" s="75">
        <v>270</v>
      </c>
      <c r="B274" s="81" t="s">
        <v>40</v>
      </c>
      <c r="C274" s="44" t="s">
        <v>73</v>
      </c>
      <c r="D274" s="75"/>
      <c r="E274" s="81" t="s">
        <v>75</v>
      </c>
      <c r="F274" s="44" t="s">
        <v>619</v>
      </c>
      <c r="G274" s="81" t="s">
        <v>40</v>
      </c>
      <c r="H274" s="589">
        <v>107.092</v>
      </c>
      <c r="I274" s="70">
        <v>1</v>
      </c>
      <c r="J274" s="589">
        <v>107.092</v>
      </c>
      <c r="K274" s="589">
        <v>107.092</v>
      </c>
      <c r="L274" s="70">
        <v>1</v>
      </c>
      <c r="M274" s="589">
        <v>107.092</v>
      </c>
      <c r="N274" s="6" t="s">
        <v>620</v>
      </c>
      <c r="O274" s="71">
        <v>45258</v>
      </c>
      <c r="P274" s="33" t="str">
        <f>HYPERLINK("https://my.zakupivli.pro/remote/dispatcher/state_purchase_view/47062887", "UA-2023-11-28-012355-a")</f>
        <v>UA-2023-11-28-012355-a</v>
      </c>
      <c r="Q274" s="81">
        <v>107.092</v>
      </c>
      <c r="R274" s="70">
        <v>1</v>
      </c>
      <c r="S274" s="81">
        <v>107.092</v>
      </c>
      <c r="T274" s="82">
        <v>45258</v>
      </c>
      <c r="U274" s="70"/>
      <c r="V274" s="81" t="s">
        <v>59</v>
      </c>
    </row>
    <row r="275" spans="1:26" ht="62.4" x14ac:dyDescent="0.3">
      <c r="A275" s="75">
        <v>271</v>
      </c>
      <c r="B275" s="81" t="s">
        <v>40</v>
      </c>
      <c r="C275" s="44" t="s">
        <v>73</v>
      </c>
      <c r="D275" s="75"/>
      <c r="E275" s="81" t="s">
        <v>75</v>
      </c>
      <c r="F275" s="41" t="s">
        <v>621</v>
      </c>
      <c r="G275" s="81" t="s">
        <v>40</v>
      </c>
      <c r="H275" s="589">
        <v>106.68470000000001</v>
      </c>
      <c r="I275" s="81">
        <v>1</v>
      </c>
      <c r="J275" s="589">
        <v>106.68470000000001</v>
      </c>
      <c r="K275" s="589">
        <v>106.68470000000001</v>
      </c>
      <c r="L275" s="81">
        <v>1</v>
      </c>
      <c r="M275" s="589">
        <v>106.68470000000001</v>
      </c>
      <c r="N275" s="6" t="s">
        <v>622</v>
      </c>
      <c r="O275" s="82">
        <v>45258</v>
      </c>
      <c r="P275" s="42" t="str">
        <f>HYPERLINK("https://my.zakupivli.pro/remote/dispatcher/state_purchase_view/47064329", "UA-2023-11-28-012959-a")</f>
        <v>UA-2023-11-28-012959-a</v>
      </c>
      <c r="Q275" s="81">
        <v>106.68470000000001</v>
      </c>
      <c r="R275" s="81">
        <v>1</v>
      </c>
      <c r="S275" s="81">
        <v>106.68470000000001</v>
      </c>
      <c r="T275" s="82">
        <v>45258</v>
      </c>
      <c r="U275" s="70"/>
      <c r="V275" s="81" t="s">
        <v>59</v>
      </c>
    </row>
    <row r="276" spans="1:26" ht="62.4" x14ac:dyDescent="0.3">
      <c r="A276" s="78">
        <v>272</v>
      </c>
      <c r="B276" s="81" t="s">
        <v>40</v>
      </c>
      <c r="C276" s="44" t="s">
        <v>73</v>
      </c>
      <c r="D276" s="78"/>
      <c r="E276" s="81" t="s">
        <v>75</v>
      </c>
      <c r="F276" s="44" t="s">
        <v>623</v>
      </c>
      <c r="G276" s="81" t="s">
        <v>40</v>
      </c>
      <c r="H276" s="589">
        <v>127.37649999999999</v>
      </c>
      <c r="I276" s="81">
        <v>1</v>
      </c>
      <c r="J276" s="589">
        <v>127.37649999999999</v>
      </c>
      <c r="K276" s="589">
        <v>127.37649999999999</v>
      </c>
      <c r="L276" s="81">
        <v>1</v>
      </c>
      <c r="M276" s="589">
        <v>127.37649999999999</v>
      </c>
      <c r="N276" s="6" t="s">
        <v>624</v>
      </c>
      <c r="O276" s="82">
        <v>45258</v>
      </c>
      <c r="P276" s="33" t="str">
        <f>HYPERLINK("https://my.zakupivli.pro/remote/dispatcher/state_purchase_view/47068707", "UA-2023-11-28-014870-a")</f>
        <v>UA-2023-11-28-014870-a</v>
      </c>
      <c r="Q276" s="81">
        <v>127.37649999999999</v>
      </c>
      <c r="R276" s="81">
        <v>1</v>
      </c>
      <c r="S276" s="81">
        <v>127.37649999999999</v>
      </c>
      <c r="T276" s="82">
        <v>45258</v>
      </c>
      <c r="U276" s="78"/>
      <c r="V276" s="81" t="s">
        <v>59</v>
      </c>
    </row>
    <row r="277" spans="1:26" ht="140.4" x14ac:dyDescent="0.3">
      <c r="A277" s="78">
        <v>273</v>
      </c>
      <c r="B277" s="81" t="s">
        <v>40</v>
      </c>
      <c r="C277" s="520" t="s">
        <v>41</v>
      </c>
      <c r="D277" s="78"/>
      <c r="E277" s="446" t="s">
        <v>20</v>
      </c>
      <c r="F277" s="44" t="s">
        <v>625</v>
      </c>
      <c r="G277" s="81" t="s">
        <v>40</v>
      </c>
      <c r="H277" s="589">
        <v>2858.3333299999999</v>
      </c>
      <c r="I277" s="81">
        <v>1</v>
      </c>
      <c r="J277" s="589">
        <v>2858.3333299999999</v>
      </c>
      <c r="K277" s="589">
        <v>2858.3333299999999</v>
      </c>
      <c r="L277" s="81">
        <v>1</v>
      </c>
      <c r="M277" s="589">
        <v>2858.3333299999999</v>
      </c>
      <c r="N277" s="6" t="s">
        <v>626</v>
      </c>
      <c r="O277" s="79">
        <v>45259</v>
      </c>
      <c r="P277" s="42" t="str">
        <f>HYPERLINK("https://my.zakupivli.pro/remote/dispatcher/state_purchase_view/47090594", "UA-2023-11-29-007510-a")</f>
        <v>UA-2023-11-29-007510-a</v>
      </c>
      <c r="Q277" s="78">
        <v>2810.6666700000001</v>
      </c>
      <c r="R277" s="81">
        <v>1</v>
      </c>
      <c r="S277" s="89">
        <v>2810.6666700000001</v>
      </c>
      <c r="T277" s="79">
        <v>45281</v>
      </c>
      <c r="U277" s="78"/>
      <c r="V277" s="78"/>
    </row>
    <row r="278" spans="1:26" ht="62.4" x14ac:dyDescent="0.3">
      <c r="A278" s="78">
        <v>274</v>
      </c>
      <c r="B278" s="81" t="s">
        <v>40</v>
      </c>
      <c r="C278" s="44" t="s">
        <v>73</v>
      </c>
      <c r="D278" s="78"/>
      <c r="E278" s="84" t="s">
        <v>75</v>
      </c>
      <c r="F278" s="41" t="s">
        <v>627</v>
      </c>
      <c r="G278" s="84" t="s">
        <v>40</v>
      </c>
      <c r="H278" s="589">
        <v>185.92515</v>
      </c>
      <c r="I278" s="84">
        <v>1</v>
      </c>
      <c r="J278" s="589">
        <v>185.92515</v>
      </c>
      <c r="K278" s="589">
        <v>185.92515</v>
      </c>
      <c r="L278" s="84">
        <v>1</v>
      </c>
      <c r="M278" s="589">
        <v>185.92515</v>
      </c>
      <c r="N278" s="6" t="s">
        <v>629</v>
      </c>
      <c r="O278" s="79">
        <v>45261</v>
      </c>
      <c r="P278" s="33" t="str">
        <f>HYPERLINK("https://my.zakupivli.pro/remote/dispatcher/state_purchase_view/47164745", "UA-2023-12-01-004762-a")</f>
        <v>UA-2023-12-01-004762-a</v>
      </c>
      <c r="Q278" s="84">
        <v>185.92515</v>
      </c>
      <c r="R278" s="84">
        <v>1</v>
      </c>
      <c r="S278" s="84">
        <v>185.92515</v>
      </c>
      <c r="T278" s="85">
        <v>45261</v>
      </c>
      <c r="U278" s="78"/>
      <c r="V278" s="84" t="s">
        <v>59</v>
      </c>
    </row>
    <row r="279" spans="1:26" ht="62.4" x14ac:dyDescent="0.3">
      <c r="A279" s="78">
        <v>275</v>
      </c>
      <c r="B279" s="81" t="s">
        <v>40</v>
      </c>
      <c r="C279" s="44" t="s">
        <v>73</v>
      </c>
      <c r="D279" s="78"/>
      <c r="E279" s="84" t="s">
        <v>75</v>
      </c>
      <c r="F279" s="44" t="s">
        <v>628</v>
      </c>
      <c r="G279" s="84" t="s">
        <v>40</v>
      </c>
      <c r="H279" s="589">
        <v>185.92515</v>
      </c>
      <c r="I279" s="84">
        <v>1</v>
      </c>
      <c r="J279" s="589">
        <v>185.92515</v>
      </c>
      <c r="K279" s="589">
        <v>185.92515</v>
      </c>
      <c r="L279" s="84">
        <v>1</v>
      </c>
      <c r="M279" s="589">
        <v>185.92515</v>
      </c>
      <c r="N279" s="6" t="s">
        <v>630</v>
      </c>
      <c r="O279" s="85">
        <v>45261</v>
      </c>
      <c r="P279" s="42" t="str">
        <f>HYPERLINK("https://my.zakupivli.pro/remote/dispatcher/state_purchase_view/47166044", "UA-2023-12-01-005369-a")</f>
        <v>UA-2023-12-01-005369-a</v>
      </c>
      <c r="Q279" s="84">
        <v>185.92515</v>
      </c>
      <c r="R279" s="84">
        <v>1</v>
      </c>
      <c r="S279" s="84">
        <v>185.92515</v>
      </c>
      <c r="T279" s="85">
        <v>45261</v>
      </c>
      <c r="U279" s="78"/>
      <c r="V279" s="84" t="s">
        <v>59</v>
      </c>
    </row>
    <row r="280" spans="1:26" ht="62.4" x14ac:dyDescent="0.3">
      <c r="A280" s="78">
        <v>276</v>
      </c>
      <c r="B280" s="84" t="s">
        <v>40</v>
      </c>
      <c r="C280" s="520" t="s">
        <v>41</v>
      </c>
      <c r="D280" s="84"/>
      <c r="E280" s="446" t="s">
        <v>20</v>
      </c>
      <c r="F280" s="41" t="s">
        <v>631</v>
      </c>
      <c r="G280" s="84" t="s">
        <v>40</v>
      </c>
      <c r="H280" s="589">
        <v>841.10127</v>
      </c>
      <c r="I280" s="84">
        <v>1</v>
      </c>
      <c r="J280" s="589">
        <v>841.10127</v>
      </c>
      <c r="K280" s="589">
        <v>841.10127</v>
      </c>
      <c r="L280" s="84">
        <v>1</v>
      </c>
      <c r="M280" s="589">
        <v>841.10127</v>
      </c>
      <c r="N280" s="6" t="s">
        <v>632</v>
      </c>
      <c r="O280" s="79">
        <v>45266</v>
      </c>
      <c r="P280" s="33" t="str">
        <f>HYPERLINK("https://my.zakupivli.pro/remote/dispatcher/state_purchase_view/47305506", "UA-2023-12-06-005005-a")</f>
        <v>UA-2023-12-06-005005-a</v>
      </c>
      <c r="Q280" s="84">
        <v>841.10127</v>
      </c>
      <c r="R280" s="84">
        <v>1</v>
      </c>
      <c r="S280" s="84">
        <v>841.10127</v>
      </c>
      <c r="T280" s="85">
        <v>45266</v>
      </c>
      <c r="U280" s="78"/>
      <c r="V280" s="84" t="s">
        <v>59</v>
      </c>
    </row>
    <row r="281" spans="1:26" ht="62.4" x14ac:dyDescent="0.3">
      <c r="A281" s="78">
        <v>278</v>
      </c>
      <c r="B281" s="84" t="s">
        <v>40</v>
      </c>
      <c r="C281" s="44" t="s">
        <v>73</v>
      </c>
      <c r="D281" s="78"/>
      <c r="E281" s="84" t="s">
        <v>75</v>
      </c>
      <c r="F281" s="44" t="s">
        <v>633</v>
      </c>
      <c r="G281" s="84" t="s">
        <v>40</v>
      </c>
      <c r="H281" s="589">
        <v>94.9756</v>
      </c>
      <c r="I281" s="84">
        <v>1</v>
      </c>
      <c r="J281" s="589">
        <v>94.9756</v>
      </c>
      <c r="K281" s="589">
        <v>94.9756</v>
      </c>
      <c r="L281" s="84">
        <v>1</v>
      </c>
      <c r="M281" s="589">
        <v>94.9756</v>
      </c>
      <c r="N281" s="6" t="s">
        <v>634</v>
      </c>
      <c r="O281" s="79">
        <v>45266</v>
      </c>
      <c r="P281" s="33" t="str">
        <f>HYPERLINK("https://my.zakupivli.pro/remote/dispatcher/state_purchase_view/47307414", "UA-2023-12-06-005920-a")</f>
        <v>UA-2023-12-06-005920-a</v>
      </c>
      <c r="Q281" s="84">
        <v>94.9756</v>
      </c>
      <c r="R281" s="84">
        <v>1</v>
      </c>
      <c r="S281" s="84">
        <v>94.9756</v>
      </c>
      <c r="T281" s="79">
        <v>45265</v>
      </c>
      <c r="U281" s="78"/>
      <c r="V281" s="84" t="s">
        <v>59</v>
      </c>
    </row>
    <row r="282" spans="1:26" ht="62.4" x14ac:dyDescent="0.3">
      <c r="A282" s="78">
        <v>279</v>
      </c>
      <c r="B282" s="84" t="s">
        <v>40</v>
      </c>
      <c r="C282" s="44" t="s">
        <v>73</v>
      </c>
      <c r="D282" s="78"/>
      <c r="E282" s="84" t="s">
        <v>75</v>
      </c>
      <c r="F282" s="41" t="s">
        <v>635</v>
      </c>
      <c r="G282" s="84" t="s">
        <v>40</v>
      </c>
      <c r="H282" s="589">
        <v>97.569460000000007</v>
      </c>
      <c r="I282" s="84">
        <v>1</v>
      </c>
      <c r="J282" s="589">
        <v>97.569460000000007</v>
      </c>
      <c r="K282" s="589">
        <v>97.569460000000007</v>
      </c>
      <c r="L282" s="84">
        <v>1</v>
      </c>
      <c r="M282" s="589">
        <v>97.569460000000007</v>
      </c>
      <c r="N282" s="6" t="s">
        <v>636</v>
      </c>
      <c r="O282" s="85">
        <v>45266</v>
      </c>
      <c r="P282" s="42" t="str">
        <f>HYPERLINK("https://my.zakupivli.pro/remote/dispatcher/state_purchase_view/47317977", "UA-2023-12-06-010301-a")</f>
        <v>UA-2023-12-06-010301-a</v>
      </c>
      <c r="Q282" s="84">
        <v>97.569460000000007</v>
      </c>
      <c r="R282" s="84">
        <v>1</v>
      </c>
      <c r="S282" s="84">
        <v>97.569460000000007</v>
      </c>
      <c r="T282" s="85">
        <v>45266</v>
      </c>
      <c r="U282" s="78"/>
      <c r="V282" s="84" t="s">
        <v>59</v>
      </c>
      <c r="W282" s="11"/>
      <c r="X282" s="11"/>
      <c r="Y282" s="11"/>
      <c r="Z282" s="11"/>
    </row>
    <row r="283" spans="1:26" ht="62.4" x14ac:dyDescent="0.3">
      <c r="A283" s="78">
        <v>280</v>
      </c>
      <c r="B283" s="84" t="s">
        <v>40</v>
      </c>
      <c r="C283" s="44" t="s">
        <v>73</v>
      </c>
      <c r="D283" s="78"/>
      <c r="E283" s="84" t="s">
        <v>75</v>
      </c>
      <c r="F283" s="44" t="s">
        <v>637</v>
      </c>
      <c r="G283" s="84" t="s">
        <v>40</v>
      </c>
      <c r="H283" s="589">
        <v>94.625129999999999</v>
      </c>
      <c r="I283" s="84">
        <v>1</v>
      </c>
      <c r="J283" s="589">
        <v>94.625129999999999</v>
      </c>
      <c r="K283" s="589">
        <v>94.625129999999999</v>
      </c>
      <c r="L283" s="84">
        <v>1</v>
      </c>
      <c r="M283" s="589">
        <v>94.625129999999999</v>
      </c>
      <c r="N283" s="6" t="s">
        <v>638</v>
      </c>
      <c r="O283" s="85">
        <v>45267</v>
      </c>
      <c r="P283" s="33" t="str">
        <f>HYPERLINK("https://my.zakupivli.pro/remote/dispatcher/state_purchase_view/47342805", "UA-2023-12-07-000379-a")</f>
        <v>UA-2023-12-07-000379-a</v>
      </c>
      <c r="Q283" s="84">
        <v>94.625129999999999</v>
      </c>
      <c r="R283" s="84">
        <v>1</v>
      </c>
      <c r="S283" s="84">
        <v>94.625129999999999</v>
      </c>
      <c r="T283" s="85">
        <v>45265</v>
      </c>
      <c r="U283" s="78"/>
      <c r="V283" s="84" t="s">
        <v>59</v>
      </c>
    </row>
    <row r="284" spans="1:26" ht="62.4" x14ac:dyDescent="0.3">
      <c r="A284" s="84">
        <v>281</v>
      </c>
      <c r="B284" s="84" t="s">
        <v>40</v>
      </c>
      <c r="C284" s="44" t="s">
        <v>73</v>
      </c>
      <c r="D284" s="78"/>
      <c r="E284" s="84" t="s">
        <v>75</v>
      </c>
      <c r="F284" s="41" t="s">
        <v>639</v>
      </c>
      <c r="G284" s="84" t="s">
        <v>40</v>
      </c>
      <c r="H284" s="589">
        <v>99.620450000000005</v>
      </c>
      <c r="I284" s="84">
        <v>1</v>
      </c>
      <c r="J284" s="589">
        <v>99.620450000000005</v>
      </c>
      <c r="K284" s="589">
        <v>99.620450000000005</v>
      </c>
      <c r="L284" s="84">
        <v>1</v>
      </c>
      <c r="M284" s="589">
        <v>99.620450000000005</v>
      </c>
      <c r="N284" s="6" t="s">
        <v>640</v>
      </c>
      <c r="O284" s="85">
        <v>45267</v>
      </c>
      <c r="P284" s="33" t="str">
        <f>HYPERLINK("https://my.zakupivli.pro/remote/dispatcher/state_purchase_view/47358944", "UA-2023-12-07-007786-a")</f>
        <v>UA-2023-12-07-007786-a</v>
      </c>
      <c r="Q284" s="84">
        <v>99.620450000000005</v>
      </c>
      <c r="R284" s="84">
        <v>1</v>
      </c>
      <c r="S284" s="84">
        <v>99.620450000000005</v>
      </c>
      <c r="T284" s="85">
        <v>45267</v>
      </c>
      <c r="U284" s="78"/>
      <c r="V284" s="84" t="s">
        <v>59</v>
      </c>
    </row>
    <row r="285" spans="1:26" ht="62.4" x14ac:dyDescent="0.3">
      <c r="A285" s="84">
        <v>282</v>
      </c>
      <c r="B285" s="84" t="s">
        <v>40</v>
      </c>
      <c r="C285" s="44" t="s">
        <v>73</v>
      </c>
      <c r="D285" s="78"/>
      <c r="E285" s="84" t="s">
        <v>75</v>
      </c>
      <c r="F285" s="44" t="s">
        <v>641</v>
      </c>
      <c r="G285" s="84" t="s">
        <v>40</v>
      </c>
      <c r="H285" s="589">
        <v>60</v>
      </c>
      <c r="I285" s="84">
        <v>1</v>
      </c>
      <c r="J285" s="589">
        <v>60</v>
      </c>
      <c r="K285" s="589">
        <v>60</v>
      </c>
      <c r="L285" s="84">
        <v>1</v>
      </c>
      <c r="M285" s="589">
        <v>60</v>
      </c>
      <c r="N285" s="6" t="s">
        <v>642</v>
      </c>
      <c r="O285" s="79">
        <v>45271</v>
      </c>
      <c r="P285" s="42" t="str">
        <f>HYPERLINK("https://my.zakupivli.pro/remote/dispatcher/state_purchase_view/47491667", "UA-2023-12-11-019550-a")</f>
        <v>UA-2023-12-11-019550-a</v>
      </c>
      <c r="Q285" s="87">
        <v>60</v>
      </c>
      <c r="R285" s="84">
        <v>1</v>
      </c>
      <c r="S285" s="87">
        <v>60</v>
      </c>
      <c r="T285" s="79">
        <v>45271</v>
      </c>
      <c r="U285" s="78"/>
      <c r="V285" s="84" t="s">
        <v>59</v>
      </c>
    </row>
    <row r="286" spans="1:26" ht="109.2" x14ac:dyDescent="0.3">
      <c r="A286" s="84">
        <v>283</v>
      </c>
      <c r="B286" s="86" t="s">
        <v>40</v>
      </c>
      <c r="C286" s="41" t="s">
        <v>41</v>
      </c>
      <c r="D286" s="78"/>
      <c r="E286" s="86" t="s">
        <v>88</v>
      </c>
      <c r="F286" s="41" t="s">
        <v>643</v>
      </c>
      <c r="G286" s="86" t="s">
        <v>40</v>
      </c>
      <c r="H286" s="589">
        <v>46627.971120000002</v>
      </c>
      <c r="I286" s="86">
        <v>1</v>
      </c>
      <c r="J286" s="589">
        <v>46627.971120000002</v>
      </c>
      <c r="K286" s="589">
        <v>46627.971120000002</v>
      </c>
      <c r="L286" s="86">
        <v>1</v>
      </c>
      <c r="M286" s="589">
        <v>46627.971120000002</v>
      </c>
      <c r="N286" s="6" t="s">
        <v>644</v>
      </c>
      <c r="O286" s="79">
        <v>45281</v>
      </c>
      <c r="P286" s="33" t="str">
        <f>HYPERLINK("https://my.zakupivli.pro/remote/dispatcher/state_purchase_view/47910696", "UA-2023-12-21-014486-a")</f>
        <v>UA-2023-12-21-014486-a</v>
      </c>
      <c r="Q286" s="78"/>
      <c r="R286" s="86"/>
      <c r="S286" s="78"/>
      <c r="T286" s="79"/>
      <c r="U286" s="89" t="s">
        <v>93</v>
      </c>
      <c r="V286" s="78"/>
    </row>
    <row r="287" spans="1:26" ht="156" x14ac:dyDescent="0.3">
      <c r="A287" s="78">
        <v>284</v>
      </c>
      <c r="B287" s="86" t="s">
        <v>21</v>
      </c>
      <c r="C287" s="44" t="s">
        <v>173</v>
      </c>
      <c r="D287" s="90" t="s">
        <v>58</v>
      </c>
      <c r="E287" s="86" t="s">
        <v>88</v>
      </c>
      <c r="F287" s="44" t="s">
        <v>645</v>
      </c>
      <c r="G287" s="86" t="s">
        <v>21</v>
      </c>
      <c r="H287" s="589">
        <v>1380</v>
      </c>
      <c r="I287" s="78">
        <v>12</v>
      </c>
      <c r="J287" s="589"/>
      <c r="K287" s="589"/>
      <c r="L287" s="78">
        <v>12</v>
      </c>
      <c r="M287" s="589"/>
      <c r="N287" s="6" t="s">
        <v>647</v>
      </c>
      <c r="O287" s="79">
        <v>45274</v>
      </c>
      <c r="P287" s="33" t="str">
        <f>HYPERLINK("https://my.zakupivli.pro/remote/dispatcher/state_purchase_view/47633281", "UA-2023-12-14-013003-a")</f>
        <v>UA-2023-12-14-013003-a</v>
      </c>
      <c r="Q287" s="78"/>
      <c r="R287" s="78"/>
      <c r="S287" s="78"/>
      <c r="T287" s="79"/>
      <c r="U287" s="89" t="s">
        <v>648</v>
      </c>
      <c r="V287" s="78"/>
    </row>
    <row r="288" spans="1:26" ht="156" x14ac:dyDescent="0.3">
      <c r="A288" s="78">
        <v>285</v>
      </c>
      <c r="B288" s="86" t="s">
        <v>21</v>
      </c>
      <c r="C288" s="44" t="s">
        <v>173</v>
      </c>
      <c r="D288" s="90" t="s">
        <v>58</v>
      </c>
      <c r="E288" s="86" t="s">
        <v>88</v>
      </c>
      <c r="F288" s="44" t="s">
        <v>646</v>
      </c>
      <c r="G288" s="86" t="s">
        <v>21</v>
      </c>
      <c r="H288" s="589">
        <v>900</v>
      </c>
      <c r="I288" s="78">
        <v>6</v>
      </c>
      <c r="J288" s="589"/>
      <c r="K288" s="589"/>
      <c r="L288" s="78"/>
      <c r="M288" s="589"/>
      <c r="N288" s="6" t="s">
        <v>647</v>
      </c>
      <c r="O288" s="79">
        <v>45274</v>
      </c>
      <c r="P288" s="33" t="str">
        <f>HYPERLINK("https://my.zakupivli.pro/remote/dispatcher/state_purchase_view/47633281", "UA-2023-12-14-013003-a")</f>
        <v>UA-2023-12-14-013003-a</v>
      </c>
      <c r="Q288" s="78"/>
      <c r="R288" s="78"/>
      <c r="S288" s="78"/>
      <c r="T288" s="79"/>
      <c r="U288" s="89" t="s">
        <v>648</v>
      </c>
      <c r="V288" s="78"/>
    </row>
    <row r="289" spans="1:22" ht="62.4" x14ac:dyDescent="0.3">
      <c r="A289" s="78">
        <v>286</v>
      </c>
      <c r="B289" s="89" t="s">
        <v>40</v>
      </c>
      <c r="C289" s="41" t="s">
        <v>73</v>
      </c>
      <c r="D289" s="78"/>
      <c r="E289" s="89" t="s">
        <v>75</v>
      </c>
      <c r="F289" s="41" t="s">
        <v>649</v>
      </c>
      <c r="G289" s="89" t="s">
        <v>40</v>
      </c>
      <c r="H289" s="589">
        <v>900.26514999999995</v>
      </c>
      <c r="I289" s="78">
        <v>1</v>
      </c>
      <c r="J289" s="589">
        <v>900.26514999999995</v>
      </c>
      <c r="K289" s="589">
        <v>900.26514999999995</v>
      </c>
      <c r="L289" s="89">
        <v>1</v>
      </c>
      <c r="M289" s="589">
        <v>900.26514999999995</v>
      </c>
      <c r="N289" s="6" t="s">
        <v>650</v>
      </c>
      <c r="O289" s="79">
        <v>45288</v>
      </c>
      <c r="P289" s="42" t="str">
        <f>HYPERLINK("https://my.zakupivli.pro/remote/dispatcher/state_purchase_view/48101499", "UA-2023-12-28-006964-a")</f>
        <v>UA-2023-12-28-006964-a</v>
      </c>
      <c r="Q289" s="89">
        <v>900.26514999999995</v>
      </c>
      <c r="R289" s="89">
        <v>1</v>
      </c>
      <c r="S289" s="89">
        <v>900.26514999999995</v>
      </c>
      <c r="T289" s="79">
        <v>45288</v>
      </c>
      <c r="U289" s="78"/>
      <c r="V289" s="89" t="s">
        <v>59</v>
      </c>
    </row>
    <row r="290" spans="1:22" ht="62.4" x14ac:dyDescent="0.3">
      <c r="A290" s="78">
        <v>287</v>
      </c>
      <c r="B290" s="89" t="s">
        <v>40</v>
      </c>
      <c r="C290" s="44" t="s">
        <v>73</v>
      </c>
      <c r="D290" s="78"/>
      <c r="E290" s="89" t="s">
        <v>75</v>
      </c>
      <c r="F290" s="44" t="s">
        <v>651</v>
      </c>
      <c r="G290" s="89" t="s">
        <v>40</v>
      </c>
      <c r="H290" s="589">
        <v>890.76089999999999</v>
      </c>
      <c r="I290" s="89">
        <v>1</v>
      </c>
      <c r="J290" s="589">
        <v>890.76089999999999</v>
      </c>
      <c r="K290" s="589">
        <v>890.76089999999999</v>
      </c>
      <c r="L290" s="89">
        <v>1</v>
      </c>
      <c r="M290" s="589">
        <v>890.76089999999999</v>
      </c>
      <c r="N290" s="6" t="s">
        <v>652</v>
      </c>
      <c r="O290" s="88">
        <v>45288</v>
      </c>
      <c r="P290" s="33" t="str">
        <f>HYPERLINK("https://my.zakupivli.pro/remote/dispatcher/state_purchase_view/48103321", "UA-2023-12-28-007824-a")</f>
        <v>UA-2023-12-28-007824-a</v>
      </c>
      <c r="Q290" s="89">
        <v>890.76089999999999</v>
      </c>
      <c r="R290" s="89">
        <v>1</v>
      </c>
      <c r="S290" s="89">
        <v>890.76089999999999</v>
      </c>
      <c r="T290" s="88">
        <v>45288</v>
      </c>
      <c r="U290" s="78"/>
      <c r="V290" s="89" t="s">
        <v>59</v>
      </c>
    </row>
    <row r="291" spans="1:22" ht="62.4" x14ac:dyDescent="0.3">
      <c r="A291" s="78">
        <v>288</v>
      </c>
      <c r="B291" s="89" t="s">
        <v>40</v>
      </c>
      <c r="C291" s="44" t="s">
        <v>517</v>
      </c>
      <c r="D291" s="78"/>
      <c r="E291" s="89" t="s">
        <v>88</v>
      </c>
      <c r="F291" s="44" t="s">
        <v>653</v>
      </c>
      <c r="G291" s="89" t="s">
        <v>40</v>
      </c>
      <c r="H291" s="589">
        <v>102.10921999999999</v>
      </c>
      <c r="I291" s="89">
        <v>1</v>
      </c>
      <c r="J291" s="589">
        <v>102.10921999999999</v>
      </c>
      <c r="K291" s="589">
        <v>102.10921999999999</v>
      </c>
      <c r="L291" s="89">
        <v>1</v>
      </c>
      <c r="M291" s="589">
        <v>102.10921999999999</v>
      </c>
      <c r="N291" s="6" t="s">
        <v>655</v>
      </c>
      <c r="O291" s="88">
        <v>45288</v>
      </c>
      <c r="P291" s="33" t="str">
        <f>HYPERLINK("https://my.zakupivli.pro/remote/dispatcher/state_purchase_view/48105790", "UA-2023-12-28-009035-a")</f>
        <v>UA-2023-12-28-009035-a</v>
      </c>
      <c r="Q291" s="89">
        <v>102.10921999999999</v>
      </c>
      <c r="R291" s="89">
        <v>1</v>
      </c>
      <c r="S291" s="89">
        <v>102.10921999999999</v>
      </c>
      <c r="T291" s="88">
        <v>45288</v>
      </c>
      <c r="U291" s="78"/>
      <c r="V291" s="89" t="s">
        <v>59</v>
      </c>
    </row>
    <row r="292" spans="1:22" ht="62.4" x14ac:dyDescent="0.3">
      <c r="A292" s="89">
        <v>289</v>
      </c>
      <c r="B292" s="89" t="s">
        <v>40</v>
      </c>
      <c r="C292" s="44" t="s">
        <v>517</v>
      </c>
      <c r="D292" s="89"/>
      <c r="E292" s="89" t="s">
        <v>88</v>
      </c>
      <c r="F292" s="44" t="s">
        <v>654</v>
      </c>
      <c r="G292" s="89" t="s">
        <v>40</v>
      </c>
      <c r="H292" s="589">
        <v>140.8725</v>
      </c>
      <c r="I292" s="89">
        <v>1</v>
      </c>
      <c r="J292" s="589">
        <v>140.8725</v>
      </c>
      <c r="K292" s="589">
        <v>140.8725</v>
      </c>
      <c r="L292" s="89">
        <v>1</v>
      </c>
      <c r="M292" s="589">
        <v>140.8725</v>
      </c>
      <c r="N292" s="6" t="s">
        <v>656</v>
      </c>
      <c r="O292" s="88">
        <v>45288</v>
      </c>
      <c r="P292" s="33" t="str">
        <f>HYPERLINK("https://my.zakupivli.pro/remote/dispatcher/state_purchase_view/48105477", "UA-2023-12-28-008817-a")</f>
        <v>UA-2023-12-28-008817-a</v>
      </c>
      <c r="Q292" s="89">
        <v>140.8725</v>
      </c>
      <c r="R292" s="89">
        <v>1</v>
      </c>
      <c r="S292" s="89">
        <v>140.8725</v>
      </c>
      <c r="T292" s="88">
        <v>45288</v>
      </c>
      <c r="U292" s="89"/>
      <c r="V292" s="89" t="s">
        <v>59</v>
      </c>
    </row>
    <row r="293" spans="1:22" ht="62.4" x14ac:dyDescent="0.3">
      <c r="A293" s="89">
        <v>290</v>
      </c>
      <c r="B293" s="89" t="s">
        <v>40</v>
      </c>
      <c r="C293" s="44" t="s">
        <v>517</v>
      </c>
      <c r="D293" s="89"/>
      <c r="E293" s="89" t="s">
        <v>88</v>
      </c>
      <c r="F293" s="41" t="s">
        <v>657</v>
      </c>
      <c r="G293" s="89" t="s">
        <v>40</v>
      </c>
      <c r="H293" s="589">
        <v>112.61726</v>
      </c>
      <c r="I293" s="89">
        <v>1</v>
      </c>
      <c r="J293" s="589">
        <v>112.61726</v>
      </c>
      <c r="K293" s="589">
        <v>112.61726</v>
      </c>
      <c r="L293" s="89">
        <v>1</v>
      </c>
      <c r="M293" s="589">
        <v>112.61726</v>
      </c>
      <c r="N293" s="6" t="s">
        <v>658</v>
      </c>
      <c r="O293" s="88">
        <v>45288</v>
      </c>
      <c r="P293" s="42" t="str">
        <f>HYPERLINK("https://my.zakupivli.pro/remote/dispatcher/state_purchase_view/48106223", "UA-2023-12-28-009172-a")</f>
        <v>UA-2023-12-28-009172-a</v>
      </c>
      <c r="Q293" s="89">
        <v>112.61726</v>
      </c>
      <c r="R293" s="89">
        <v>1</v>
      </c>
      <c r="S293" s="89">
        <v>112.61726</v>
      </c>
      <c r="T293" s="88">
        <v>45288</v>
      </c>
      <c r="U293" s="89"/>
      <c r="V293" s="89" t="s">
        <v>59</v>
      </c>
    </row>
    <row r="294" spans="1:22" ht="78" x14ac:dyDescent="0.3">
      <c r="A294" s="89">
        <v>291</v>
      </c>
      <c r="B294" s="89" t="s">
        <v>40</v>
      </c>
      <c r="C294" s="44" t="s">
        <v>517</v>
      </c>
      <c r="D294" s="89"/>
      <c r="E294" s="89" t="s">
        <v>88</v>
      </c>
      <c r="F294" s="44" t="s">
        <v>659</v>
      </c>
      <c r="G294" s="89" t="s">
        <v>40</v>
      </c>
      <c r="H294" s="589">
        <v>60.283799999999999</v>
      </c>
      <c r="I294" s="89">
        <v>1</v>
      </c>
      <c r="J294" s="589">
        <v>60.283799999999999</v>
      </c>
      <c r="K294" s="589">
        <v>60.283799999999999</v>
      </c>
      <c r="L294" s="89">
        <v>1</v>
      </c>
      <c r="M294" s="589">
        <v>60.283799999999999</v>
      </c>
      <c r="N294" s="6" t="s">
        <v>660</v>
      </c>
      <c r="O294" s="88">
        <v>45288</v>
      </c>
      <c r="P294" s="33" t="str">
        <f>HYPERLINK("https://my.zakupivli.pro/remote/dispatcher/state_purchase_view/48106340", "UA-2023-12-28-009254-a")</f>
        <v>UA-2023-12-28-009254-a</v>
      </c>
      <c r="Q294" s="89">
        <v>60.283799999999999</v>
      </c>
      <c r="R294" s="89">
        <v>1</v>
      </c>
      <c r="S294" s="89">
        <v>60.283799999999999</v>
      </c>
      <c r="T294" s="88">
        <v>45288</v>
      </c>
      <c r="U294" s="89"/>
      <c r="V294" s="89" t="s">
        <v>59</v>
      </c>
    </row>
    <row r="295" spans="1:22" ht="62.4" x14ac:dyDescent="0.3">
      <c r="A295" s="89">
        <v>292</v>
      </c>
      <c r="B295" s="89" t="s">
        <v>40</v>
      </c>
      <c r="C295" s="44" t="s">
        <v>517</v>
      </c>
      <c r="D295" s="89"/>
      <c r="E295" s="89" t="s">
        <v>88</v>
      </c>
      <c r="F295" s="41" t="s">
        <v>661</v>
      </c>
      <c r="G295" s="89" t="s">
        <v>40</v>
      </c>
      <c r="H295" s="589">
        <v>80.88937</v>
      </c>
      <c r="I295" s="89">
        <v>1</v>
      </c>
      <c r="J295" s="589">
        <v>80.88937</v>
      </c>
      <c r="K295" s="589">
        <v>80.88937</v>
      </c>
      <c r="L295" s="89">
        <v>1</v>
      </c>
      <c r="M295" s="589">
        <v>80.88937</v>
      </c>
      <c r="N295" s="6" t="s">
        <v>662</v>
      </c>
      <c r="O295" s="88">
        <v>45288</v>
      </c>
      <c r="P295" s="42" t="str">
        <f>HYPERLINK("https://my.zakupivli.pro/remote/dispatcher/state_purchase_view/48106581", "UA-2023-12-28-009421-a")</f>
        <v>UA-2023-12-28-009421-a</v>
      </c>
      <c r="Q295" s="89">
        <v>80.88937</v>
      </c>
      <c r="R295" s="89">
        <v>1</v>
      </c>
      <c r="S295" s="89">
        <v>80.88937</v>
      </c>
      <c r="T295" s="88">
        <v>45288</v>
      </c>
      <c r="U295" s="89"/>
      <c r="V295" s="89" t="s">
        <v>59</v>
      </c>
    </row>
    <row r="296" spans="1:22" ht="62.4" x14ac:dyDescent="0.3">
      <c r="A296" s="89">
        <v>293</v>
      </c>
      <c r="B296" s="89" t="s">
        <v>40</v>
      </c>
      <c r="C296" s="44" t="s">
        <v>73</v>
      </c>
      <c r="D296" s="89"/>
      <c r="E296" s="89" t="s">
        <v>75</v>
      </c>
      <c r="F296" s="44" t="s">
        <v>663</v>
      </c>
      <c r="G296" s="89" t="s">
        <v>40</v>
      </c>
      <c r="H296" s="589">
        <v>60.466990000000003</v>
      </c>
      <c r="I296" s="89">
        <v>1</v>
      </c>
      <c r="J296" s="589">
        <v>60.466990000000003</v>
      </c>
      <c r="K296" s="589">
        <v>60.466990000000003</v>
      </c>
      <c r="L296" s="89">
        <v>1</v>
      </c>
      <c r="M296" s="589">
        <v>60.466990000000003</v>
      </c>
      <c r="N296" s="6" t="s">
        <v>665</v>
      </c>
      <c r="O296" s="88">
        <v>45288</v>
      </c>
      <c r="P296" s="33" t="str">
        <f>HYPERLINK("https://my.zakupivli.pro/remote/dispatcher/state_purchase_view/48111319", "UA-2023-12-29-000127-a")</f>
        <v>UA-2023-12-29-000127-a</v>
      </c>
      <c r="Q296" s="89">
        <v>60.466990000000003</v>
      </c>
      <c r="R296" s="89">
        <v>1</v>
      </c>
      <c r="S296" s="89">
        <v>60.466990000000003</v>
      </c>
      <c r="T296" s="88">
        <v>45288</v>
      </c>
      <c r="U296" s="89"/>
      <c r="V296" s="89" t="s">
        <v>59</v>
      </c>
    </row>
    <row r="297" spans="1:22" ht="62.4" x14ac:dyDescent="0.3">
      <c r="A297" s="89">
        <v>294</v>
      </c>
      <c r="B297" s="89" t="s">
        <v>40</v>
      </c>
      <c r="C297" s="44" t="s">
        <v>73</v>
      </c>
      <c r="D297" s="89"/>
      <c r="E297" s="89" t="s">
        <v>75</v>
      </c>
      <c r="F297" s="44" t="s">
        <v>664</v>
      </c>
      <c r="G297" s="89" t="s">
        <v>40</v>
      </c>
      <c r="H297" s="589">
        <v>102.71108</v>
      </c>
      <c r="I297" s="89">
        <v>1</v>
      </c>
      <c r="J297" s="589">
        <v>102.71108</v>
      </c>
      <c r="K297" s="589">
        <v>102.71108</v>
      </c>
      <c r="L297" s="89">
        <v>1</v>
      </c>
      <c r="M297" s="589">
        <v>102.71108</v>
      </c>
      <c r="N297" s="6" t="s">
        <v>666</v>
      </c>
      <c r="O297" s="88">
        <v>45288</v>
      </c>
      <c r="P297" s="33" t="str">
        <f>HYPERLINK("https://my.zakupivli.pro/remote/dispatcher/state_purchase_view/48111316", "UA-2023-12-29-000125-a")</f>
        <v>UA-2023-12-29-000125-a</v>
      </c>
      <c r="Q297" s="89">
        <v>102.71108</v>
      </c>
      <c r="R297" s="89">
        <v>1</v>
      </c>
      <c r="S297" s="89">
        <v>102.71108</v>
      </c>
      <c r="T297" s="88">
        <v>45288</v>
      </c>
      <c r="U297" s="89"/>
      <c r="V297" s="89" t="s">
        <v>59</v>
      </c>
    </row>
    <row r="298" spans="1:22" ht="62.4" x14ac:dyDescent="0.3">
      <c r="A298" s="89">
        <v>295</v>
      </c>
      <c r="B298" s="89" t="s">
        <v>40</v>
      </c>
      <c r="C298" s="44" t="s">
        <v>73</v>
      </c>
      <c r="D298" s="89"/>
      <c r="E298" s="89" t="s">
        <v>75</v>
      </c>
      <c r="F298" s="44" t="s">
        <v>667</v>
      </c>
      <c r="G298" s="89" t="s">
        <v>40</v>
      </c>
      <c r="H298" s="589">
        <v>102.81056</v>
      </c>
      <c r="I298" s="89">
        <v>1</v>
      </c>
      <c r="J298" s="589">
        <v>102.81056</v>
      </c>
      <c r="K298" s="589">
        <v>102.81056</v>
      </c>
      <c r="L298" s="89">
        <v>1</v>
      </c>
      <c r="M298" s="589">
        <v>102.81056</v>
      </c>
      <c r="N298" s="6" t="s">
        <v>670</v>
      </c>
      <c r="O298" s="88">
        <v>45288</v>
      </c>
      <c r="P298" s="33" t="str">
        <f>HYPERLINK("https://my.zakupivli.pro/remote/dispatcher/state_purchase_view/48114851", "UA-2023-12-29-001754-a")</f>
        <v>UA-2023-12-29-001754-a</v>
      </c>
      <c r="Q298" s="89">
        <v>102.81056</v>
      </c>
      <c r="R298" s="89">
        <v>1</v>
      </c>
      <c r="S298" s="89">
        <v>102.81056</v>
      </c>
      <c r="T298" s="88">
        <v>45288</v>
      </c>
      <c r="U298" s="89"/>
      <c r="V298" s="89" t="s">
        <v>59</v>
      </c>
    </row>
    <row r="299" spans="1:22" ht="62.4" x14ac:dyDescent="0.3">
      <c r="A299" s="89">
        <v>296</v>
      </c>
      <c r="B299" s="89" t="s">
        <v>40</v>
      </c>
      <c r="C299" s="44" t="s">
        <v>73</v>
      </c>
      <c r="D299" s="89"/>
      <c r="E299" s="89" t="s">
        <v>75</v>
      </c>
      <c r="F299" s="44" t="s">
        <v>668</v>
      </c>
      <c r="G299" s="89" t="s">
        <v>40</v>
      </c>
      <c r="H299" s="589">
        <v>93.603560000000002</v>
      </c>
      <c r="I299" s="89">
        <v>1</v>
      </c>
      <c r="J299" s="589">
        <v>93.603560000000002</v>
      </c>
      <c r="K299" s="589">
        <v>93.603560000000002</v>
      </c>
      <c r="L299" s="89">
        <v>1</v>
      </c>
      <c r="M299" s="589">
        <v>93.603560000000002</v>
      </c>
      <c r="N299" s="6" t="s">
        <v>671</v>
      </c>
      <c r="O299" s="88">
        <v>45288</v>
      </c>
      <c r="P299" s="33" t="str">
        <f>HYPERLINK("https://my.zakupivli.pro/remote/dispatcher/state_purchase_view/48113034", "UA-2023-12-29-000902-a")</f>
        <v>UA-2023-12-29-000902-a</v>
      </c>
      <c r="Q299" s="89">
        <v>93.603560000000002</v>
      </c>
      <c r="R299" s="89">
        <v>1</v>
      </c>
      <c r="S299" s="89">
        <v>93.603560000000002</v>
      </c>
      <c r="T299" s="88">
        <v>45288</v>
      </c>
      <c r="U299" s="89"/>
      <c r="V299" s="89" t="s">
        <v>59</v>
      </c>
    </row>
    <row r="300" spans="1:22" ht="62.4" x14ac:dyDescent="0.3">
      <c r="A300" s="89">
        <v>297</v>
      </c>
      <c r="B300" s="89" t="s">
        <v>40</v>
      </c>
      <c r="C300" s="44" t="s">
        <v>73</v>
      </c>
      <c r="D300" s="89"/>
      <c r="E300" s="89" t="s">
        <v>75</v>
      </c>
      <c r="F300" s="44" t="s">
        <v>669</v>
      </c>
      <c r="G300" s="89" t="s">
        <v>40</v>
      </c>
      <c r="H300" s="589">
        <v>94.078620000000001</v>
      </c>
      <c r="I300" s="89">
        <v>1</v>
      </c>
      <c r="J300" s="589">
        <v>94.078620000000001</v>
      </c>
      <c r="K300" s="589">
        <v>94.078620000000001</v>
      </c>
      <c r="L300" s="89">
        <v>1</v>
      </c>
      <c r="M300" s="589">
        <v>94.078620000000001</v>
      </c>
      <c r="N300" s="6" t="s">
        <v>672</v>
      </c>
      <c r="O300" s="88">
        <v>45288</v>
      </c>
      <c r="P300" s="33" t="str">
        <f>HYPERLINK("https://my.zakupivli.pro/remote/dispatcher/state_purchase_view/48111399", "UA-2023-12-29-000155-a")</f>
        <v>UA-2023-12-29-000155-a</v>
      </c>
      <c r="Q300" s="89">
        <v>94.078620000000001</v>
      </c>
      <c r="R300" s="89">
        <v>1</v>
      </c>
      <c r="S300" s="89">
        <v>94.078620000000001</v>
      </c>
      <c r="T300" s="88">
        <v>45288</v>
      </c>
      <c r="U300" s="89"/>
      <c r="V300" s="89" t="s">
        <v>59</v>
      </c>
    </row>
    <row r="301" spans="1:22" ht="62.4" x14ac:dyDescent="0.3">
      <c r="A301" s="89">
        <v>298</v>
      </c>
      <c r="B301" s="89" t="s">
        <v>40</v>
      </c>
      <c r="C301" s="44" t="s">
        <v>73</v>
      </c>
      <c r="D301" s="89"/>
      <c r="E301" s="89" t="s">
        <v>75</v>
      </c>
      <c r="F301" s="44" t="s">
        <v>673</v>
      </c>
      <c r="G301" s="89" t="s">
        <v>40</v>
      </c>
      <c r="H301" s="589">
        <v>890.76089999999999</v>
      </c>
      <c r="I301" s="89">
        <v>1</v>
      </c>
      <c r="J301" s="589">
        <v>890.76089999999999</v>
      </c>
      <c r="K301" s="589">
        <v>890.76089999999999</v>
      </c>
      <c r="L301" s="89">
        <v>1</v>
      </c>
      <c r="M301" s="589">
        <v>890.76089999999999</v>
      </c>
      <c r="N301" s="6" t="s">
        <v>675</v>
      </c>
      <c r="O301" s="88">
        <v>45288</v>
      </c>
      <c r="P301" s="33" t="str">
        <f>HYPERLINK("https://my.zakupivli.pro/remote/dispatcher/state_purchase_view/48185148", "UA-2024-01-04-005897-a")</f>
        <v>UA-2024-01-04-005897-a</v>
      </c>
      <c r="Q301" s="89">
        <v>890.76089999999999</v>
      </c>
      <c r="R301" s="89">
        <v>1</v>
      </c>
      <c r="S301" s="89">
        <v>890.76089999999999</v>
      </c>
      <c r="T301" s="88">
        <v>45295</v>
      </c>
      <c r="U301" s="89"/>
      <c r="V301" s="89" t="s">
        <v>59</v>
      </c>
    </row>
    <row r="302" spans="1:22" ht="62.4" x14ac:dyDescent="0.3">
      <c r="A302" s="89">
        <v>299</v>
      </c>
      <c r="B302" s="89" t="s">
        <v>40</v>
      </c>
      <c r="C302" s="44" t="s">
        <v>73</v>
      </c>
      <c r="D302" s="89"/>
      <c r="E302" s="89" t="s">
        <v>75</v>
      </c>
      <c r="F302" s="44" t="s">
        <v>674</v>
      </c>
      <c r="G302" s="89" t="s">
        <v>40</v>
      </c>
      <c r="H302" s="589">
        <v>900.26514999999995</v>
      </c>
      <c r="I302" s="89">
        <v>1</v>
      </c>
      <c r="J302" s="589">
        <v>900.26514999999995</v>
      </c>
      <c r="K302" s="589">
        <v>900.26514999999995</v>
      </c>
      <c r="L302" s="89">
        <v>1</v>
      </c>
      <c r="M302" s="589">
        <v>900.26514999999995</v>
      </c>
      <c r="N302" s="6" t="s">
        <v>676</v>
      </c>
      <c r="O302" s="88">
        <v>45288</v>
      </c>
      <c r="P302" s="33" t="str">
        <f>HYPERLINK("https://my.zakupivli.pro/remote/dispatcher/state_purchase_view/48184528", "UA-2024-01-04-005625-a")</f>
        <v>UA-2024-01-04-005625-a</v>
      </c>
      <c r="Q302" s="89">
        <v>900.26514999999995</v>
      </c>
      <c r="R302" s="89">
        <v>1</v>
      </c>
      <c r="S302" s="89">
        <v>900.26514999999995</v>
      </c>
      <c r="T302" s="88">
        <v>45295</v>
      </c>
      <c r="U302" s="89"/>
      <c r="V302" s="89" t="s">
        <v>59</v>
      </c>
    </row>
    <row r="303" spans="1:22" ht="62.4" x14ac:dyDescent="0.3">
      <c r="A303" s="89">
        <v>300</v>
      </c>
      <c r="B303" s="89" t="s">
        <v>40</v>
      </c>
      <c r="C303" s="44" t="s">
        <v>73</v>
      </c>
      <c r="D303" s="89"/>
      <c r="E303" s="89" t="s">
        <v>75</v>
      </c>
      <c r="F303" s="44" t="s">
        <v>677</v>
      </c>
      <c r="G303" s="89" t="s">
        <v>40</v>
      </c>
      <c r="H303" s="589">
        <v>154.50237999999999</v>
      </c>
      <c r="I303" s="89">
        <v>1</v>
      </c>
      <c r="J303" s="589">
        <v>154.50237999999999</v>
      </c>
      <c r="K303" s="589">
        <v>154.50237999999999</v>
      </c>
      <c r="L303" s="89">
        <v>1</v>
      </c>
      <c r="M303" s="589">
        <v>154.50237999999999</v>
      </c>
      <c r="N303" s="6" t="s">
        <v>680</v>
      </c>
      <c r="O303" s="88">
        <v>45296</v>
      </c>
      <c r="P303" s="33" t="str">
        <f>HYPERLINK("https://my.zakupivli.pro/remote/dispatcher/state_purchase_view/48208692", "UA-2024-01-08-000900-a")</f>
        <v>UA-2024-01-08-000900-a</v>
      </c>
      <c r="Q303" s="89">
        <v>154.50237999999999</v>
      </c>
      <c r="R303" s="89">
        <v>1</v>
      </c>
      <c r="S303" s="89">
        <v>154.50237999999999</v>
      </c>
      <c r="T303" s="88">
        <v>45299</v>
      </c>
      <c r="U303" s="89"/>
      <c r="V303" s="89" t="s">
        <v>59</v>
      </c>
    </row>
    <row r="304" spans="1:22" ht="62.4" x14ac:dyDescent="0.3">
      <c r="A304" s="89">
        <v>301</v>
      </c>
      <c r="B304" s="89" t="s">
        <v>40</v>
      </c>
      <c r="C304" s="44" t="s">
        <v>73</v>
      </c>
      <c r="D304" s="89"/>
      <c r="E304" s="89" t="s">
        <v>75</v>
      </c>
      <c r="F304" s="44" t="s">
        <v>678</v>
      </c>
      <c r="G304" s="89" t="s">
        <v>40</v>
      </c>
      <c r="H304" s="589">
        <v>173.50028</v>
      </c>
      <c r="I304" s="89">
        <v>1</v>
      </c>
      <c r="J304" s="589">
        <v>173.50028</v>
      </c>
      <c r="K304" s="589">
        <v>173.50028</v>
      </c>
      <c r="L304" s="89">
        <v>1</v>
      </c>
      <c r="M304" s="589">
        <v>173.50028</v>
      </c>
      <c r="N304" s="6" t="s">
        <v>681</v>
      </c>
      <c r="O304" s="88">
        <v>45296</v>
      </c>
      <c r="P304" s="33" t="str">
        <f>HYPERLINK("https://my.zakupivli.pro/remote/dispatcher/state_purchase_view/48208212", "UA-2024-01-08-000709-a")</f>
        <v>UA-2024-01-08-000709-a</v>
      </c>
      <c r="Q304" s="89">
        <v>173.50028</v>
      </c>
      <c r="R304" s="89">
        <v>1</v>
      </c>
      <c r="S304" s="89">
        <v>173.50028</v>
      </c>
      <c r="T304" s="88">
        <v>45299</v>
      </c>
      <c r="U304" s="89"/>
      <c r="V304" s="89" t="s">
        <v>59</v>
      </c>
    </row>
    <row r="305" spans="1:22" ht="62.4" x14ac:dyDescent="0.3">
      <c r="A305" s="89">
        <v>302</v>
      </c>
      <c r="B305" s="89" t="s">
        <v>40</v>
      </c>
      <c r="C305" s="44" t="s">
        <v>73</v>
      </c>
      <c r="D305" s="89"/>
      <c r="E305" s="89" t="s">
        <v>75</v>
      </c>
      <c r="F305" s="44" t="s">
        <v>679</v>
      </c>
      <c r="G305" s="89" t="s">
        <v>40</v>
      </c>
      <c r="H305" s="589">
        <v>161.96637999999999</v>
      </c>
      <c r="I305" s="89">
        <v>1</v>
      </c>
      <c r="J305" s="589">
        <v>161.96637999999999</v>
      </c>
      <c r="K305" s="589">
        <v>161.96637999999999</v>
      </c>
      <c r="L305" s="89">
        <v>1</v>
      </c>
      <c r="M305" s="589">
        <v>161.96637999999999</v>
      </c>
      <c r="N305" s="6" t="s">
        <v>682</v>
      </c>
      <c r="O305" s="88">
        <v>45296</v>
      </c>
      <c r="P305" s="33" t="str">
        <f>HYPERLINK("https://my.zakupivli.pro/remote/dispatcher/state_purchase_view/48207479", "UA-2024-01-08-000421-a")</f>
        <v>UA-2024-01-08-000421-a</v>
      </c>
      <c r="Q305" s="89">
        <v>161.96637999999999</v>
      </c>
      <c r="R305" s="89">
        <v>1</v>
      </c>
      <c r="S305" s="89">
        <v>161.96637999999999</v>
      </c>
      <c r="T305" s="88">
        <v>45299</v>
      </c>
      <c r="U305" s="89"/>
      <c r="V305" s="89" t="s">
        <v>59</v>
      </c>
    </row>
    <row r="306" spans="1:22" ht="62.4" x14ac:dyDescent="0.3">
      <c r="A306" s="89">
        <v>303</v>
      </c>
      <c r="B306" s="89" t="s">
        <v>40</v>
      </c>
      <c r="C306" s="44" t="s">
        <v>517</v>
      </c>
      <c r="D306" s="89"/>
      <c r="E306" s="90" t="s">
        <v>88</v>
      </c>
      <c r="F306" s="44" t="s">
        <v>683</v>
      </c>
      <c r="G306" s="89" t="s">
        <v>40</v>
      </c>
      <c r="H306" s="589">
        <v>180.30529999999999</v>
      </c>
      <c r="I306" s="89">
        <v>1</v>
      </c>
      <c r="J306" s="589">
        <v>180.30529999999999</v>
      </c>
      <c r="K306" s="589">
        <v>180.30529999999999</v>
      </c>
      <c r="L306" s="89">
        <v>1</v>
      </c>
      <c r="M306" s="589">
        <v>180.30529999999999</v>
      </c>
      <c r="N306" s="6" t="s">
        <v>686</v>
      </c>
      <c r="O306" s="88">
        <v>45289</v>
      </c>
      <c r="P306" s="33" t="str">
        <f>HYPERLINK("https://my.zakupivli.pro/remote/dispatcher/state_purchase_view/48220144", "UA-2024-01-08-005490-a")</f>
        <v>UA-2024-01-08-005490-a</v>
      </c>
      <c r="Q306" s="89">
        <v>180.30529999999999</v>
      </c>
      <c r="R306" s="89">
        <v>1</v>
      </c>
      <c r="S306" s="89">
        <v>180.30529999999999</v>
      </c>
      <c r="T306" s="88">
        <v>45299</v>
      </c>
      <c r="U306" s="89"/>
      <c r="V306" s="89" t="s">
        <v>59</v>
      </c>
    </row>
    <row r="307" spans="1:22" ht="62.4" x14ac:dyDescent="0.3">
      <c r="A307" s="89">
        <v>304</v>
      </c>
      <c r="B307" s="89" t="s">
        <v>40</v>
      </c>
      <c r="C307" s="44" t="s">
        <v>517</v>
      </c>
      <c r="D307" s="89"/>
      <c r="E307" s="90" t="s">
        <v>88</v>
      </c>
      <c r="F307" s="44" t="s">
        <v>684</v>
      </c>
      <c r="G307" s="89" t="s">
        <v>40</v>
      </c>
      <c r="H307" s="589">
        <v>43.111609999999999</v>
      </c>
      <c r="I307" s="89">
        <v>1</v>
      </c>
      <c r="J307" s="589">
        <v>43.111609999999999</v>
      </c>
      <c r="K307" s="589">
        <v>43.111609999999999</v>
      </c>
      <c r="L307" s="89">
        <v>1</v>
      </c>
      <c r="M307" s="589">
        <v>43.111609999999999</v>
      </c>
      <c r="N307" s="6" t="s">
        <v>687</v>
      </c>
      <c r="O307" s="88">
        <v>45289</v>
      </c>
      <c r="P307" s="33" t="str">
        <f>HYPERLINK("https://my.zakupivli.pro/remote/dispatcher/state_purchase_view/48217755", "UA-2024-01-08-004546-a")</f>
        <v>UA-2024-01-08-004546-a</v>
      </c>
      <c r="Q307" s="89">
        <v>43.111609999999999</v>
      </c>
      <c r="R307" s="89">
        <v>1</v>
      </c>
      <c r="S307" s="89">
        <v>43.111609999999999</v>
      </c>
      <c r="T307" s="88">
        <v>45299</v>
      </c>
      <c r="U307" s="89"/>
      <c r="V307" s="89" t="s">
        <v>59</v>
      </c>
    </row>
    <row r="308" spans="1:22" ht="62.4" x14ac:dyDescent="0.3">
      <c r="A308" s="89">
        <v>305</v>
      </c>
      <c r="B308" s="89" t="s">
        <v>40</v>
      </c>
      <c r="C308" s="44" t="s">
        <v>517</v>
      </c>
      <c r="D308" s="89"/>
      <c r="E308" s="90" t="s">
        <v>88</v>
      </c>
      <c r="F308" s="44" t="s">
        <v>685</v>
      </c>
      <c r="G308" s="89" t="s">
        <v>40</v>
      </c>
      <c r="H308" s="589">
        <v>152.07490999999999</v>
      </c>
      <c r="I308" s="89">
        <v>1</v>
      </c>
      <c r="J308" s="589">
        <v>152.07490999999999</v>
      </c>
      <c r="K308" s="589">
        <v>152.07490999999999</v>
      </c>
      <c r="L308" s="89">
        <v>1</v>
      </c>
      <c r="M308" s="589">
        <v>152.07490999999999</v>
      </c>
      <c r="N308" s="6" t="s">
        <v>688</v>
      </c>
      <c r="O308" s="88">
        <v>45289</v>
      </c>
      <c r="P308" s="33" t="str">
        <f>HYPERLINK("https://my.zakupivli.pro/remote/dispatcher/state_purchase_view/48216345", "UA-2024-01-08-003981-a")</f>
        <v>UA-2024-01-08-003981-a</v>
      </c>
      <c r="Q308" s="89">
        <v>152.07490999999999</v>
      </c>
      <c r="R308" s="89">
        <v>1</v>
      </c>
      <c r="S308" s="89">
        <v>152.07490999999999</v>
      </c>
      <c r="T308" s="88">
        <v>45299</v>
      </c>
      <c r="U308" s="89"/>
      <c r="V308" s="89" t="s">
        <v>59</v>
      </c>
    </row>
    <row r="309" spans="1:22" ht="62.4" x14ac:dyDescent="0.3">
      <c r="A309" s="89">
        <v>306</v>
      </c>
      <c r="B309" s="90" t="s">
        <v>21</v>
      </c>
      <c r="C309" s="94" t="s">
        <v>689</v>
      </c>
      <c r="D309" s="89"/>
      <c r="E309" s="90" t="s">
        <v>75</v>
      </c>
      <c r="F309" s="50" t="s">
        <v>63</v>
      </c>
      <c r="G309" s="90" t="s">
        <v>186</v>
      </c>
      <c r="H309" s="589"/>
      <c r="I309" s="89">
        <v>2</v>
      </c>
      <c r="J309" s="589">
        <v>82.954999999999998</v>
      </c>
      <c r="K309" s="589"/>
      <c r="L309" s="89">
        <v>2</v>
      </c>
      <c r="M309" s="589">
        <v>82.954999999999998</v>
      </c>
      <c r="N309" s="6" t="s">
        <v>690</v>
      </c>
      <c r="O309" s="88">
        <v>45302</v>
      </c>
      <c r="P309" s="42" t="str">
        <f>HYPERLINK("https://my.zakupivli.pro/remote/dispatcher/state_purchase_view/48292143", "UA-2024-01-11-008391-a")</f>
        <v>UA-2024-01-11-008391-a</v>
      </c>
      <c r="Q309" s="89"/>
      <c r="R309" s="89">
        <v>2</v>
      </c>
      <c r="S309" s="90">
        <v>82.954999999999998</v>
      </c>
      <c r="T309" s="88">
        <v>45302</v>
      </c>
      <c r="U309" s="89"/>
      <c r="V309" s="90" t="s">
        <v>59</v>
      </c>
    </row>
    <row r="310" spans="1:22" ht="78" x14ac:dyDescent="0.3">
      <c r="A310" s="89">
        <v>307</v>
      </c>
      <c r="B310" s="90" t="s">
        <v>40</v>
      </c>
      <c r="C310" s="44" t="s">
        <v>41</v>
      </c>
      <c r="D310" s="89"/>
      <c r="E310" s="446" t="s">
        <v>20</v>
      </c>
      <c r="F310" s="44" t="s">
        <v>691</v>
      </c>
      <c r="G310" s="90" t="s">
        <v>40</v>
      </c>
      <c r="H310" s="589">
        <v>91.408479999999997</v>
      </c>
      <c r="I310" s="90">
        <v>1</v>
      </c>
      <c r="J310" s="589">
        <v>91.408479999999997</v>
      </c>
      <c r="K310" s="589">
        <v>91.408479999999997</v>
      </c>
      <c r="L310" s="90">
        <v>1</v>
      </c>
      <c r="M310" s="589">
        <v>91.408479999999997</v>
      </c>
      <c r="N310" s="6" t="s">
        <v>693</v>
      </c>
      <c r="O310" s="88">
        <v>45303</v>
      </c>
      <c r="P310" s="33" t="str">
        <f>HYPERLINK("https://my.zakupivli.pro/remote/dispatcher/state_purchase_view/48324796", "UA-2024-01-12-010003-a")</f>
        <v>UA-2024-01-12-010003-a</v>
      </c>
      <c r="Q310" s="90">
        <v>91.408479999999997</v>
      </c>
      <c r="R310" s="90">
        <v>1</v>
      </c>
      <c r="S310" s="90">
        <v>91.408479999999997</v>
      </c>
      <c r="T310" s="91">
        <v>45303</v>
      </c>
      <c r="U310" s="89"/>
      <c r="V310" s="90" t="s">
        <v>59</v>
      </c>
    </row>
    <row r="311" spans="1:22" ht="78" x14ac:dyDescent="0.3">
      <c r="A311" s="89">
        <v>308</v>
      </c>
      <c r="B311" s="90" t="s">
        <v>40</v>
      </c>
      <c r="C311" s="44" t="s">
        <v>41</v>
      </c>
      <c r="D311" s="89"/>
      <c r="E311" s="446" t="s">
        <v>20</v>
      </c>
      <c r="F311" s="44" t="s">
        <v>692</v>
      </c>
      <c r="G311" s="90" t="s">
        <v>40</v>
      </c>
      <c r="H311" s="589">
        <v>99.077370000000002</v>
      </c>
      <c r="I311" s="90">
        <v>1</v>
      </c>
      <c r="J311" s="589">
        <v>99.077370000000002</v>
      </c>
      <c r="K311" s="589">
        <v>99.077370000000002</v>
      </c>
      <c r="L311" s="90">
        <v>1</v>
      </c>
      <c r="M311" s="589">
        <v>99.077370000000002</v>
      </c>
      <c r="N311" s="6" t="s">
        <v>694</v>
      </c>
      <c r="O311" s="91">
        <v>45303</v>
      </c>
      <c r="P311" s="33" t="str">
        <f>HYPERLINK("https://my.zakupivli.pro/remote/dispatcher/state_purchase_view/48324529", "UA-2024-01-12-009909-a")</f>
        <v>UA-2024-01-12-009909-a</v>
      </c>
      <c r="Q311" s="90">
        <v>99.077370000000002</v>
      </c>
      <c r="R311" s="90">
        <v>1</v>
      </c>
      <c r="S311" s="90">
        <v>99.077370000000002</v>
      </c>
      <c r="T311" s="91">
        <v>45303</v>
      </c>
      <c r="U311" s="89"/>
      <c r="V311" s="90" t="s">
        <v>59</v>
      </c>
    </row>
    <row r="312" spans="1:22" ht="62.4" x14ac:dyDescent="0.3">
      <c r="A312" s="92">
        <v>309</v>
      </c>
      <c r="B312" s="92" t="s">
        <v>21</v>
      </c>
      <c r="C312" s="98" t="s">
        <v>689</v>
      </c>
      <c r="D312" s="92"/>
      <c r="E312" s="92" t="s">
        <v>75</v>
      </c>
      <c r="F312" s="97" t="s">
        <v>695</v>
      </c>
      <c r="G312" s="92" t="s">
        <v>187</v>
      </c>
      <c r="H312" s="589"/>
      <c r="I312" s="92">
        <v>220</v>
      </c>
      <c r="J312" s="589">
        <v>276.04599999999999</v>
      </c>
      <c r="K312" s="589"/>
      <c r="L312" s="92">
        <v>220</v>
      </c>
      <c r="M312" s="589">
        <v>276.04599999999999</v>
      </c>
      <c r="N312" s="6" t="s">
        <v>696</v>
      </c>
      <c r="O312" s="93">
        <v>45303</v>
      </c>
      <c r="P312" s="33" t="str">
        <f>HYPERLINK("https://my.zakupivli.pro/remote/dispatcher/state_purchase_view/48328503", "UA-2024-01-13-000371-a")</f>
        <v>UA-2024-01-13-000371-a</v>
      </c>
      <c r="Q312" s="92"/>
      <c r="R312" s="92">
        <v>220</v>
      </c>
      <c r="S312" s="92">
        <v>276.04599999999999</v>
      </c>
      <c r="T312" s="93">
        <v>45303</v>
      </c>
      <c r="U312" s="92"/>
      <c r="V312" s="92" t="s">
        <v>59</v>
      </c>
    </row>
    <row r="313" spans="1:22" ht="62.4" x14ac:dyDescent="0.3">
      <c r="A313" s="92">
        <v>310</v>
      </c>
      <c r="B313" s="92" t="s">
        <v>21</v>
      </c>
      <c r="C313" s="98" t="s">
        <v>689</v>
      </c>
      <c r="D313" s="92"/>
      <c r="E313" s="92" t="s">
        <v>75</v>
      </c>
      <c r="F313" s="92" t="s">
        <v>697</v>
      </c>
      <c r="G313" s="92" t="s">
        <v>185</v>
      </c>
      <c r="H313" s="589"/>
      <c r="I313" s="92">
        <v>200</v>
      </c>
      <c r="J313" s="589">
        <v>1105</v>
      </c>
      <c r="K313" s="589"/>
      <c r="L313" s="92">
        <v>200</v>
      </c>
      <c r="M313" s="589">
        <v>1105</v>
      </c>
      <c r="N313" s="6" t="s">
        <v>698</v>
      </c>
      <c r="O313" s="93">
        <v>45303</v>
      </c>
      <c r="P313" s="33" t="str">
        <f>HYPERLINK("https://my.zakupivli.pro/remote/dispatcher/state_purchase_view/48328528", "UA-2024-01-13-000381-a")</f>
        <v>UA-2024-01-13-000381-a</v>
      </c>
      <c r="Q313" s="92"/>
      <c r="R313" s="92">
        <v>200</v>
      </c>
      <c r="S313" s="92">
        <v>1105</v>
      </c>
      <c r="T313" s="93">
        <v>45303</v>
      </c>
      <c r="U313" s="92"/>
      <c r="V313" s="92" t="s">
        <v>59</v>
      </c>
    </row>
    <row r="314" spans="1:22" ht="78" x14ac:dyDescent="0.3">
      <c r="A314" s="95">
        <v>311</v>
      </c>
      <c r="B314" s="95" t="s">
        <v>40</v>
      </c>
      <c r="C314" s="44" t="s">
        <v>73</v>
      </c>
      <c r="D314" s="95"/>
      <c r="E314" s="95" t="s">
        <v>75</v>
      </c>
      <c r="F314" s="44" t="s">
        <v>699</v>
      </c>
      <c r="G314" s="95" t="s">
        <v>40</v>
      </c>
      <c r="H314" s="589">
        <v>383.87344000000002</v>
      </c>
      <c r="I314" s="95">
        <v>1</v>
      </c>
      <c r="J314" s="589">
        <v>383.87344000000002</v>
      </c>
      <c r="K314" s="589">
        <v>383.87344000000002</v>
      </c>
      <c r="L314" s="95">
        <v>1</v>
      </c>
      <c r="M314" s="589">
        <v>383.87344000000002</v>
      </c>
      <c r="N314" s="6" t="s">
        <v>701</v>
      </c>
      <c r="O314" s="96">
        <v>45308</v>
      </c>
      <c r="P314" s="33" t="str">
        <f>HYPERLINK("https://my.zakupivli.pro/remote/dispatcher/state_purchase_view/48409874", "UA-2024-01-17-000623-a")</f>
        <v>UA-2024-01-17-000623-a</v>
      </c>
      <c r="Q314" s="95">
        <v>383.87344000000002</v>
      </c>
      <c r="R314" s="95">
        <v>1</v>
      </c>
      <c r="S314" s="95">
        <v>383.87344000000002</v>
      </c>
      <c r="T314" s="96">
        <v>45308</v>
      </c>
      <c r="U314" s="95"/>
      <c r="V314" s="95" t="s">
        <v>59</v>
      </c>
    </row>
    <row r="315" spans="1:22" ht="78" x14ac:dyDescent="0.3">
      <c r="A315" s="95">
        <v>312</v>
      </c>
      <c r="B315" s="95" t="s">
        <v>40</v>
      </c>
      <c r="C315" s="44" t="s">
        <v>73</v>
      </c>
      <c r="D315" s="95"/>
      <c r="E315" s="95" t="s">
        <v>75</v>
      </c>
      <c r="F315" s="44" t="s">
        <v>700</v>
      </c>
      <c r="G315" s="95" t="s">
        <v>40</v>
      </c>
      <c r="H315" s="589">
        <v>150.13192000000001</v>
      </c>
      <c r="I315" s="95">
        <v>1</v>
      </c>
      <c r="J315" s="589">
        <v>150.13192000000001</v>
      </c>
      <c r="K315" s="589">
        <v>150.13192000000001</v>
      </c>
      <c r="L315" s="95">
        <v>1</v>
      </c>
      <c r="M315" s="589">
        <v>150.13192000000001</v>
      </c>
      <c r="N315" s="6" t="s">
        <v>702</v>
      </c>
      <c r="O315" s="96">
        <v>45308</v>
      </c>
      <c r="P315" s="33" t="str">
        <f>HYPERLINK("https://my.zakupivli.pro/remote/dispatcher/state_purchase_view/48409206", "UA-2024-01-17-000372-a")</f>
        <v>UA-2024-01-17-000372-a</v>
      </c>
      <c r="Q315" s="95">
        <v>150.13192000000001</v>
      </c>
      <c r="R315" s="95">
        <v>1</v>
      </c>
      <c r="S315" s="95">
        <v>150.13192000000001</v>
      </c>
      <c r="T315" s="96">
        <v>45308</v>
      </c>
      <c r="U315" s="95"/>
      <c r="V315" s="95" t="s">
        <v>59</v>
      </c>
    </row>
    <row r="316" spans="1:22" ht="62.4" x14ac:dyDescent="0.3">
      <c r="A316" s="95">
        <v>313</v>
      </c>
      <c r="B316" s="95" t="s">
        <v>40</v>
      </c>
      <c r="C316" s="44" t="s">
        <v>73</v>
      </c>
      <c r="D316" s="95"/>
      <c r="E316" s="95" t="s">
        <v>75</v>
      </c>
      <c r="F316" s="44" t="s">
        <v>703</v>
      </c>
      <c r="G316" s="95" t="s">
        <v>40</v>
      </c>
      <c r="H316" s="589">
        <v>243.79064</v>
      </c>
      <c r="I316" s="95">
        <v>1</v>
      </c>
      <c r="J316" s="589">
        <v>243.79064</v>
      </c>
      <c r="K316" s="589">
        <v>243.79064</v>
      </c>
      <c r="L316" s="95">
        <v>1</v>
      </c>
      <c r="M316" s="589">
        <v>243.79064</v>
      </c>
      <c r="N316" s="6" t="s">
        <v>704</v>
      </c>
      <c r="O316" s="96">
        <v>45308</v>
      </c>
      <c r="P316" s="33" t="str">
        <f>HYPERLINK("https://my.zakupivli.pro/remote/dispatcher/state_purchase_view/48421027", "UA-2024-01-17-005247-a")</f>
        <v>UA-2024-01-17-005247-a</v>
      </c>
      <c r="Q316" s="95">
        <v>243.79064</v>
      </c>
      <c r="R316" s="95">
        <v>1</v>
      </c>
      <c r="S316" s="95">
        <v>243.79064</v>
      </c>
      <c r="T316" s="96">
        <v>45308</v>
      </c>
      <c r="U316" s="95"/>
      <c r="V316" s="95" t="s">
        <v>59</v>
      </c>
    </row>
    <row r="317" spans="1:22" ht="66" x14ac:dyDescent="0.3">
      <c r="A317" s="100">
        <v>314</v>
      </c>
      <c r="B317" s="100" t="s">
        <v>21</v>
      </c>
      <c r="C317" s="50" t="s">
        <v>176</v>
      </c>
      <c r="D317" s="100"/>
      <c r="E317" s="100" t="s">
        <v>88</v>
      </c>
      <c r="F317" s="83" t="s">
        <v>705</v>
      </c>
      <c r="G317" s="100" t="s">
        <v>186</v>
      </c>
      <c r="H317" s="589"/>
      <c r="I317" s="100">
        <v>9</v>
      </c>
      <c r="J317" s="589">
        <v>1715.4</v>
      </c>
      <c r="K317" s="589"/>
      <c r="L317" s="100">
        <v>9</v>
      </c>
      <c r="M317" s="589">
        <v>1715.4</v>
      </c>
      <c r="N317" s="6" t="s">
        <v>706</v>
      </c>
      <c r="O317" s="99">
        <v>45309</v>
      </c>
      <c r="P317" s="42" t="str">
        <f>HYPERLINK("https://my.zakupivli.pro/remote/dispatcher/state_purchase_view/48458403", "UA-2024-01-18-003325-a")</f>
        <v>UA-2024-01-18-003325-a</v>
      </c>
      <c r="Q317" s="100"/>
      <c r="R317" s="100">
        <v>9</v>
      </c>
      <c r="S317" s="100">
        <v>1715.4</v>
      </c>
      <c r="T317" s="99">
        <v>45329</v>
      </c>
      <c r="U317" s="100"/>
      <c r="V317" s="100"/>
    </row>
    <row r="318" spans="1:22" ht="62.4" x14ac:dyDescent="0.3">
      <c r="A318" s="100">
        <v>315</v>
      </c>
      <c r="B318" s="100" t="s">
        <v>21</v>
      </c>
      <c r="C318" s="44" t="s">
        <v>180</v>
      </c>
      <c r="D318" s="100"/>
      <c r="E318" s="100" t="s">
        <v>88</v>
      </c>
      <c r="F318" s="44" t="s">
        <v>707</v>
      </c>
      <c r="G318" s="100" t="s">
        <v>186</v>
      </c>
      <c r="H318" s="589"/>
      <c r="I318" s="100">
        <v>5</v>
      </c>
      <c r="J318" s="589">
        <v>2859.8616699999998</v>
      </c>
      <c r="K318" s="589"/>
      <c r="L318" s="100">
        <v>5</v>
      </c>
      <c r="M318" s="589">
        <v>2859.8616699999998</v>
      </c>
      <c r="N318" s="6" t="s">
        <v>708</v>
      </c>
      <c r="O318" s="99">
        <v>45309</v>
      </c>
      <c r="P318" s="33" t="str">
        <f>HYPERLINK("https://my.zakupivli.pro/remote/dispatcher/state_purchase_view/48459128", "UA-2024-01-18-003702-a")</f>
        <v>UA-2024-01-18-003702-a</v>
      </c>
      <c r="Q318" s="100"/>
      <c r="R318" s="100">
        <v>5</v>
      </c>
      <c r="S318" s="100">
        <v>2537.36</v>
      </c>
      <c r="T318" s="99">
        <v>45336</v>
      </c>
      <c r="U318" s="100"/>
      <c r="V318" s="100"/>
    </row>
    <row r="319" spans="1:22" ht="78" x14ac:dyDescent="0.3">
      <c r="A319" s="100">
        <v>316</v>
      </c>
      <c r="B319" s="100" t="s">
        <v>21</v>
      </c>
      <c r="C319" s="41" t="s">
        <v>87</v>
      </c>
      <c r="D319" s="100"/>
      <c r="E319" s="100" t="s">
        <v>88</v>
      </c>
      <c r="F319" s="41" t="s">
        <v>709</v>
      </c>
      <c r="G319" s="100" t="s">
        <v>185</v>
      </c>
      <c r="H319" s="589"/>
      <c r="I319" s="100">
        <v>2</v>
      </c>
      <c r="J319" s="589">
        <v>8058.34</v>
      </c>
      <c r="K319" s="589"/>
      <c r="L319" s="100">
        <v>2</v>
      </c>
      <c r="M319" s="589">
        <v>8058.34</v>
      </c>
      <c r="N319" s="6" t="s">
        <v>710</v>
      </c>
      <c r="O319" s="99">
        <v>45309</v>
      </c>
      <c r="P319" s="42" t="str">
        <f>HYPERLINK("https://my.zakupivli.pro/remote/dispatcher/state_purchase_view/48459984", "UA-2024-01-18-004061-a")</f>
        <v>UA-2024-01-18-004061-a</v>
      </c>
      <c r="Q319" s="100">
        <v>8057.5</v>
      </c>
      <c r="R319" s="100">
        <v>2</v>
      </c>
      <c r="S319" s="123">
        <v>8057.5</v>
      </c>
      <c r="T319" s="99">
        <v>45328</v>
      </c>
      <c r="U319" s="100"/>
      <c r="V319" s="100"/>
    </row>
    <row r="320" spans="1:22" ht="78" x14ac:dyDescent="0.3">
      <c r="A320" s="100">
        <v>317</v>
      </c>
      <c r="B320" s="100" t="s">
        <v>21</v>
      </c>
      <c r="C320" s="44" t="s">
        <v>712</v>
      </c>
      <c r="D320" s="100"/>
      <c r="E320" s="100" t="s">
        <v>88</v>
      </c>
      <c r="F320" s="44" t="s">
        <v>711</v>
      </c>
      <c r="G320" s="100" t="s">
        <v>185</v>
      </c>
      <c r="H320" s="589"/>
      <c r="I320" s="100">
        <v>5</v>
      </c>
      <c r="J320" s="589">
        <v>6031.25</v>
      </c>
      <c r="K320" s="589"/>
      <c r="L320" s="100">
        <v>5</v>
      </c>
      <c r="M320" s="589">
        <v>6031.25</v>
      </c>
      <c r="N320" s="6" t="s">
        <v>713</v>
      </c>
      <c r="O320" s="99">
        <v>45309</v>
      </c>
      <c r="P320" s="33" t="str">
        <f>HYPERLINK("https://my.zakupivli.pro/remote/dispatcher/state_purchase_view/48461006", "UA-2024-01-18-004549-a")</f>
        <v>UA-2024-01-18-004549-a</v>
      </c>
      <c r="Q320" s="100"/>
      <c r="R320" s="100">
        <v>5</v>
      </c>
      <c r="S320" s="117">
        <v>5250</v>
      </c>
      <c r="T320" s="99">
        <v>45330</v>
      </c>
      <c r="U320" s="100"/>
      <c r="V320" s="100"/>
    </row>
    <row r="321" spans="1:22" ht="78" x14ac:dyDescent="0.3">
      <c r="A321" s="100">
        <v>318</v>
      </c>
      <c r="B321" s="100" t="s">
        <v>21</v>
      </c>
      <c r="C321" s="41" t="s">
        <v>412</v>
      </c>
      <c r="D321" s="100"/>
      <c r="E321" s="100" t="s">
        <v>88</v>
      </c>
      <c r="F321" s="41" t="s">
        <v>714</v>
      </c>
      <c r="G321" s="100" t="s">
        <v>187</v>
      </c>
      <c r="H321" s="589">
        <v>470.47</v>
      </c>
      <c r="I321" s="100">
        <v>1</v>
      </c>
      <c r="J321" s="589">
        <v>470.47</v>
      </c>
      <c r="K321" s="589">
        <v>470.47</v>
      </c>
      <c r="L321" s="100">
        <v>1</v>
      </c>
      <c r="M321" s="589">
        <v>470.47</v>
      </c>
      <c r="N321" s="6" t="s">
        <v>715</v>
      </c>
      <c r="O321" s="99">
        <v>45309</v>
      </c>
      <c r="P321" s="33" t="str">
        <f>HYPERLINK("https://my.zakupivli.pro/remote/dispatcher/state_purchase_view/48469762", "UA-2024-01-18-008225-a")</f>
        <v>UA-2024-01-18-008225-a</v>
      </c>
      <c r="Q321" s="100">
        <v>467.92099999999999</v>
      </c>
      <c r="R321" s="100">
        <v>1</v>
      </c>
      <c r="S321" s="123">
        <v>467.92099999999999</v>
      </c>
      <c r="T321" s="99">
        <v>45324</v>
      </c>
      <c r="U321" s="100"/>
      <c r="V321" s="100"/>
    </row>
    <row r="322" spans="1:22" ht="78" x14ac:dyDescent="0.3">
      <c r="A322" s="100">
        <v>319</v>
      </c>
      <c r="B322" s="100" t="s">
        <v>21</v>
      </c>
      <c r="C322" s="44" t="s">
        <v>32</v>
      </c>
      <c r="D322" s="100"/>
      <c r="E322" s="100" t="s">
        <v>88</v>
      </c>
      <c r="F322" s="44" t="s">
        <v>716</v>
      </c>
      <c r="G322" s="100" t="s">
        <v>185</v>
      </c>
      <c r="H322" s="589"/>
      <c r="I322" s="100">
        <v>126</v>
      </c>
      <c r="J322" s="589">
        <v>102.54</v>
      </c>
      <c r="K322" s="589"/>
      <c r="L322" s="100">
        <v>126</v>
      </c>
      <c r="M322" s="589">
        <v>102.54</v>
      </c>
      <c r="N322" s="6" t="s">
        <v>717</v>
      </c>
      <c r="O322" s="99">
        <v>45309</v>
      </c>
      <c r="P322" s="33" t="str">
        <f>HYPERLINK("https://my.zakupivli.pro/remote/dispatcher/state_purchase_view/48479304", "UA-2024-01-18-012259-a")</f>
        <v>UA-2024-01-18-012259-a</v>
      </c>
      <c r="Q322" s="100">
        <v>101.925</v>
      </c>
      <c r="R322" s="100">
        <v>126</v>
      </c>
      <c r="S322" s="123">
        <v>101.925</v>
      </c>
      <c r="T322" s="99">
        <v>45324</v>
      </c>
      <c r="U322" s="100"/>
      <c r="V322" s="100"/>
    </row>
    <row r="323" spans="1:22" ht="93.6" x14ac:dyDescent="0.3">
      <c r="A323" s="100">
        <v>320</v>
      </c>
      <c r="B323" s="100" t="s">
        <v>21</v>
      </c>
      <c r="C323" s="44" t="s">
        <v>87</v>
      </c>
      <c r="D323" s="100"/>
      <c r="E323" s="100" t="s">
        <v>88</v>
      </c>
      <c r="F323" s="41" t="s">
        <v>718</v>
      </c>
      <c r="G323" s="100" t="s">
        <v>185</v>
      </c>
      <c r="H323" s="589">
        <v>8029.17</v>
      </c>
      <c r="I323" s="100">
        <v>1</v>
      </c>
      <c r="J323" s="589">
        <v>8029.17</v>
      </c>
      <c r="K323" s="589">
        <v>8029.17</v>
      </c>
      <c r="L323" s="100">
        <v>1</v>
      </c>
      <c r="M323" s="589">
        <v>8029.17</v>
      </c>
      <c r="N323" s="6" t="s">
        <v>719</v>
      </c>
      <c r="O323" s="99">
        <v>45309</v>
      </c>
      <c r="P323" s="33" t="str">
        <f>HYPERLINK("https://my.zakupivli.pro/remote/dispatcher/state_purchase_view/48484797", "UA-2024-01-18-014724-a")</f>
        <v>UA-2024-01-18-014724-a</v>
      </c>
      <c r="Q323" s="100">
        <v>7996.75</v>
      </c>
      <c r="R323" s="100">
        <v>1</v>
      </c>
      <c r="S323" s="123">
        <v>7996.75</v>
      </c>
      <c r="T323" s="99">
        <v>45328</v>
      </c>
      <c r="U323" s="100"/>
      <c r="V323" s="100"/>
    </row>
    <row r="324" spans="1:22" ht="78" x14ac:dyDescent="0.3">
      <c r="A324" s="100">
        <v>321</v>
      </c>
      <c r="B324" s="100" t="s">
        <v>21</v>
      </c>
      <c r="C324" s="44" t="s">
        <v>87</v>
      </c>
      <c r="D324" s="100"/>
      <c r="E324" s="100" t="s">
        <v>88</v>
      </c>
      <c r="F324" s="44" t="s">
        <v>720</v>
      </c>
      <c r="G324" s="100" t="s">
        <v>185</v>
      </c>
      <c r="H324" s="589"/>
      <c r="I324" s="100">
        <v>2</v>
      </c>
      <c r="J324" s="589">
        <v>2846</v>
      </c>
      <c r="K324" s="589"/>
      <c r="L324" s="100">
        <v>2</v>
      </c>
      <c r="M324" s="589">
        <v>2846</v>
      </c>
      <c r="N324" s="6" t="s">
        <v>721</v>
      </c>
      <c r="O324" s="99">
        <v>45309</v>
      </c>
      <c r="P324" s="33" t="str">
        <f>HYPERLINK("https://my.zakupivli.pro/remote/dispatcher/state_purchase_view/48486803", "UA-2024-01-18-015585-a")</f>
        <v>UA-2024-01-18-015585-a</v>
      </c>
      <c r="Q324" s="100"/>
      <c r="R324" s="100">
        <v>2</v>
      </c>
      <c r="S324" s="117">
        <v>2845</v>
      </c>
      <c r="T324" s="99">
        <v>45336</v>
      </c>
      <c r="U324" s="100"/>
      <c r="V324" s="100"/>
    </row>
    <row r="325" spans="1:22" ht="78" x14ac:dyDescent="0.3">
      <c r="A325" s="100">
        <v>322</v>
      </c>
      <c r="B325" s="100" t="s">
        <v>40</v>
      </c>
      <c r="C325" s="44" t="s">
        <v>41</v>
      </c>
      <c r="D325" s="100"/>
      <c r="E325" s="100" t="s">
        <v>88</v>
      </c>
      <c r="F325" s="44" t="s">
        <v>722</v>
      </c>
      <c r="G325" s="100" t="s">
        <v>184</v>
      </c>
      <c r="H325" s="589">
        <v>17947.93</v>
      </c>
      <c r="I325" s="100">
        <v>1</v>
      </c>
      <c r="J325" s="589">
        <v>17947.93</v>
      </c>
      <c r="K325" s="589">
        <v>17947.93</v>
      </c>
      <c r="L325" s="100">
        <v>1</v>
      </c>
      <c r="M325" s="589">
        <v>17947.93</v>
      </c>
      <c r="N325" s="6" t="s">
        <v>723</v>
      </c>
      <c r="O325" s="99">
        <v>45309</v>
      </c>
      <c r="P325" s="33" t="str">
        <f>HYPERLINK("https://my.zakupivli.pro/remote/dispatcher/state_purchase_view/48486096", "UA-2024-01-18-015306-a")</f>
        <v>UA-2024-01-18-015306-a</v>
      </c>
      <c r="Q325" s="144">
        <v>17719.197950000002</v>
      </c>
      <c r="R325" s="100">
        <v>1</v>
      </c>
      <c r="S325" s="100">
        <v>17719.197950000002</v>
      </c>
      <c r="T325" s="99">
        <v>45342</v>
      </c>
      <c r="U325" s="100"/>
      <c r="V325" s="100"/>
    </row>
    <row r="326" spans="1:22" ht="78" x14ac:dyDescent="0.3">
      <c r="A326" s="100">
        <v>323</v>
      </c>
      <c r="B326" s="100" t="s">
        <v>40</v>
      </c>
      <c r="C326" s="44" t="s">
        <v>41</v>
      </c>
      <c r="D326" s="100"/>
      <c r="E326" s="100" t="s">
        <v>88</v>
      </c>
      <c r="F326" s="44" t="s">
        <v>724</v>
      </c>
      <c r="G326" s="100" t="s">
        <v>184</v>
      </c>
      <c r="H326" s="589">
        <v>20715.400000000001</v>
      </c>
      <c r="I326" s="100">
        <v>1</v>
      </c>
      <c r="J326" s="589">
        <v>20715.400000000001</v>
      </c>
      <c r="K326" s="589">
        <v>20715.400000000001</v>
      </c>
      <c r="L326" s="100">
        <v>1</v>
      </c>
      <c r="M326" s="589">
        <v>20715.400000000001</v>
      </c>
      <c r="N326" s="6" t="s">
        <v>725</v>
      </c>
      <c r="O326" s="99">
        <v>45309</v>
      </c>
      <c r="P326" s="33" t="str">
        <f>HYPERLINK("https://my.zakupivli.pro/remote/dispatcher/state_purchase_view/48488090", "UA-2024-01-18-016148-a")</f>
        <v>UA-2024-01-18-016148-a</v>
      </c>
      <c r="Q326" s="100">
        <v>20706.904699999999</v>
      </c>
      <c r="R326" s="100">
        <v>1</v>
      </c>
      <c r="S326" s="144">
        <v>20706.904699999999</v>
      </c>
      <c r="T326" s="99">
        <v>45345</v>
      </c>
      <c r="U326" s="100"/>
      <c r="V326" s="100"/>
    </row>
    <row r="327" spans="1:22" ht="78" x14ac:dyDescent="0.3">
      <c r="A327" s="100">
        <v>324</v>
      </c>
      <c r="B327" s="100" t="s">
        <v>40</v>
      </c>
      <c r="C327" s="44" t="s">
        <v>41</v>
      </c>
      <c r="D327" s="100"/>
      <c r="E327" s="100" t="s">
        <v>88</v>
      </c>
      <c r="F327" s="44" t="s">
        <v>726</v>
      </c>
      <c r="G327" s="100" t="s">
        <v>184</v>
      </c>
      <c r="H327" s="589">
        <v>21357.49</v>
      </c>
      <c r="I327" s="100">
        <v>1</v>
      </c>
      <c r="J327" s="589">
        <v>21357.49</v>
      </c>
      <c r="K327" s="589">
        <v>21357.49</v>
      </c>
      <c r="L327" s="100">
        <v>1</v>
      </c>
      <c r="M327" s="589">
        <v>21357.49</v>
      </c>
      <c r="N327" s="6" t="s">
        <v>727</v>
      </c>
      <c r="O327" s="99">
        <v>45309</v>
      </c>
      <c r="P327" s="42" t="str">
        <f>HYPERLINK("https://my.zakupivli.pro/remote/dispatcher/state_purchase_view/48492237", "UA-2024-01-19-000255-a")</f>
        <v>UA-2024-01-19-000255-a</v>
      </c>
      <c r="Q327" s="100">
        <v>21344.765879999999</v>
      </c>
      <c r="R327" s="100">
        <v>1</v>
      </c>
      <c r="S327" s="144">
        <v>21344.765879999999</v>
      </c>
      <c r="T327" s="99">
        <v>45342</v>
      </c>
      <c r="U327" s="100"/>
      <c r="V327" s="100"/>
    </row>
    <row r="328" spans="1:22" ht="62.4" x14ac:dyDescent="0.3">
      <c r="A328" s="100">
        <v>325</v>
      </c>
      <c r="B328" s="101" t="s">
        <v>21</v>
      </c>
      <c r="C328" s="44" t="s">
        <v>732</v>
      </c>
      <c r="D328" s="100"/>
      <c r="E328" s="101" t="s">
        <v>75</v>
      </c>
      <c r="F328" s="44" t="s">
        <v>728</v>
      </c>
      <c r="G328" s="105" t="s">
        <v>186</v>
      </c>
      <c r="H328" s="589"/>
      <c r="I328" s="100">
        <v>5</v>
      </c>
      <c r="J328" s="589">
        <v>75.2</v>
      </c>
      <c r="K328" s="589"/>
      <c r="L328" s="100">
        <v>5</v>
      </c>
      <c r="M328" s="589">
        <v>75.2</v>
      </c>
      <c r="N328" s="6" t="s">
        <v>735</v>
      </c>
      <c r="O328" s="99">
        <v>45313</v>
      </c>
      <c r="P328" s="33" t="str">
        <f>HYPERLINK("https://my.zakupivli.pro/remote/dispatcher/state_purchase_view/48567018", "UA-2024-01-22-014388-a")</f>
        <v>UA-2024-01-22-014388-a</v>
      </c>
      <c r="Q328" s="100"/>
      <c r="R328" s="100">
        <v>5</v>
      </c>
      <c r="S328" s="101">
        <v>75.2</v>
      </c>
      <c r="T328" s="102">
        <v>45313</v>
      </c>
      <c r="U328" s="100"/>
      <c r="V328" s="101" t="s">
        <v>59</v>
      </c>
    </row>
    <row r="329" spans="1:22" ht="124.8" x14ac:dyDescent="0.3">
      <c r="A329" s="100">
        <v>326</v>
      </c>
      <c r="B329" s="101" t="s">
        <v>21</v>
      </c>
      <c r="C329" s="44" t="s">
        <v>36</v>
      </c>
      <c r="D329" s="100"/>
      <c r="E329" s="101" t="s">
        <v>75</v>
      </c>
      <c r="F329" s="44" t="s">
        <v>729</v>
      </c>
      <c r="G329" s="105" t="s">
        <v>185</v>
      </c>
      <c r="H329" s="589">
        <v>5.5250000000000004</v>
      </c>
      <c r="I329" s="100">
        <v>170</v>
      </c>
      <c r="J329" s="589">
        <v>939.25</v>
      </c>
      <c r="K329" s="589">
        <v>5.5250000000000004</v>
      </c>
      <c r="L329" s="101">
        <v>170</v>
      </c>
      <c r="M329" s="589">
        <v>939.25</v>
      </c>
      <c r="N329" s="6" t="s">
        <v>736</v>
      </c>
      <c r="O329" s="102">
        <v>45313</v>
      </c>
      <c r="P329" s="33" t="str">
        <f>HYPERLINK("https://my.zakupivli.pro/remote/dispatcher/state_purchase_view/48555711", "UA-2024-01-22-009491-a")</f>
        <v>UA-2024-01-22-009491-a</v>
      </c>
      <c r="Q329" s="101">
        <v>5.5250000000000004</v>
      </c>
      <c r="R329" s="101">
        <v>170</v>
      </c>
      <c r="S329" s="101">
        <v>939.25</v>
      </c>
      <c r="T329" s="102">
        <v>45313</v>
      </c>
      <c r="U329" s="100"/>
      <c r="V329" s="101" t="s">
        <v>59</v>
      </c>
    </row>
    <row r="330" spans="1:22" ht="62.4" x14ac:dyDescent="0.3">
      <c r="A330" s="101">
        <v>327</v>
      </c>
      <c r="B330" s="101" t="s">
        <v>21</v>
      </c>
      <c r="C330" s="44" t="s">
        <v>733</v>
      </c>
      <c r="D330" s="101"/>
      <c r="E330" s="101" t="s">
        <v>75</v>
      </c>
      <c r="F330" s="44" t="s">
        <v>730</v>
      </c>
      <c r="G330" s="101" t="s">
        <v>737</v>
      </c>
      <c r="H330" s="589">
        <v>0.39800000000000002</v>
      </c>
      <c r="I330" s="101">
        <v>168</v>
      </c>
      <c r="J330" s="589">
        <v>66.864000000000004</v>
      </c>
      <c r="K330" s="589">
        <v>0.39800000000000002</v>
      </c>
      <c r="L330" s="101">
        <v>168</v>
      </c>
      <c r="M330" s="589">
        <v>66.864000000000004</v>
      </c>
      <c r="N330" s="6" t="s">
        <v>738</v>
      </c>
      <c r="O330" s="102">
        <v>45313</v>
      </c>
      <c r="P330" s="33" t="str">
        <f>HYPERLINK("https://my.zakupivli.pro/remote/dispatcher/state_purchase_view/48552651", "UA-2024-01-22-008156-a")</f>
        <v>UA-2024-01-22-008156-a</v>
      </c>
      <c r="Q330" s="101">
        <v>0.39800000000000002</v>
      </c>
      <c r="R330" s="101">
        <v>168</v>
      </c>
      <c r="S330" s="101">
        <v>66.864000000000004</v>
      </c>
      <c r="T330" s="102">
        <v>45313</v>
      </c>
      <c r="U330" s="101"/>
      <c r="V330" s="101" t="s">
        <v>59</v>
      </c>
    </row>
    <row r="331" spans="1:22" ht="62.4" x14ac:dyDescent="0.3">
      <c r="A331" s="101">
        <v>328</v>
      </c>
      <c r="B331" s="101" t="s">
        <v>21</v>
      </c>
      <c r="C331" s="44" t="s">
        <v>734</v>
      </c>
      <c r="D331" s="101"/>
      <c r="E331" s="101" t="s">
        <v>75</v>
      </c>
      <c r="F331" s="44" t="s">
        <v>731</v>
      </c>
      <c r="G331" s="101" t="s">
        <v>185</v>
      </c>
      <c r="H331" s="589">
        <v>9.1739999999999995</v>
      </c>
      <c r="I331" s="101">
        <v>8</v>
      </c>
      <c r="J331" s="589">
        <v>73.391999999999996</v>
      </c>
      <c r="K331" s="589">
        <v>9.1739999999999995</v>
      </c>
      <c r="L331" s="101">
        <v>8</v>
      </c>
      <c r="M331" s="589">
        <v>73.391999999999996</v>
      </c>
      <c r="N331" s="6" t="s">
        <v>739</v>
      </c>
      <c r="O331" s="102">
        <v>45313</v>
      </c>
      <c r="P331" s="33" t="str">
        <f>HYPERLINK("https://my.zakupivli.pro/remote/dispatcher/state_purchase_view/48552028", "UA-2024-01-22-007945-a")</f>
        <v>UA-2024-01-22-007945-a</v>
      </c>
      <c r="Q331" s="101">
        <v>9.1739999999999995</v>
      </c>
      <c r="R331" s="101">
        <v>8</v>
      </c>
      <c r="S331" s="101">
        <v>73.391999999999996</v>
      </c>
      <c r="T331" s="102">
        <v>45313</v>
      </c>
      <c r="U331" s="101"/>
      <c r="V331" s="101" t="s">
        <v>59</v>
      </c>
    </row>
    <row r="332" spans="1:22" ht="62.4" x14ac:dyDescent="0.3">
      <c r="A332" s="103">
        <v>329</v>
      </c>
      <c r="B332" s="103" t="s">
        <v>40</v>
      </c>
      <c r="C332" s="41" t="s">
        <v>41</v>
      </c>
      <c r="D332" s="103"/>
      <c r="E332" s="103" t="s">
        <v>88</v>
      </c>
      <c r="F332" s="44" t="s">
        <v>740</v>
      </c>
      <c r="G332" s="103" t="s">
        <v>184</v>
      </c>
      <c r="H332" s="589">
        <v>408.37324000000001</v>
      </c>
      <c r="I332" s="103">
        <v>1</v>
      </c>
      <c r="J332" s="589">
        <v>408.37324000000001</v>
      </c>
      <c r="K332" s="589">
        <v>408.37324000000001</v>
      </c>
      <c r="L332" s="103">
        <v>1</v>
      </c>
      <c r="M332" s="589">
        <v>408.37324000000001</v>
      </c>
      <c r="N332" s="6" t="s">
        <v>741</v>
      </c>
      <c r="O332" s="104">
        <v>45314</v>
      </c>
      <c r="P332" s="42" t="str">
        <f>HYPERLINK("https://my.zakupivli.pro/remote/dispatcher/state_purchase_view/48603959", "UA-2024-01-23-013208-a")</f>
        <v>UA-2024-01-23-013208-a</v>
      </c>
      <c r="Q332" s="103">
        <v>408.37324000000001</v>
      </c>
      <c r="R332" s="103">
        <v>1</v>
      </c>
      <c r="S332" s="103">
        <v>408.37324000000001</v>
      </c>
      <c r="T332" s="104">
        <v>45314</v>
      </c>
      <c r="U332" s="103"/>
      <c r="V332" s="103" t="s">
        <v>59</v>
      </c>
    </row>
    <row r="333" spans="1:22" ht="31.2" x14ac:dyDescent="0.3">
      <c r="A333" s="103">
        <v>330</v>
      </c>
      <c r="B333" s="103" t="s">
        <v>21</v>
      </c>
      <c r="C333" s="44" t="s">
        <v>36</v>
      </c>
      <c r="D333" s="110" t="s">
        <v>58</v>
      </c>
      <c r="E333" s="103" t="s">
        <v>75</v>
      </c>
      <c r="F333" s="44" t="s">
        <v>742</v>
      </c>
      <c r="G333" s="103" t="s">
        <v>186</v>
      </c>
      <c r="I333" s="103">
        <v>134</v>
      </c>
      <c r="J333" s="589">
        <v>11125</v>
      </c>
      <c r="K333" s="589"/>
      <c r="L333" s="103">
        <v>134</v>
      </c>
      <c r="M333" s="589">
        <v>11125</v>
      </c>
      <c r="N333" s="6" t="s">
        <v>747</v>
      </c>
      <c r="O333" s="104">
        <v>45314</v>
      </c>
      <c r="P333" s="33" t="str">
        <f>HYPERLINK("https://my.zakupivli.pro/remote/dispatcher/state_purchase_view/48579121", "UA-2024-01-23-002308-a")</f>
        <v>UA-2024-01-23-002308-a</v>
      </c>
      <c r="Q333" s="103"/>
      <c r="R333" s="103">
        <v>134</v>
      </c>
      <c r="S333" s="103">
        <v>10885.87895</v>
      </c>
      <c r="T333" s="104">
        <v>45343</v>
      </c>
      <c r="U333" s="103"/>
      <c r="V333" s="103"/>
    </row>
    <row r="334" spans="1:22" ht="78" x14ac:dyDescent="0.3">
      <c r="A334" s="103">
        <v>331</v>
      </c>
      <c r="B334" s="103" t="s">
        <v>21</v>
      </c>
      <c r="C334" s="44" t="s">
        <v>36</v>
      </c>
      <c r="D334" s="110" t="s">
        <v>58</v>
      </c>
      <c r="E334" s="103" t="s">
        <v>75</v>
      </c>
      <c r="F334" s="44" t="s">
        <v>743</v>
      </c>
      <c r="G334" s="103" t="s">
        <v>186</v>
      </c>
      <c r="H334" s="589"/>
      <c r="I334" s="103">
        <v>9</v>
      </c>
      <c r="J334" s="589">
        <v>1481.752</v>
      </c>
      <c r="K334" s="589"/>
      <c r="L334" s="103">
        <v>9</v>
      </c>
      <c r="M334" s="589">
        <v>1481.752</v>
      </c>
      <c r="N334" s="6" t="s">
        <v>747</v>
      </c>
      <c r="O334" s="104">
        <v>45314</v>
      </c>
      <c r="P334" s="33" t="str">
        <f>HYPERLINK("https://my.zakupivli.pro/remote/dispatcher/state_purchase_view/48579121", "UA-2024-01-23-002308-a")</f>
        <v>UA-2024-01-23-002308-a</v>
      </c>
      <c r="Q334" s="103"/>
      <c r="R334" s="103"/>
      <c r="S334" s="103"/>
      <c r="T334" s="104"/>
      <c r="U334" s="144" t="s">
        <v>93</v>
      </c>
      <c r="V334" s="103"/>
    </row>
    <row r="335" spans="1:22" ht="31.2" x14ac:dyDescent="0.3">
      <c r="A335" s="103">
        <v>332</v>
      </c>
      <c r="B335" s="103" t="s">
        <v>21</v>
      </c>
      <c r="C335" s="44" t="s">
        <v>36</v>
      </c>
      <c r="D335" s="110" t="s">
        <v>58</v>
      </c>
      <c r="E335" s="446" t="s">
        <v>20</v>
      </c>
      <c r="F335" s="44" t="s">
        <v>744</v>
      </c>
      <c r="G335" s="103" t="s">
        <v>186</v>
      </c>
      <c r="H335" s="589"/>
      <c r="I335" s="103">
        <v>2</v>
      </c>
      <c r="J335" s="589">
        <v>14787.21666</v>
      </c>
      <c r="K335" s="589"/>
      <c r="L335" s="103">
        <v>2</v>
      </c>
      <c r="M335" s="589">
        <v>14787.21666</v>
      </c>
      <c r="N335" s="6" t="s">
        <v>747</v>
      </c>
      <c r="O335" s="104">
        <v>45314</v>
      </c>
      <c r="P335" s="33" t="str">
        <f>HYPERLINK("https://my.zakupivli.pro/remote/dispatcher/state_purchase_view/48579121", "UA-2024-01-23-002308-a")</f>
        <v>UA-2024-01-23-002308-a</v>
      </c>
      <c r="Q335" s="103"/>
      <c r="R335" s="103">
        <v>2</v>
      </c>
      <c r="S335" s="103">
        <v>10904.4</v>
      </c>
      <c r="T335" s="104">
        <v>45343</v>
      </c>
      <c r="U335" s="103"/>
      <c r="V335" s="103"/>
    </row>
    <row r="336" spans="1:22" ht="31.2" x14ac:dyDescent="0.3">
      <c r="A336" s="103">
        <v>333</v>
      </c>
      <c r="B336" s="103" t="s">
        <v>21</v>
      </c>
      <c r="C336" s="44" t="s">
        <v>36</v>
      </c>
      <c r="D336" s="110" t="s">
        <v>58</v>
      </c>
      <c r="E336" s="103" t="s">
        <v>75</v>
      </c>
      <c r="F336" s="44" t="s">
        <v>745</v>
      </c>
      <c r="G336" s="103" t="s">
        <v>186</v>
      </c>
      <c r="H336" s="589"/>
      <c r="I336" s="103">
        <v>2</v>
      </c>
      <c r="J336" s="589">
        <v>267.56599999999997</v>
      </c>
      <c r="K336" s="589"/>
      <c r="L336" s="103">
        <v>2</v>
      </c>
      <c r="M336" s="589">
        <v>267.56599999999997</v>
      </c>
      <c r="N336" s="6" t="s">
        <v>747</v>
      </c>
      <c r="O336" s="104">
        <v>45314</v>
      </c>
      <c r="P336" s="33" t="str">
        <f>HYPERLINK("https://my.zakupivli.pro/remote/dispatcher/state_purchase_view/48579121", "UA-2024-01-23-002308-a")</f>
        <v>UA-2024-01-23-002308-a</v>
      </c>
      <c r="Q336" s="103"/>
      <c r="R336" s="103">
        <v>2</v>
      </c>
      <c r="S336" s="103">
        <v>243.166</v>
      </c>
      <c r="T336" s="104">
        <v>45343</v>
      </c>
      <c r="U336" s="103"/>
      <c r="V336" s="103"/>
    </row>
    <row r="337" spans="1:22" ht="31.2" x14ac:dyDescent="0.3">
      <c r="A337" s="103">
        <v>334</v>
      </c>
      <c r="B337" s="103" t="s">
        <v>21</v>
      </c>
      <c r="C337" s="44" t="s">
        <v>36</v>
      </c>
      <c r="D337" s="110" t="s">
        <v>58</v>
      </c>
      <c r="E337" s="103" t="s">
        <v>75</v>
      </c>
      <c r="F337" s="44" t="s">
        <v>746</v>
      </c>
      <c r="G337" s="103" t="s">
        <v>186</v>
      </c>
      <c r="H337" s="589"/>
      <c r="I337" s="103">
        <v>3</v>
      </c>
      <c r="J337" s="589">
        <v>3913.74</v>
      </c>
      <c r="K337" s="589"/>
      <c r="L337" s="103">
        <v>3</v>
      </c>
      <c r="M337" s="589">
        <v>3913.74</v>
      </c>
      <c r="N337" s="6" t="s">
        <v>747</v>
      </c>
      <c r="O337" s="104">
        <v>45314</v>
      </c>
      <c r="P337" s="33" t="str">
        <f>HYPERLINK("https://my.zakupivli.pro/remote/dispatcher/state_purchase_view/48579121", "UA-2024-01-23-002308-a")</f>
        <v>UA-2024-01-23-002308-a</v>
      </c>
      <c r="Q337" s="103"/>
      <c r="R337" s="103">
        <v>3</v>
      </c>
      <c r="S337" s="103">
        <v>3663.4537999999998</v>
      </c>
      <c r="T337" s="104">
        <v>45343</v>
      </c>
      <c r="U337" s="103"/>
      <c r="V337" s="103"/>
    </row>
    <row r="338" spans="1:22" ht="62.4" x14ac:dyDescent="0.3">
      <c r="A338" s="106">
        <v>335</v>
      </c>
      <c r="B338" s="106" t="s">
        <v>40</v>
      </c>
      <c r="C338" s="44" t="s">
        <v>73</v>
      </c>
      <c r="D338" s="106"/>
      <c r="E338" s="106" t="s">
        <v>75</v>
      </c>
      <c r="F338" s="44" t="s">
        <v>748</v>
      </c>
      <c r="G338" s="106" t="s">
        <v>184</v>
      </c>
      <c r="H338" s="589">
        <v>315</v>
      </c>
      <c r="I338" s="106">
        <v>1</v>
      </c>
      <c r="J338" s="589">
        <v>315</v>
      </c>
      <c r="K338" s="589">
        <v>315</v>
      </c>
      <c r="L338" s="106">
        <v>1</v>
      </c>
      <c r="M338" s="589">
        <v>315</v>
      </c>
      <c r="N338" s="6" t="s">
        <v>749</v>
      </c>
      <c r="O338" s="107">
        <v>45315</v>
      </c>
      <c r="P338" s="33" t="str">
        <f>HYPERLINK("https://my.zakupivli.pro/remote/dispatcher/state_purchase_view/48628967", "UA-2024-01-24-005968-a")</f>
        <v>UA-2024-01-24-005968-a</v>
      </c>
      <c r="Q338" s="87">
        <v>315</v>
      </c>
      <c r="R338" s="106">
        <v>1</v>
      </c>
      <c r="S338" s="87">
        <v>315</v>
      </c>
      <c r="T338" s="107">
        <v>45315</v>
      </c>
      <c r="U338" s="106"/>
      <c r="V338" s="106" t="s">
        <v>59</v>
      </c>
    </row>
    <row r="339" spans="1:22" ht="43.2" x14ac:dyDescent="0.3">
      <c r="A339" s="108">
        <v>336</v>
      </c>
      <c r="B339" s="108" t="s">
        <v>21</v>
      </c>
      <c r="C339" s="44" t="s">
        <v>30</v>
      </c>
      <c r="D339" s="110" t="s">
        <v>58</v>
      </c>
      <c r="E339" s="108" t="s">
        <v>75</v>
      </c>
      <c r="F339" s="44" t="s">
        <v>750</v>
      </c>
      <c r="G339" s="108" t="s">
        <v>186</v>
      </c>
      <c r="H339" s="589"/>
      <c r="I339" s="108">
        <v>106</v>
      </c>
      <c r="J339" s="589">
        <v>5583.3329999999996</v>
      </c>
      <c r="K339" s="589"/>
      <c r="L339" s="108">
        <v>106</v>
      </c>
      <c r="M339" s="589">
        <v>5583.3329999999996</v>
      </c>
      <c r="N339" s="6" t="s">
        <v>753</v>
      </c>
      <c r="O339" s="109">
        <v>45315</v>
      </c>
      <c r="P339" s="33" t="str">
        <f>HYPERLINK("https://my.zakupivli.pro/remote/dispatcher/state_purchase_view/48638355", "UA-2024-01-24-010255-a")</f>
        <v>UA-2024-01-24-010255-a</v>
      </c>
      <c r="Q339" s="108"/>
      <c r="R339" s="108">
        <v>106</v>
      </c>
      <c r="S339" s="108">
        <v>5539.33025</v>
      </c>
      <c r="T339" s="109">
        <v>45336</v>
      </c>
      <c r="U339" s="108"/>
      <c r="V339" s="108"/>
    </row>
    <row r="340" spans="1:22" ht="43.2" x14ac:dyDescent="0.3">
      <c r="A340" s="108">
        <v>337</v>
      </c>
      <c r="B340" s="108" t="s">
        <v>21</v>
      </c>
      <c r="C340" s="44" t="s">
        <v>30</v>
      </c>
      <c r="D340" s="110" t="s">
        <v>58</v>
      </c>
      <c r="E340" s="108" t="s">
        <v>75</v>
      </c>
      <c r="F340" s="44" t="s">
        <v>751</v>
      </c>
      <c r="G340" s="108" t="s">
        <v>186</v>
      </c>
      <c r="H340" s="589"/>
      <c r="I340" s="108">
        <v>92</v>
      </c>
      <c r="J340" s="589">
        <v>779.19165799999996</v>
      </c>
      <c r="K340" s="589"/>
      <c r="L340" s="108">
        <v>92</v>
      </c>
      <c r="M340" s="589">
        <v>779.19165799999996</v>
      </c>
      <c r="N340" s="6" t="s">
        <v>754</v>
      </c>
      <c r="O340" s="109">
        <v>45315</v>
      </c>
      <c r="P340" s="33" t="str">
        <f>HYPERLINK("https://my.zakupivli.pro/remote/dispatcher/state_purchase_view/48638355", "UA-2024-01-24-010255-a")</f>
        <v>UA-2024-01-24-010255-a</v>
      </c>
      <c r="Q340" s="108"/>
      <c r="R340" s="108">
        <v>92</v>
      </c>
      <c r="S340" s="108">
        <v>757.47540000000004</v>
      </c>
      <c r="T340" s="109">
        <v>45329</v>
      </c>
      <c r="U340" s="108"/>
      <c r="V340" s="108"/>
    </row>
    <row r="341" spans="1:22" ht="43.2" x14ac:dyDescent="0.3">
      <c r="A341" s="108">
        <v>338</v>
      </c>
      <c r="B341" s="108" t="s">
        <v>21</v>
      </c>
      <c r="C341" s="44" t="s">
        <v>30</v>
      </c>
      <c r="D341" s="110" t="s">
        <v>58</v>
      </c>
      <c r="E341" s="108" t="s">
        <v>75</v>
      </c>
      <c r="F341" s="44" t="s">
        <v>752</v>
      </c>
      <c r="G341" s="108" t="s">
        <v>186</v>
      </c>
      <c r="H341" s="589"/>
      <c r="I341" s="108">
        <v>38</v>
      </c>
      <c r="J341" s="589">
        <v>4833.3329999999996</v>
      </c>
      <c r="K341" s="589"/>
      <c r="L341" s="108">
        <v>38</v>
      </c>
      <c r="M341" s="589">
        <v>4833.3329999999996</v>
      </c>
      <c r="N341" s="6" t="s">
        <v>755</v>
      </c>
      <c r="O341" s="109">
        <v>45315</v>
      </c>
      <c r="P341" s="33" t="str">
        <f>HYPERLINK("https://my.zakupivli.pro/remote/dispatcher/state_purchase_view/48638355", "UA-2024-01-24-010255-a")</f>
        <v>UA-2024-01-24-010255-a</v>
      </c>
      <c r="Q341" s="108"/>
      <c r="R341" s="108">
        <v>38</v>
      </c>
      <c r="S341" s="108">
        <v>4636.3738999999996</v>
      </c>
      <c r="T341" s="109">
        <v>45336</v>
      </c>
      <c r="U341" s="108"/>
      <c r="V341" s="108"/>
    </row>
    <row r="342" spans="1:22" ht="43.2" x14ac:dyDescent="0.3">
      <c r="A342" s="108">
        <v>339</v>
      </c>
      <c r="B342" s="108" t="s">
        <v>21</v>
      </c>
      <c r="C342" s="44" t="s">
        <v>30</v>
      </c>
      <c r="D342" s="110" t="s">
        <v>58</v>
      </c>
      <c r="E342" s="108" t="s">
        <v>75</v>
      </c>
      <c r="F342" s="44" t="s">
        <v>756</v>
      </c>
      <c r="G342" s="108" t="s">
        <v>186</v>
      </c>
      <c r="H342" s="589"/>
      <c r="I342" s="108">
        <v>24</v>
      </c>
      <c r="J342" s="589">
        <v>1300</v>
      </c>
      <c r="K342" s="589"/>
      <c r="L342" s="108">
        <v>24</v>
      </c>
      <c r="M342" s="589">
        <v>1300</v>
      </c>
      <c r="N342" s="6" t="s">
        <v>757</v>
      </c>
      <c r="O342" s="109">
        <v>45315</v>
      </c>
      <c r="P342" s="33" t="str">
        <f>HYPERLINK("https://my.zakupivli.pro/remote/dispatcher/state_purchase_view/48637783", "UA-2024-01-24-009975-a")</f>
        <v>UA-2024-01-24-009975-a</v>
      </c>
      <c r="Q342" s="108"/>
      <c r="R342" s="108">
        <v>24</v>
      </c>
      <c r="S342" s="117">
        <v>776</v>
      </c>
      <c r="T342" s="109">
        <v>45336</v>
      </c>
      <c r="U342" s="108"/>
      <c r="V342" s="108"/>
    </row>
    <row r="343" spans="1:22" ht="46.8" x14ac:dyDescent="0.3">
      <c r="A343" s="111">
        <v>340</v>
      </c>
      <c r="B343" s="111" t="s">
        <v>21</v>
      </c>
      <c r="C343" s="41" t="s">
        <v>760</v>
      </c>
      <c r="D343" s="111" t="s">
        <v>58</v>
      </c>
      <c r="E343" s="111" t="s">
        <v>758</v>
      </c>
      <c r="F343" s="41" t="s">
        <v>759</v>
      </c>
      <c r="G343" s="111" t="s">
        <v>187</v>
      </c>
      <c r="H343" s="589"/>
      <c r="I343" s="111">
        <v>979</v>
      </c>
      <c r="J343" s="589">
        <v>3917.2</v>
      </c>
      <c r="K343" s="589"/>
      <c r="L343" s="111">
        <v>979</v>
      </c>
      <c r="M343" s="589">
        <v>3917.2</v>
      </c>
      <c r="N343" s="6" t="s">
        <v>761</v>
      </c>
      <c r="O343" s="112">
        <v>45316</v>
      </c>
      <c r="P343" s="42" t="str">
        <f>HYPERLINK("https://my.zakupivli.pro/remote/dispatcher/state_purchase_view/48664390", "UA-2024-01-25-003776-a")</f>
        <v>UA-2024-01-25-003776-a</v>
      </c>
      <c r="Q343" s="111"/>
      <c r="R343" s="111">
        <v>979</v>
      </c>
      <c r="S343" s="111">
        <v>2120.3854999999999</v>
      </c>
      <c r="T343" s="112">
        <v>45336</v>
      </c>
      <c r="U343" s="111"/>
      <c r="V343" s="111"/>
    </row>
    <row r="344" spans="1:22" ht="93.6" x14ac:dyDescent="0.3">
      <c r="A344" s="111">
        <v>341</v>
      </c>
      <c r="B344" s="111" t="s">
        <v>40</v>
      </c>
      <c r="C344" s="44" t="s">
        <v>41</v>
      </c>
      <c r="D344" s="111"/>
      <c r="E344" s="111" t="s">
        <v>88</v>
      </c>
      <c r="F344" s="44" t="s">
        <v>762</v>
      </c>
      <c r="G344" s="111" t="s">
        <v>184</v>
      </c>
      <c r="H344" s="589">
        <v>310.57474999999999</v>
      </c>
      <c r="I344" s="111">
        <v>1</v>
      </c>
      <c r="J344" s="589">
        <v>310.57474999999999</v>
      </c>
      <c r="K344" s="589">
        <v>310.57474999999999</v>
      </c>
      <c r="L344" s="111">
        <v>1</v>
      </c>
      <c r="M344" s="589">
        <v>310.57474999999999</v>
      </c>
      <c r="N344" s="6" t="s">
        <v>769</v>
      </c>
      <c r="O344" s="112">
        <v>45316</v>
      </c>
      <c r="P344" s="33" t="str">
        <f>HYPERLINK("https://my.zakupivli.pro/remote/dispatcher/state_purchase_view/48688184", "UA-2024-01-25-014181-a")</f>
        <v>UA-2024-01-25-014181-a</v>
      </c>
      <c r="Q344" s="111">
        <v>310.57474999999999</v>
      </c>
      <c r="R344" s="111">
        <v>1</v>
      </c>
      <c r="S344" s="111">
        <v>310.57474999999999</v>
      </c>
      <c r="T344" s="112">
        <v>45316</v>
      </c>
      <c r="U344" s="111"/>
      <c r="V344" s="111" t="s">
        <v>59</v>
      </c>
    </row>
    <row r="345" spans="1:22" ht="93.6" x14ac:dyDescent="0.3">
      <c r="A345" s="111">
        <v>342</v>
      </c>
      <c r="B345" s="111" t="s">
        <v>40</v>
      </c>
      <c r="C345" s="44" t="s">
        <v>41</v>
      </c>
      <c r="D345" s="111"/>
      <c r="E345" s="111" t="s">
        <v>88</v>
      </c>
      <c r="F345" s="44" t="s">
        <v>763</v>
      </c>
      <c r="G345" s="111" t="s">
        <v>184</v>
      </c>
      <c r="H345" s="589">
        <v>234.87541999999999</v>
      </c>
      <c r="I345" s="111">
        <v>1</v>
      </c>
      <c r="J345" s="589">
        <v>234.87541999999999</v>
      </c>
      <c r="K345" s="589">
        <v>234.87541999999999</v>
      </c>
      <c r="L345" s="111">
        <v>1</v>
      </c>
      <c r="M345" s="589">
        <v>234.87541999999999</v>
      </c>
      <c r="N345" s="6" t="s">
        <v>770</v>
      </c>
      <c r="O345" s="112">
        <v>45316</v>
      </c>
      <c r="P345" s="33" t="str">
        <f>HYPERLINK("https://my.zakupivli.pro/remote/dispatcher/state_purchase_view/48687397", "UA-2024-01-25-013828-a")</f>
        <v>UA-2024-01-25-013828-a</v>
      </c>
      <c r="Q345" s="111">
        <v>234.87541999999999</v>
      </c>
      <c r="R345" s="111">
        <v>1</v>
      </c>
      <c r="S345" s="111">
        <v>234.87541999999999</v>
      </c>
      <c r="T345" s="112">
        <v>45316</v>
      </c>
      <c r="U345" s="111"/>
      <c r="V345" s="111" t="s">
        <v>59</v>
      </c>
    </row>
    <row r="346" spans="1:22" ht="62.4" x14ac:dyDescent="0.3">
      <c r="A346" s="111">
        <v>343</v>
      </c>
      <c r="B346" s="111" t="s">
        <v>40</v>
      </c>
      <c r="C346" s="44" t="s">
        <v>41</v>
      </c>
      <c r="D346" s="111"/>
      <c r="E346" s="111" t="s">
        <v>88</v>
      </c>
      <c r="F346" s="44" t="s">
        <v>764</v>
      </c>
      <c r="G346" s="111" t="s">
        <v>184</v>
      </c>
      <c r="H346" s="589">
        <v>740.63445000000002</v>
      </c>
      <c r="I346" s="111">
        <v>1</v>
      </c>
      <c r="J346" s="589">
        <v>740.63445000000002</v>
      </c>
      <c r="K346" s="589">
        <v>740.63445000000002</v>
      </c>
      <c r="L346" s="111">
        <v>1</v>
      </c>
      <c r="M346" s="589">
        <v>740.63445000000002</v>
      </c>
      <c r="N346" s="6" t="s">
        <v>771</v>
      </c>
      <c r="O346" s="112">
        <v>45316</v>
      </c>
      <c r="P346" s="33" t="str">
        <f>HYPERLINK("https://my.zakupivli.pro/remote/dispatcher/state_purchase_view/48686800", "UA-2024-01-25-013604-a")</f>
        <v>UA-2024-01-25-013604-a</v>
      </c>
      <c r="Q346" s="111">
        <v>740.63445000000002</v>
      </c>
      <c r="R346" s="111">
        <v>1</v>
      </c>
      <c r="S346" s="111">
        <v>740.63445000000002</v>
      </c>
      <c r="T346" s="112">
        <v>45316</v>
      </c>
      <c r="U346" s="111"/>
      <c r="V346" s="111" t="s">
        <v>59</v>
      </c>
    </row>
    <row r="347" spans="1:22" ht="93.6" x14ac:dyDescent="0.3">
      <c r="A347" s="111">
        <v>344</v>
      </c>
      <c r="B347" s="111" t="s">
        <v>40</v>
      </c>
      <c r="C347" s="44" t="s">
        <v>41</v>
      </c>
      <c r="D347" s="111"/>
      <c r="E347" s="111" t="s">
        <v>88</v>
      </c>
      <c r="F347" s="44" t="s">
        <v>765</v>
      </c>
      <c r="G347" s="111" t="s">
        <v>184</v>
      </c>
      <c r="H347" s="589">
        <v>107.49384000000001</v>
      </c>
      <c r="I347" s="111">
        <v>1</v>
      </c>
      <c r="J347" s="589">
        <v>107.49384000000001</v>
      </c>
      <c r="K347" s="589">
        <v>107.49384000000001</v>
      </c>
      <c r="L347" s="111">
        <v>1</v>
      </c>
      <c r="M347" s="589">
        <v>107.49384000000001</v>
      </c>
      <c r="N347" s="6" t="s">
        <v>772</v>
      </c>
      <c r="O347" s="112">
        <v>45316</v>
      </c>
      <c r="P347" s="33" t="str">
        <f>HYPERLINK("https://my.zakupivli.pro/remote/dispatcher/state_purchase_view/48686589", "UA-2024-01-25-013506-a")</f>
        <v>UA-2024-01-25-013506-a</v>
      </c>
      <c r="Q347" s="111">
        <v>107.49384000000001</v>
      </c>
      <c r="R347" s="111">
        <v>1</v>
      </c>
      <c r="S347" s="111">
        <v>107.49384000000001</v>
      </c>
      <c r="T347" s="112">
        <v>45316</v>
      </c>
      <c r="U347" s="111"/>
      <c r="V347" s="111" t="s">
        <v>59</v>
      </c>
    </row>
    <row r="348" spans="1:22" ht="62.4" x14ac:dyDescent="0.3">
      <c r="A348" s="111">
        <v>345</v>
      </c>
      <c r="B348" s="111" t="s">
        <v>40</v>
      </c>
      <c r="C348" s="44" t="s">
        <v>41</v>
      </c>
      <c r="D348" s="111"/>
      <c r="E348" s="111" t="s">
        <v>88</v>
      </c>
      <c r="F348" s="44" t="s">
        <v>766</v>
      </c>
      <c r="G348" s="111" t="s">
        <v>184</v>
      </c>
      <c r="H348" s="589">
        <v>282.64605</v>
      </c>
      <c r="I348" s="111">
        <v>1</v>
      </c>
      <c r="J348" s="589">
        <v>282.64605</v>
      </c>
      <c r="K348" s="589">
        <v>282.64605</v>
      </c>
      <c r="L348" s="111">
        <v>1</v>
      </c>
      <c r="M348" s="589">
        <v>282.64605</v>
      </c>
      <c r="N348" s="6" t="s">
        <v>773</v>
      </c>
      <c r="O348" s="112">
        <v>45316</v>
      </c>
      <c r="P348" s="33" t="str">
        <f>HYPERLINK("https://my.zakupivli.pro/remote/dispatcher/state_purchase_view/48686004", "UA-2024-01-25-013302-a")</f>
        <v>UA-2024-01-25-013302-a</v>
      </c>
      <c r="Q348" s="111">
        <v>282.64605</v>
      </c>
      <c r="R348" s="111">
        <v>1</v>
      </c>
      <c r="S348" s="111">
        <v>282.64605</v>
      </c>
      <c r="T348" s="112">
        <v>45316</v>
      </c>
      <c r="U348" s="111"/>
      <c r="V348" s="111" t="s">
        <v>59</v>
      </c>
    </row>
    <row r="349" spans="1:22" ht="93.6" x14ac:dyDescent="0.3">
      <c r="A349" s="111">
        <v>346</v>
      </c>
      <c r="B349" s="111" t="s">
        <v>40</v>
      </c>
      <c r="C349" s="44" t="s">
        <v>41</v>
      </c>
      <c r="D349" s="111"/>
      <c r="E349" s="111" t="s">
        <v>88</v>
      </c>
      <c r="F349" s="44" t="s">
        <v>767</v>
      </c>
      <c r="G349" s="111" t="s">
        <v>184</v>
      </c>
      <c r="H349" s="589">
        <v>923.80998</v>
      </c>
      <c r="I349" s="111">
        <v>1</v>
      </c>
      <c r="J349" s="589">
        <v>923.80998</v>
      </c>
      <c r="K349" s="589">
        <v>923.80998</v>
      </c>
      <c r="L349" s="111">
        <v>1</v>
      </c>
      <c r="M349" s="589">
        <v>923.80998</v>
      </c>
      <c r="N349" s="6" t="s">
        <v>774</v>
      </c>
      <c r="O349" s="112">
        <v>45316</v>
      </c>
      <c r="P349" s="33" t="str">
        <f>HYPERLINK("https://my.zakupivli.pro/remote/dispatcher/state_purchase_view/48685781", "UA-2024-01-25-013186-a")</f>
        <v>UA-2024-01-25-013186-a</v>
      </c>
      <c r="Q349" s="111">
        <v>923.80998</v>
      </c>
      <c r="R349" s="111">
        <v>1</v>
      </c>
      <c r="S349" s="111">
        <v>923.80998</v>
      </c>
      <c r="T349" s="112">
        <v>45316</v>
      </c>
      <c r="U349" s="111"/>
      <c r="V349" s="111" t="s">
        <v>59</v>
      </c>
    </row>
    <row r="350" spans="1:22" ht="62.4" x14ac:dyDescent="0.3">
      <c r="A350" s="111">
        <v>347</v>
      </c>
      <c r="B350" s="111" t="s">
        <v>40</v>
      </c>
      <c r="C350" s="44" t="s">
        <v>41</v>
      </c>
      <c r="D350" s="111"/>
      <c r="E350" s="111" t="s">
        <v>88</v>
      </c>
      <c r="F350" s="44" t="s">
        <v>768</v>
      </c>
      <c r="G350" s="111" t="s">
        <v>184</v>
      </c>
      <c r="H350" s="589">
        <v>179.18911</v>
      </c>
      <c r="I350" s="111">
        <v>1</v>
      </c>
      <c r="J350" s="589">
        <v>179.18911</v>
      </c>
      <c r="K350" s="589">
        <v>179.18911</v>
      </c>
      <c r="L350" s="111">
        <v>1</v>
      </c>
      <c r="M350" s="589">
        <v>179.18911</v>
      </c>
      <c r="N350" s="6" t="s">
        <v>775</v>
      </c>
      <c r="O350" s="112">
        <v>45316</v>
      </c>
      <c r="P350" s="33" t="str">
        <f>HYPERLINK("https://my.zakupivli.pro/remote/dispatcher/state_purchase_view/48685400", "UA-2024-01-25-012929-a")</f>
        <v>UA-2024-01-25-012929-a</v>
      </c>
      <c r="Q350" s="111">
        <v>179.18911</v>
      </c>
      <c r="R350" s="111">
        <v>1</v>
      </c>
      <c r="S350" s="111">
        <v>179.18911</v>
      </c>
      <c r="T350" s="112">
        <v>45316</v>
      </c>
      <c r="U350" s="111"/>
      <c r="V350" s="111" t="s">
        <v>59</v>
      </c>
    </row>
    <row r="351" spans="1:22" ht="62.4" x14ac:dyDescent="0.3">
      <c r="A351" s="113">
        <v>348</v>
      </c>
      <c r="B351" s="113" t="s">
        <v>21</v>
      </c>
      <c r="C351" s="44" t="s">
        <v>32</v>
      </c>
      <c r="D351" s="113"/>
      <c r="E351" s="113" t="s">
        <v>75</v>
      </c>
      <c r="F351" s="44" t="s">
        <v>776</v>
      </c>
      <c r="G351" s="113" t="s">
        <v>21</v>
      </c>
      <c r="H351" s="589">
        <v>36</v>
      </c>
      <c r="I351" s="113">
        <v>2</v>
      </c>
      <c r="J351" s="589">
        <v>72</v>
      </c>
      <c r="K351" s="589">
        <v>36</v>
      </c>
      <c r="L351" s="113">
        <v>2</v>
      </c>
      <c r="M351" s="589">
        <v>72</v>
      </c>
      <c r="N351" s="6" t="s">
        <v>777</v>
      </c>
      <c r="O351" s="114">
        <v>45320</v>
      </c>
      <c r="P351" s="33" t="str">
        <f>HYPERLINK("https://my.zakupivli.pro/remote/dispatcher/state_purchase_view/48742399", "UA-2024-01-29-003400-a")</f>
        <v>UA-2024-01-29-003400-a</v>
      </c>
      <c r="Q351" s="117">
        <v>36</v>
      </c>
      <c r="R351" s="113">
        <v>2</v>
      </c>
      <c r="S351" s="117">
        <v>72</v>
      </c>
      <c r="T351" s="114">
        <v>45320</v>
      </c>
      <c r="U351" s="113"/>
      <c r="V351" s="113" t="s">
        <v>59</v>
      </c>
    </row>
    <row r="352" spans="1:22" ht="62.4" x14ac:dyDescent="0.3">
      <c r="A352" s="115">
        <v>349</v>
      </c>
      <c r="B352" s="115" t="s">
        <v>40</v>
      </c>
      <c r="C352" s="44" t="s">
        <v>41</v>
      </c>
      <c r="D352" s="115"/>
      <c r="E352" s="446" t="s">
        <v>20</v>
      </c>
      <c r="F352" s="44" t="s">
        <v>778</v>
      </c>
      <c r="G352" s="115" t="s">
        <v>184</v>
      </c>
      <c r="H352" s="589">
        <v>303.98403999999999</v>
      </c>
      <c r="I352" s="115">
        <v>1</v>
      </c>
      <c r="J352" s="589">
        <v>303.98403999999999</v>
      </c>
      <c r="K352" s="589">
        <v>303.98403999999999</v>
      </c>
      <c r="L352" s="115">
        <v>1</v>
      </c>
      <c r="M352" s="589">
        <v>303.98403999999999</v>
      </c>
      <c r="N352" s="6" t="s">
        <v>779</v>
      </c>
      <c r="O352" s="116">
        <v>45322</v>
      </c>
      <c r="P352" s="33" t="str">
        <f>HYPERLINK("https://my.zakupivli.pro/remote/dispatcher/state_purchase_view/48819624", "UA-2024-01-31-005075-a")</f>
        <v>UA-2024-01-31-005075-a</v>
      </c>
      <c r="Q352" s="115">
        <v>303.98403999999999</v>
      </c>
      <c r="R352" s="115">
        <v>1</v>
      </c>
      <c r="S352" s="115">
        <v>303.98403999999999</v>
      </c>
      <c r="T352" s="116">
        <v>45322</v>
      </c>
      <c r="U352" s="115"/>
      <c r="V352" s="115" t="s">
        <v>59</v>
      </c>
    </row>
    <row r="353" spans="1:22" ht="62.4" x14ac:dyDescent="0.3">
      <c r="A353" s="115">
        <v>350</v>
      </c>
      <c r="B353" s="115" t="s">
        <v>40</v>
      </c>
      <c r="C353" s="44" t="s">
        <v>41</v>
      </c>
      <c r="D353" s="115"/>
      <c r="E353" s="115" t="s">
        <v>88</v>
      </c>
      <c r="F353" s="44" t="s">
        <v>780</v>
      </c>
      <c r="G353" s="115" t="s">
        <v>184</v>
      </c>
      <c r="H353" s="589">
        <v>382.27184999999997</v>
      </c>
      <c r="I353" s="115">
        <v>1</v>
      </c>
      <c r="J353" s="589">
        <v>382.27184999999997</v>
      </c>
      <c r="K353" s="589">
        <v>382.27184999999997</v>
      </c>
      <c r="L353" s="115">
        <v>1</v>
      </c>
      <c r="M353" s="589">
        <v>382.27184999999997</v>
      </c>
      <c r="N353" s="6" t="s">
        <v>781</v>
      </c>
      <c r="O353" s="116">
        <v>45322</v>
      </c>
      <c r="P353" s="33" t="str">
        <f>HYPERLINK("https://my.zakupivli.pro/remote/dispatcher/state_purchase_view/48824211", "UA-2024-01-31-007241-a")</f>
        <v>UA-2024-01-31-007241-a</v>
      </c>
      <c r="Q353" s="115">
        <v>382.27184999999997</v>
      </c>
      <c r="R353" s="115">
        <v>1</v>
      </c>
      <c r="S353" s="115">
        <v>382.27184999999997</v>
      </c>
      <c r="T353" s="116">
        <v>45322</v>
      </c>
      <c r="U353" s="115"/>
      <c r="V353" s="115" t="s">
        <v>59</v>
      </c>
    </row>
    <row r="354" spans="1:22" ht="93.6" x14ac:dyDescent="0.3">
      <c r="A354" s="115">
        <v>351</v>
      </c>
      <c r="B354" s="115" t="s">
        <v>40</v>
      </c>
      <c r="C354" s="44" t="s">
        <v>41</v>
      </c>
      <c r="D354" s="115"/>
      <c r="E354" s="115" t="s">
        <v>88</v>
      </c>
      <c r="F354" s="44" t="s">
        <v>782</v>
      </c>
      <c r="G354" s="115" t="s">
        <v>184</v>
      </c>
      <c r="H354" s="589">
        <v>282.87943000000001</v>
      </c>
      <c r="I354" s="115">
        <v>1</v>
      </c>
      <c r="J354" s="589">
        <v>282.87943000000001</v>
      </c>
      <c r="K354" s="589">
        <v>282.87943000000001</v>
      </c>
      <c r="L354" s="115">
        <v>1</v>
      </c>
      <c r="M354" s="589">
        <v>282.87943000000001</v>
      </c>
      <c r="N354" s="6" t="s">
        <v>783</v>
      </c>
      <c r="O354" s="116">
        <v>45322</v>
      </c>
      <c r="P354" s="33" t="str">
        <f>HYPERLINK("https://my.zakupivli.pro/remote/dispatcher/state_purchase_view/48824354", "UA-2024-01-31-007341-a")</f>
        <v>UA-2024-01-31-007341-a</v>
      </c>
      <c r="Q354" s="115">
        <v>282.87943000000001</v>
      </c>
      <c r="R354" s="115">
        <v>1</v>
      </c>
      <c r="S354" s="115">
        <v>282.87943000000001</v>
      </c>
      <c r="T354" s="116">
        <v>45322</v>
      </c>
      <c r="U354" s="115"/>
      <c r="V354" s="115" t="s">
        <v>59</v>
      </c>
    </row>
    <row r="355" spans="1:22" ht="62.4" x14ac:dyDescent="0.3">
      <c r="A355" s="115">
        <v>352</v>
      </c>
      <c r="B355" s="115" t="s">
        <v>40</v>
      </c>
      <c r="C355" s="44" t="s">
        <v>41</v>
      </c>
      <c r="D355" s="115"/>
      <c r="E355" s="115" t="s">
        <v>88</v>
      </c>
      <c r="F355" s="44" t="s">
        <v>784</v>
      </c>
      <c r="G355" s="115" t="s">
        <v>184</v>
      </c>
      <c r="H355" s="589">
        <v>543.99990000000003</v>
      </c>
      <c r="I355" s="115">
        <v>1</v>
      </c>
      <c r="J355" s="589">
        <v>543.99990000000003</v>
      </c>
      <c r="K355" s="589">
        <v>543.99990000000003</v>
      </c>
      <c r="L355" s="115">
        <v>1</v>
      </c>
      <c r="M355" s="589">
        <v>543.99990000000003</v>
      </c>
      <c r="N355" s="6" t="s">
        <v>786</v>
      </c>
      <c r="O355" s="116">
        <v>45322</v>
      </c>
      <c r="P355" s="120" t="str">
        <f>HYPERLINK("https://my.zakupivli.pro/remote/dispatcher/state_purchase_view/48825205", "UA-2024-01-31-007708-a")</f>
        <v>UA-2024-01-31-007708-a</v>
      </c>
      <c r="Q355" s="115">
        <v>543.99990000000003</v>
      </c>
      <c r="R355" s="115">
        <v>1</v>
      </c>
      <c r="S355" s="115">
        <v>543.99990000000003</v>
      </c>
      <c r="T355" s="116">
        <v>45322</v>
      </c>
      <c r="U355" s="115"/>
      <c r="V355" s="115" t="s">
        <v>59</v>
      </c>
    </row>
    <row r="356" spans="1:22" ht="93.6" x14ac:dyDescent="0.3">
      <c r="A356" s="115">
        <v>353</v>
      </c>
      <c r="B356" s="115" t="s">
        <v>40</v>
      </c>
      <c r="C356" s="44" t="s">
        <v>41</v>
      </c>
      <c r="D356" s="115"/>
      <c r="E356" s="115" t="s">
        <v>88</v>
      </c>
      <c r="F356" s="44" t="s">
        <v>785</v>
      </c>
      <c r="G356" s="115" t="s">
        <v>184</v>
      </c>
      <c r="H356" s="589">
        <v>277.44</v>
      </c>
      <c r="I356" s="115">
        <v>1</v>
      </c>
      <c r="J356" s="589">
        <v>277.44</v>
      </c>
      <c r="K356" s="589">
        <v>277.44</v>
      </c>
      <c r="L356" s="115">
        <v>1</v>
      </c>
      <c r="M356" s="589">
        <v>277.44</v>
      </c>
      <c r="N356" s="6" t="s">
        <v>787</v>
      </c>
      <c r="O356" s="116">
        <v>45322</v>
      </c>
      <c r="P356" s="120" t="str">
        <f>HYPERLINK("https://my.zakupivli.pro/remote/dispatcher/state_purchase_view/48825190", "UA-2024-01-31-007699-a")</f>
        <v>UA-2024-01-31-007699-a</v>
      </c>
      <c r="Q356" s="117">
        <v>277.44</v>
      </c>
      <c r="R356" s="115">
        <v>1</v>
      </c>
      <c r="S356" s="117">
        <v>277.44</v>
      </c>
      <c r="T356" s="116">
        <v>45322</v>
      </c>
      <c r="U356" s="115"/>
      <c r="V356" s="115" t="s">
        <v>59</v>
      </c>
    </row>
    <row r="357" spans="1:22" ht="93.6" x14ac:dyDescent="0.3">
      <c r="A357" s="115">
        <v>354</v>
      </c>
      <c r="B357" s="115" t="s">
        <v>40</v>
      </c>
      <c r="C357" s="44" t="s">
        <v>41</v>
      </c>
      <c r="D357" s="115"/>
      <c r="E357" s="115" t="s">
        <v>88</v>
      </c>
      <c r="F357" s="44" t="s">
        <v>788</v>
      </c>
      <c r="G357" s="115" t="s">
        <v>184</v>
      </c>
      <c r="H357" s="589">
        <v>103.532</v>
      </c>
      <c r="I357" s="115">
        <v>1</v>
      </c>
      <c r="J357" s="589">
        <v>103.532</v>
      </c>
      <c r="K357" s="589">
        <v>103.532</v>
      </c>
      <c r="L357" s="115">
        <v>1</v>
      </c>
      <c r="M357" s="589">
        <v>103.532</v>
      </c>
      <c r="N357" s="6" t="s">
        <v>790</v>
      </c>
      <c r="O357" s="116">
        <v>45322</v>
      </c>
      <c r="P357" s="33" t="str">
        <f>HYPERLINK("https://my.zakupivli.pro/remote/dispatcher/state_purchase_view/48826096", "UA-2024-01-31-008115-a")</f>
        <v>UA-2024-01-31-008115-a</v>
      </c>
      <c r="Q357" s="115">
        <v>103.532</v>
      </c>
      <c r="R357" s="115">
        <v>1</v>
      </c>
      <c r="S357" s="115">
        <v>103.532</v>
      </c>
      <c r="T357" s="116">
        <v>45322</v>
      </c>
      <c r="U357" s="115"/>
      <c r="V357" s="115" t="s">
        <v>59</v>
      </c>
    </row>
    <row r="358" spans="1:22" ht="93.6" x14ac:dyDescent="0.3">
      <c r="A358" s="115">
        <v>355</v>
      </c>
      <c r="B358" s="115" t="s">
        <v>40</v>
      </c>
      <c r="C358" s="44" t="s">
        <v>41</v>
      </c>
      <c r="D358" s="115"/>
      <c r="E358" s="115" t="s">
        <v>88</v>
      </c>
      <c r="F358" s="44" t="s">
        <v>789</v>
      </c>
      <c r="G358" s="115" t="s">
        <v>184</v>
      </c>
      <c r="H358" s="589">
        <v>242.90186</v>
      </c>
      <c r="I358" s="115">
        <v>1</v>
      </c>
      <c r="J358" s="589">
        <v>242.90186</v>
      </c>
      <c r="K358" s="589">
        <v>242.90186</v>
      </c>
      <c r="L358" s="115">
        <v>1</v>
      </c>
      <c r="M358" s="589">
        <v>242.90186</v>
      </c>
      <c r="N358" s="6" t="s">
        <v>791</v>
      </c>
      <c r="O358" s="116">
        <v>45322</v>
      </c>
      <c r="P358" s="33" t="str">
        <f>HYPERLINK("https://my.zakupivli.pro/remote/dispatcher/state_purchase_view/48825340", "UA-2024-01-31-007748-a")</f>
        <v>UA-2024-01-31-007748-a</v>
      </c>
      <c r="Q358" s="115">
        <v>242.90186</v>
      </c>
      <c r="R358" s="115">
        <v>1</v>
      </c>
      <c r="S358" s="115">
        <v>242.90186</v>
      </c>
      <c r="T358" s="116">
        <v>45322</v>
      </c>
      <c r="U358" s="115"/>
      <c r="V358" s="115" t="s">
        <v>59</v>
      </c>
    </row>
    <row r="359" spans="1:22" ht="93.6" x14ac:dyDescent="0.3">
      <c r="A359" s="115">
        <v>356</v>
      </c>
      <c r="B359" s="115" t="s">
        <v>40</v>
      </c>
      <c r="C359" s="44" t="s">
        <v>41</v>
      </c>
      <c r="D359" s="115"/>
      <c r="E359" s="115" t="s">
        <v>88</v>
      </c>
      <c r="F359" s="44" t="s">
        <v>792</v>
      </c>
      <c r="G359" s="115" t="s">
        <v>184</v>
      </c>
      <c r="H359" s="589">
        <v>565.44399999999996</v>
      </c>
      <c r="I359" s="115">
        <v>1</v>
      </c>
      <c r="J359" s="589">
        <v>565.44399999999996</v>
      </c>
      <c r="K359" s="589">
        <v>565.44399999999996</v>
      </c>
      <c r="L359" s="115">
        <v>1</v>
      </c>
      <c r="M359" s="589">
        <v>565.44399999999996</v>
      </c>
      <c r="N359" s="6" t="s">
        <v>793</v>
      </c>
      <c r="O359" s="116">
        <v>45322</v>
      </c>
      <c r="P359" s="33" t="str">
        <f>HYPERLINK("https://my.zakupivli.pro/remote/dispatcher/state_purchase_view/48826700", "UA-2024-01-31-008354-a")</f>
        <v>UA-2024-01-31-008354-a</v>
      </c>
      <c r="Q359" s="115">
        <v>565.44399999999996</v>
      </c>
      <c r="R359" s="115">
        <v>1</v>
      </c>
      <c r="S359" s="115">
        <v>565.44399999999996</v>
      </c>
      <c r="T359" s="116">
        <v>45322</v>
      </c>
      <c r="U359" s="115"/>
      <c r="V359" s="115" t="s">
        <v>59</v>
      </c>
    </row>
    <row r="360" spans="1:22" ht="78" x14ac:dyDescent="0.3">
      <c r="A360" s="115">
        <v>357</v>
      </c>
      <c r="B360" s="115" t="s">
        <v>21</v>
      </c>
      <c r="C360" s="44" t="s">
        <v>734</v>
      </c>
      <c r="D360" s="115" t="s">
        <v>58</v>
      </c>
      <c r="E360" s="115" t="s">
        <v>75</v>
      </c>
      <c r="F360" s="44" t="s">
        <v>794</v>
      </c>
      <c r="G360" s="115" t="s">
        <v>186</v>
      </c>
      <c r="H360" s="589"/>
      <c r="I360" s="115">
        <v>3</v>
      </c>
      <c r="J360" s="589">
        <v>200</v>
      </c>
      <c r="K360" s="589"/>
      <c r="L360" s="115">
        <v>3</v>
      </c>
      <c r="M360" s="589">
        <v>200</v>
      </c>
      <c r="N360" s="6" t="s">
        <v>796</v>
      </c>
      <c r="O360" s="116">
        <v>45322</v>
      </c>
      <c r="P360" s="33" t="str">
        <f>HYPERLINK("https://my.zakupivli.pro/remote/dispatcher/state_purchase_view/48832012", "UA-2024-01-31-010710-a")</f>
        <v>UA-2024-01-31-010710-a</v>
      </c>
      <c r="Q360" s="115"/>
      <c r="R360" s="115">
        <v>3</v>
      </c>
      <c r="S360" s="115">
        <v>169.96600000000001</v>
      </c>
      <c r="T360" s="116">
        <v>45341</v>
      </c>
      <c r="U360" s="115"/>
      <c r="V360" s="115"/>
    </row>
    <row r="361" spans="1:22" ht="78" x14ac:dyDescent="0.3">
      <c r="A361" s="115">
        <v>358</v>
      </c>
      <c r="B361" s="115" t="s">
        <v>21</v>
      </c>
      <c r="C361" s="44" t="s">
        <v>734</v>
      </c>
      <c r="D361" s="115" t="s">
        <v>58</v>
      </c>
      <c r="E361" s="115" t="s">
        <v>75</v>
      </c>
      <c r="F361" s="44" t="s">
        <v>795</v>
      </c>
      <c r="G361" s="115" t="s">
        <v>186</v>
      </c>
      <c r="H361" s="589"/>
      <c r="I361" s="115">
        <v>15</v>
      </c>
      <c r="J361" s="589">
        <v>350</v>
      </c>
      <c r="K361" s="589"/>
      <c r="L361" s="115">
        <v>15</v>
      </c>
      <c r="M361" s="589">
        <v>350</v>
      </c>
      <c r="N361" s="6" t="s">
        <v>796</v>
      </c>
      <c r="O361" s="116">
        <v>45322</v>
      </c>
      <c r="P361" s="33" t="str">
        <f>HYPERLINK("https://my.zakupivli.pro/remote/dispatcher/state_purchase_view/48832012", "UA-2024-01-31-010710-a")</f>
        <v>UA-2024-01-31-010710-a</v>
      </c>
      <c r="Q361" s="115"/>
      <c r="R361" s="115">
        <v>15</v>
      </c>
      <c r="S361" s="115">
        <v>298.35000000000002</v>
      </c>
      <c r="T361" s="134">
        <v>45341</v>
      </c>
      <c r="U361" s="115"/>
      <c r="V361" s="115"/>
    </row>
    <row r="362" spans="1:22" ht="62.4" x14ac:dyDescent="0.3">
      <c r="A362" s="115">
        <v>359</v>
      </c>
      <c r="B362" s="118" t="s">
        <v>40</v>
      </c>
      <c r="C362" s="44" t="s">
        <v>517</v>
      </c>
      <c r="D362" s="115"/>
      <c r="E362" s="118" t="s">
        <v>75</v>
      </c>
      <c r="F362" s="41" t="s">
        <v>797</v>
      </c>
      <c r="G362" s="118" t="s">
        <v>184</v>
      </c>
      <c r="H362" s="589">
        <v>163.86313000000001</v>
      </c>
      <c r="I362" s="115">
        <v>1</v>
      </c>
      <c r="J362" s="589">
        <v>163.86313000000001</v>
      </c>
      <c r="K362" s="589">
        <v>163.86313000000001</v>
      </c>
      <c r="L362" s="118">
        <v>1</v>
      </c>
      <c r="M362" s="589">
        <v>163.86313000000001</v>
      </c>
      <c r="N362" s="6" t="s">
        <v>798</v>
      </c>
      <c r="O362" s="116">
        <v>45323</v>
      </c>
      <c r="P362" s="42" t="str">
        <f>HYPERLINK("https://my.zakupivli.pro/remote/dispatcher/state_purchase_view/48865177", "UA-2024-02-01-010457-a")</f>
        <v>UA-2024-02-01-010457-a</v>
      </c>
      <c r="Q362" s="118">
        <v>163.86313000000001</v>
      </c>
      <c r="R362" s="118">
        <v>1</v>
      </c>
      <c r="S362" s="118">
        <v>163.86313000000001</v>
      </c>
      <c r="T362" s="119">
        <v>45323</v>
      </c>
      <c r="U362" s="115"/>
      <c r="V362" s="118" t="s">
        <v>59</v>
      </c>
    </row>
    <row r="363" spans="1:22" ht="46.8" x14ac:dyDescent="0.3">
      <c r="A363" s="118">
        <v>360</v>
      </c>
      <c r="B363" s="118" t="s">
        <v>21</v>
      </c>
      <c r="C363" s="41" t="s">
        <v>300</v>
      </c>
      <c r="D363" s="118" t="s">
        <v>58</v>
      </c>
      <c r="E363" s="118" t="s">
        <v>758</v>
      </c>
      <c r="F363" s="44" t="s">
        <v>799</v>
      </c>
      <c r="G363" s="118" t="s">
        <v>186</v>
      </c>
      <c r="H363" s="589"/>
      <c r="I363" s="118">
        <v>6</v>
      </c>
      <c r="J363" s="589">
        <v>787.91250000000002</v>
      </c>
      <c r="K363" s="589"/>
      <c r="L363" s="118">
        <v>6</v>
      </c>
      <c r="M363" s="589">
        <v>787.91250000000002</v>
      </c>
      <c r="N363" s="6" t="s">
        <v>800</v>
      </c>
      <c r="O363" s="119">
        <v>45323</v>
      </c>
      <c r="P363" s="33" t="str">
        <f>HYPERLINK("https://my.zakupivli.pro/remote/dispatcher/state_purchase_view/48871901", "UA-2024-02-01-013304-a")</f>
        <v>UA-2024-02-01-013304-a</v>
      </c>
      <c r="Q363" s="118"/>
      <c r="R363" s="118">
        <v>6</v>
      </c>
      <c r="S363" s="118">
        <v>693.85569999999996</v>
      </c>
      <c r="T363" s="119">
        <v>45342</v>
      </c>
      <c r="U363" s="118"/>
      <c r="V363" s="118"/>
    </row>
    <row r="364" spans="1:22" ht="31.2" x14ac:dyDescent="0.3">
      <c r="A364" s="118">
        <v>361</v>
      </c>
      <c r="B364" s="118" t="s">
        <v>21</v>
      </c>
      <c r="C364" s="44" t="s">
        <v>804</v>
      </c>
      <c r="D364" s="118" t="s">
        <v>58</v>
      </c>
      <c r="E364" s="118" t="s">
        <v>75</v>
      </c>
      <c r="F364" s="44" t="s">
        <v>801</v>
      </c>
      <c r="G364" s="118" t="s">
        <v>186</v>
      </c>
      <c r="H364" s="589">
        <v>135.83332999999999</v>
      </c>
      <c r="I364" s="118">
        <v>1</v>
      </c>
      <c r="J364" s="589">
        <v>135.83332999999999</v>
      </c>
      <c r="K364" s="589">
        <v>135.83332999999999</v>
      </c>
      <c r="L364" s="118">
        <v>1</v>
      </c>
      <c r="M364" s="589">
        <v>135.83332999999999</v>
      </c>
      <c r="N364" s="6" t="s">
        <v>803</v>
      </c>
      <c r="O364" s="119">
        <v>45323</v>
      </c>
      <c r="P364" s="33" t="str">
        <f>HYPERLINK("https://my.zakupivli.pro/remote/dispatcher/state_purchase_view/48872463", "UA-2024-02-01-013588-a")</f>
        <v>UA-2024-02-01-013588-a</v>
      </c>
      <c r="Q364" s="144">
        <v>135.83000000000001</v>
      </c>
      <c r="R364" s="118">
        <v>1</v>
      </c>
      <c r="S364" s="118">
        <v>135.83000000000001</v>
      </c>
      <c r="T364" s="119">
        <v>45337</v>
      </c>
      <c r="U364" s="118"/>
      <c r="V364" s="118"/>
    </row>
    <row r="365" spans="1:22" ht="78" x14ac:dyDescent="0.3">
      <c r="A365" s="118">
        <v>362</v>
      </c>
      <c r="B365" s="118" t="s">
        <v>21</v>
      </c>
      <c r="C365" s="44" t="s">
        <v>804</v>
      </c>
      <c r="D365" s="118" t="s">
        <v>58</v>
      </c>
      <c r="E365" s="118" t="s">
        <v>75</v>
      </c>
      <c r="F365" s="44" t="s">
        <v>802</v>
      </c>
      <c r="G365" s="118" t="s">
        <v>186</v>
      </c>
      <c r="H365" s="589"/>
      <c r="I365" s="118">
        <v>9</v>
      </c>
      <c r="J365" s="589">
        <v>160.80065999999999</v>
      </c>
      <c r="K365" s="589"/>
      <c r="L365" s="118">
        <v>9</v>
      </c>
      <c r="M365" s="589">
        <v>160.80065999999999</v>
      </c>
      <c r="N365" s="6" t="s">
        <v>803</v>
      </c>
      <c r="O365" s="119">
        <v>45323</v>
      </c>
      <c r="P365" s="33" t="str">
        <f>HYPERLINK("https://my.zakupivli.pro/remote/dispatcher/state_purchase_view/48872463", "UA-2024-02-01-013588-a")</f>
        <v>UA-2024-02-01-013588-a</v>
      </c>
      <c r="Q365" s="118"/>
      <c r="R365" s="118"/>
      <c r="S365" s="118"/>
      <c r="T365" s="119"/>
      <c r="U365" s="144" t="s">
        <v>93</v>
      </c>
      <c r="V365" s="118"/>
    </row>
    <row r="366" spans="1:22" ht="62.4" x14ac:dyDescent="0.3">
      <c r="A366" s="118">
        <v>363</v>
      </c>
      <c r="B366" s="118" t="s">
        <v>21</v>
      </c>
      <c r="C366" s="520" t="s">
        <v>405</v>
      </c>
      <c r="D366" s="118" t="s">
        <v>58</v>
      </c>
      <c r="E366" s="118" t="s">
        <v>75</v>
      </c>
      <c r="F366" s="44" t="s">
        <v>806</v>
      </c>
      <c r="G366" s="118" t="s">
        <v>186</v>
      </c>
      <c r="H366" s="589"/>
      <c r="I366" s="118">
        <v>68</v>
      </c>
      <c r="J366" s="589">
        <v>4341.6660000000002</v>
      </c>
      <c r="K366" s="589"/>
      <c r="L366" s="118">
        <v>68</v>
      </c>
      <c r="M366" s="589">
        <v>4341.6660000000002</v>
      </c>
      <c r="N366" s="6" t="s">
        <v>805</v>
      </c>
      <c r="O366" s="119">
        <v>45323</v>
      </c>
      <c r="P366" s="33" t="str">
        <f>HYPERLINK("https://my.zakupivli.pro/remote/dispatcher/state_purchase_view/48872774", "UA-2024-02-01-013687-a")</f>
        <v>UA-2024-02-01-013687-a</v>
      </c>
      <c r="Q366" s="118"/>
      <c r="R366" s="118">
        <v>68</v>
      </c>
      <c r="S366" s="118">
        <v>4305.6054999999997</v>
      </c>
      <c r="T366" s="119">
        <v>45343</v>
      </c>
      <c r="U366" s="118"/>
      <c r="V366" s="118"/>
    </row>
    <row r="367" spans="1:22" ht="187.2" x14ac:dyDescent="0.3">
      <c r="A367" s="118">
        <v>364</v>
      </c>
      <c r="B367" s="122" t="s">
        <v>40</v>
      </c>
      <c r="C367" s="44" t="s">
        <v>41</v>
      </c>
      <c r="D367" s="122" t="s">
        <v>58</v>
      </c>
      <c r="E367" s="122" t="s">
        <v>88</v>
      </c>
      <c r="F367" s="44" t="s">
        <v>807</v>
      </c>
      <c r="G367" s="122" t="s">
        <v>184</v>
      </c>
      <c r="H367" s="589">
        <v>2583.86</v>
      </c>
      <c r="I367" s="118">
        <v>1</v>
      </c>
      <c r="J367" s="589">
        <v>2583.86</v>
      </c>
      <c r="K367" s="589">
        <v>2583.86</v>
      </c>
      <c r="L367" s="122">
        <v>1</v>
      </c>
      <c r="M367" s="589">
        <v>2583.86</v>
      </c>
      <c r="N367" s="6" t="s">
        <v>808</v>
      </c>
      <c r="O367" s="119">
        <v>45324</v>
      </c>
      <c r="P367" s="33" t="str">
        <f>HYPERLINK("https://my.zakupivli.pro/remote/dispatcher/state_purchase_view/48907510", "UA-2024-02-02-013046-a")</f>
        <v>UA-2024-02-02-013046-a</v>
      </c>
      <c r="Q367" s="122">
        <v>2567.0527400000001</v>
      </c>
      <c r="R367" s="122">
        <v>1</v>
      </c>
      <c r="S367" s="189">
        <v>2567.0527400000001</v>
      </c>
      <c r="T367" s="119">
        <v>45359</v>
      </c>
      <c r="U367" s="118"/>
      <c r="V367" s="118"/>
    </row>
    <row r="368" spans="1:22" ht="187.2" x14ac:dyDescent="0.3">
      <c r="A368" s="122">
        <v>365</v>
      </c>
      <c r="B368" s="122" t="s">
        <v>40</v>
      </c>
      <c r="C368" s="44" t="s">
        <v>41</v>
      </c>
      <c r="D368" s="122" t="s">
        <v>58</v>
      </c>
      <c r="E368" s="122" t="s">
        <v>88</v>
      </c>
      <c r="F368" s="44" t="s">
        <v>809</v>
      </c>
      <c r="G368" s="122" t="s">
        <v>184</v>
      </c>
      <c r="H368" s="589">
        <v>1958.6</v>
      </c>
      <c r="I368" s="122">
        <v>1</v>
      </c>
      <c r="J368" s="589">
        <v>1958.6</v>
      </c>
      <c r="K368" s="589">
        <v>1958.6</v>
      </c>
      <c r="L368" s="122">
        <v>1</v>
      </c>
      <c r="M368" s="589">
        <v>1958.6</v>
      </c>
      <c r="N368" s="6" t="s">
        <v>808</v>
      </c>
      <c r="O368" s="121">
        <v>45324</v>
      </c>
      <c r="P368" s="33" t="str">
        <f>HYPERLINK("https://my.zakupivli.pro/remote/dispatcher/state_purchase_view/48907510", "UA-2024-02-02-013046-a")</f>
        <v>UA-2024-02-02-013046-a</v>
      </c>
      <c r="Q368" s="122">
        <v>1931.6126200000001</v>
      </c>
      <c r="R368" s="122">
        <v>1</v>
      </c>
      <c r="S368" s="189">
        <v>1931.6126200000001</v>
      </c>
      <c r="T368" s="188">
        <v>45359</v>
      </c>
      <c r="U368" s="122"/>
      <c r="V368" s="122"/>
    </row>
    <row r="369" spans="1:22" ht="140.4" x14ac:dyDescent="0.3">
      <c r="A369" s="122">
        <v>366</v>
      </c>
      <c r="B369" s="122" t="s">
        <v>40</v>
      </c>
      <c r="C369" s="44" t="s">
        <v>41</v>
      </c>
      <c r="D369" s="122" t="s">
        <v>58</v>
      </c>
      <c r="E369" s="122" t="s">
        <v>88</v>
      </c>
      <c r="F369" s="44" t="s">
        <v>810</v>
      </c>
      <c r="G369" s="122" t="s">
        <v>184</v>
      </c>
      <c r="H369" s="589">
        <v>4673.54</v>
      </c>
      <c r="I369" s="122">
        <v>1</v>
      </c>
      <c r="J369" s="589">
        <v>4673.54</v>
      </c>
      <c r="K369" s="589">
        <v>4673.54</v>
      </c>
      <c r="L369" s="122">
        <v>1</v>
      </c>
      <c r="M369" s="589">
        <v>4673.54</v>
      </c>
      <c r="N369" s="6" t="s">
        <v>811</v>
      </c>
      <c r="O369" s="121">
        <v>45324</v>
      </c>
      <c r="P369" s="33" t="str">
        <f>HYPERLINK("https://my.zakupivli.pro/remote/dispatcher/state_purchase_view/48907505", "UA-2024-02-02-013037-a")</f>
        <v>UA-2024-02-02-013037-a</v>
      </c>
      <c r="Q369" s="122">
        <v>4671.54817</v>
      </c>
      <c r="R369" s="122">
        <v>1</v>
      </c>
      <c r="S369" s="144">
        <v>4671.54817</v>
      </c>
      <c r="T369" s="121">
        <v>45345</v>
      </c>
      <c r="U369" s="122"/>
      <c r="V369" s="122"/>
    </row>
    <row r="370" spans="1:22" ht="109.2" x14ac:dyDescent="0.3">
      <c r="A370" s="122">
        <v>367</v>
      </c>
      <c r="B370" s="122" t="s">
        <v>40</v>
      </c>
      <c r="C370" s="44" t="s">
        <v>41</v>
      </c>
      <c r="D370" s="122" t="s">
        <v>58</v>
      </c>
      <c r="E370" s="122" t="s">
        <v>88</v>
      </c>
      <c r="F370" s="44" t="s">
        <v>812</v>
      </c>
      <c r="G370" s="122" t="s">
        <v>184</v>
      </c>
      <c r="H370" s="589">
        <v>1456.78683</v>
      </c>
      <c r="I370" s="122">
        <v>1</v>
      </c>
      <c r="J370" s="589">
        <v>1456.78683</v>
      </c>
      <c r="K370" s="589">
        <v>1456.78683</v>
      </c>
      <c r="L370" s="122">
        <v>1</v>
      </c>
      <c r="M370" s="589">
        <v>1456.78683</v>
      </c>
      <c r="N370" s="6" t="s">
        <v>813</v>
      </c>
      <c r="O370" s="121">
        <v>45324</v>
      </c>
      <c r="P370" s="42" t="str">
        <f>HYPERLINK("https://my.zakupivli.pro/remote/dispatcher/state_purchase_view/48907317", "UA-2024-02-02-012973-a")</f>
        <v>UA-2024-02-02-012973-a</v>
      </c>
      <c r="Q370" s="122">
        <v>1351.3407400000001</v>
      </c>
      <c r="R370" s="122">
        <v>1</v>
      </c>
      <c r="S370" s="144">
        <v>1351.3407400000001</v>
      </c>
      <c r="T370" s="121">
        <v>45341</v>
      </c>
      <c r="U370" s="122"/>
      <c r="V370" s="122"/>
    </row>
    <row r="371" spans="1:22" ht="140.4" x14ac:dyDescent="0.3">
      <c r="A371" s="122">
        <v>368</v>
      </c>
      <c r="B371" s="122" t="s">
        <v>40</v>
      </c>
      <c r="C371" s="44" t="s">
        <v>41</v>
      </c>
      <c r="D371" s="122" t="s">
        <v>58</v>
      </c>
      <c r="E371" s="122" t="s">
        <v>88</v>
      </c>
      <c r="F371" s="44" t="s">
        <v>814</v>
      </c>
      <c r="G371" s="122" t="s">
        <v>184</v>
      </c>
      <c r="H371" s="589">
        <v>2280.23</v>
      </c>
      <c r="I371" s="122">
        <v>1</v>
      </c>
      <c r="J371" s="589">
        <v>2280.23</v>
      </c>
      <c r="K371" s="589">
        <v>2280.23</v>
      </c>
      <c r="L371" s="122">
        <v>1</v>
      </c>
      <c r="M371" s="589">
        <v>2280.23</v>
      </c>
      <c r="N371" s="6" t="s">
        <v>815</v>
      </c>
      <c r="O371" s="121">
        <v>45324</v>
      </c>
      <c r="P371" s="33" t="str">
        <f>HYPERLINK("https://my.zakupivli.pro/remote/dispatcher/state_purchase_view/48907249", "UA-2024-02-02-012931-a")</f>
        <v>UA-2024-02-02-012931-a</v>
      </c>
      <c r="Q371" s="122">
        <v>2208.3333299999999</v>
      </c>
      <c r="R371" s="122">
        <v>1</v>
      </c>
      <c r="S371" s="189">
        <v>2208.3333299999999</v>
      </c>
      <c r="T371" s="121">
        <v>45358</v>
      </c>
      <c r="U371" s="122"/>
      <c r="V371" s="122"/>
    </row>
    <row r="372" spans="1:22" ht="234" x14ac:dyDescent="0.3">
      <c r="A372" s="122">
        <v>369</v>
      </c>
      <c r="B372" s="122" t="s">
        <v>40</v>
      </c>
      <c r="C372" s="44" t="s">
        <v>41</v>
      </c>
      <c r="D372" s="122" t="s">
        <v>58</v>
      </c>
      <c r="E372" s="122" t="s">
        <v>88</v>
      </c>
      <c r="F372" s="44" t="s">
        <v>816</v>
      </c>
      <c r="G372" s="122" t="s">
        <v>184</v>
      </c>
      <c r="H372" s="589">
        <v>1505.6904</v>
      </c>
      <c r="I372" s="122">
        <v>1</v>
      </c>
      <c r="J372" s="589">
        <v>1505.6904</v>
      </c>
      <c r="K372" s="589">
        <v>1505.6904</v>
      </c>
      <c r="L372" s="122">
        <v>1</v>
      </c>
      <c r="M372" s="589">
        <v>1505.6904</v>
      </c>
      <c r="N372" s="6" t="s">
        <v>820</v>
      </c>
      <c r="O372" s="121">
        <v>45324</v>
      </c>
      <c r="P372" s="33" t="str">
        <f>HYPERLINK("https://my.zakupivli.pro/remote/dispatcher/state_purchase_view/48906477", "UA-2024-02-02-012574-a")</f>
        <v>UA-2024-02-02-012574-a</v>
      </c>
      <c r="Q372" s="122">
        <v>1505.5498399999999</v>
      </c>
      <c r="R372" s="122">
        <v>1</v>
      </c>
      <c r="S372" s="144">
        <v>1505.5498399999999</v>
      </c>
      <c r="T372" s="121">
        <v>45345</v>
      </c>
      <c r="U372" s="122"/>
      <c r="V372" s="122"/>
    </row>
    <row r="373" spans="1:22" ht="234" x14ac:dyDescent="0.3">
      <c r="A373" s="122">
        <v>370</v>
      </c>
      <c r="B373" s="122" t="s">
        <v>40</v>
      </c>
      <c r="C373" s="44" t="s">
        <v>41</v>
      </c>
      <c r="D373" s="122" t="s">
        <v>58</v>
      </c>
      <c r="E373" s="122" t="s">
        <v>88</v>
      </c>
      <c r="F373" s="44" t="s">
        <v>817</v>
      </c>
      <c r="G373" s="122" t="s">
        <v>184</v>
      </c>
      <c r="H373" s="589">
        <v>3363.5384899999999</v>
      </c>
      <c r="I373" s="122">
        <v>1</v>
      </c>
      <c r="J373" s="589">
        <v>3363.5384899999999</v>
      </c>
      <c r="K373" s="589">
        <v>3363.5384899999999</v>
      </c>
      <c r="L373" s="122">
        <v>1</v>
      </c>
      <c r="M373" s="589">
        <v>3363.5384899999999</v>
      </c>
      <c r="N373" s="6" t="s">
        <v>820</v>
      </c>
      <c r="O373" s="121">
        <v>45324</v>
      </c>
      <c r="P373" s="33" t="str">
        <f>HYPERLINK("https://my.zakupivli.pro/remote/dispatcher/state_purchase_view/48906477", "UA-2024-02-02-012574-a")</f>
        <v>UA-2024-02-02-012574-a</v>
      </c>
      <c r="Q373" s="122">
        <v>3363.5246499999998</v>
      </c>
      <c r="R373" s="122">
        <v>1</v>
      </c>
      <c r="S373" s="144">
        <v>3363.5246499999998</v>
      </c>
      <c r="T373" s="145">
        <v>45345</v>
      </c>
      <c r="U373" s="122"/>
      <c r="V373" s="122"/>
    </row>
    <row r="374" spans="1:22" ht="234" x14ac:dyDescent="0.3">
      <c r="A374" s="122">
        <v>371</v>
      </c>
      <c r="B374" s="122" t="s">
        <v>40</v>
      </c>
      <c r="C374" s="44" t="s">
        <v>41</v>
      </c>
      <c r="D374" s="122" t="s">
        <v>58</v>
      </c>
      <c r="E374" s="122" t="s">
        <v>88</v>
      </c>
      <c r="F374" s="44" t="s">
        <v>818</v>
      </c>
      <c r="G374" s="122" t="s">
        <v>184</v>
      </c>
      <c r="H374" s="589">
        <v>3330.2784900000001</v>
      </c>
      <c r="I374" s="122">
        <v>1</v>
      </c>
      <c r="J374" s="589">
        <v>3330.2784900000001</v>
      </c>
      <c r="K374" s="589">
        <v>3330.2784900000001</v>
      </c>
      <c r="L374" s="122">
        <v>1</v>
      </c>
      <c r="M374" s="589">
        <v>3330.2784900000001</v>
      </c>
      <c r="N374" s="6" t="s">
        <v>820</v>
      </c>
      <c r="O374" s="121">
        <v>45324</v>
      </c>
      <c r="P374" s="33" t="str">
        <f>HYPERLINK("https://my.zakupivli.pro/remote/dispatcher/state_purchase_view/48906477", "UA-2024-02-02-012574-a")</f>
        <v>UA-2024-02-02-012574-a</v>
      </c>
      <c r="Q374" s="122">
        <v>3330.23414</v>
      </c>
      <c r="R374" s="122">
        <v>1</v>
      </c>
      <c r="S374" s="144">
        <v>3330.23414</v>
      </c>
      <c r="T374" s="145">
        <v>45345</v>
      </c>
      <c r="U374" s="122"/>
      <c r="V374" s="122"/>
    </row>
    <row r="375" spans="1:22" ht="234" x14ac:dyDescent="0.3">
      <c r="A375" s="122">
        <v>372</v>
      </c>
      <c r="B375" s="122" t="s">
        <v>40</v>
      </c>
      <c r="C375" s="44" t="s">
        <v>41</v>
      </c>
      <c r="D375" s="122" t="s">
        <v>58</v>
      </c>
      <c r="E375" s="122" t="s">
        <v>88</v>
      </c>
      <c r="F375" s="44" t="s">
        <v>819</v>
      </c>
      <c r="G375" s="122" t="s">
        <v>184</v>
      </c>
      <c r="H375" s="589">
        <v>2156.20631</v>
      </c>
      <c r="I375" s="122">
        <v>1</v>
      </c>
      <c r="J375" s="589">
        <v>2156.20631</v>
      </c>
      <c r="K375" s="589">
        <v>2156.20631</v>
      </c>
      <c r="L375" s="122">
        <v>1</v>
      </c>
      <c r="M375" s="589">
        <v>2156.20631</v>
      </c>
      <c r="N375" s="6" t="s">
        <v>820</v>
      </c>
      <c r="O375" s="121">
        <v>45324</v>
      </c>
      <c r="P375" s="33" t="str">
        <f>HYPERLINK("https://my.zakupivli.pro/remote/dispatcher/state_purchase_view/48906477", "UA-2024-02-02-012574-a")</f>
        <v>UA-2024-02-02-012574-a</v>
      </c>
      <c r="Q375" s="122">
        <v>2156.0509999999999</v>
      </c>
      <c r="R375" s="122">
        <v>1</v>
      </c>
      <c r="S375" s="144">
        <v>2156.0509999999999</v>
      </c>
      <c r="T375" s="145">
        <v>45345</v>
      </c>
      <c r="U375" s="122"/>
      <c r="V375" s="122"/>
    </row>
    <row r="376" spans="1:22" ht="140.4" x14ac:dyDescent="0.3">
      <c r="A376" s="122">
        <v>373</v>
      </c>
      <c r="B376" s="122" t="s">
        <v>40</v>
      </c>
      <c r="C376" s="44" t="s">
        <v>41</v>
      </c>
      <c r="D376" s="122" t="s">
        <v>58</v>
      </c>
      <c r="E376" s="122" t="s">
        <v>88</v>
      </c>
      <c r="F376" s="44" t="s">
        <v>821</v>
      </c>
      <c r="G376" s="122" t="s">
        <v>184</v>
      </c>
      <c r="H376" s="589">
        <v>5482.5</v>
      </c>
      <c r="I376" s="122">
        <v>1</v>
      </c>
      <c r="J376" s="589">
        <v>5482.5</v>
      </c>
      <c r="K376" s="589">
        <v>5482.5</v>
      </c>
      <c r="L376" s="122">
        <v>1</v>
      </c>
      <c r="M376" s="589">
        <v>5482.5</v>
      </c>
      <c r="N376" s="6" t="s">
        <v>822</v>
      </c>
      <c r="O376" s="121">
        <v>45324</v>
      </c>
      <c r="P376" s="42" t="str">
        <f>HYPERLINK("https://my.zakupivli.pro/remote/dispatcher/state_purchase_view/48906433", "UA-2024-02-02-012545-a")</f>
        <v>UA-2024-02-02-012545-a</v>
      </c>
      <c r="Q376" s="122">
        <v>5395.5066699999998</v>
      </c>
      <c r="R376" s="122">
        <v>1</v>
      </c>
      <c r="S376" s="189">
        <v>5395.5066699999998</v>
      </c>
      <c r="T376" s="121">
        <v>45358</v>
      </c>
      <c r="U376" s="122"/>
      <c r="V376" s="122"/>
    </row>
    <row r="377" spans="1:22" ht="218.4" x14ac:dyDescent="0.3">
      <c r="A377" s="122">
        <v>374</v>
      </c>
      <c r="B377" s="122" t="s">
        <v>40</v>
      </c>
      <c r="C377" s="44" t="s">
        <v>41</v>
      </c>
      <c r="D377" s="122" t="s">
        <v>58</v>
      </c>
      <c r="E377" s="122" t="s">
        <v>88</v>
      </c>
      <c r="F377" s="44" t="s">
        <v>823</v>
      </c>
      <c r="G377" s="122" t="s">
        <v>184</v>
      </c>
      <c r="H377" s="589">
        <v>2525.36</v>
      </c>
      <c r="I377" s="122">
        <v>1</v>
      </c>
      <c r="J377" s="589">
        <v>2525.36</v>
      </c>
      <c r="K377" s="589">
        <v>2525.36</v>
      </c>
      <c r="L377" s="122">
        <v>1</v>
      </c>
      <c r="M377" s="589">
        <v>2525.36</v>
      </c>
      <c r="N377" s="6" t="s">
        <v>825</v>
      </c>
      <c r="O377" s="121">
        <v>45324</v>
      </c>
      <c r="P377" s="33" t="str">
        <f>HYPERLINK("https://my.zakupivli.pro/remote/dispatcher/state_purchase_view/48906057", "UA-2024-02-02-012435-a")</f>
        <v>UA-2024-02-02-012435-a</v>
      </c>
      <c r="Q377" s="122">
        <v>2525.2122399999998</v>
      </c>
      <c r="R377" s="122">
        <v>1</v>
      </c>
      <c r="S377" s="144">
        <v>2525.2122399999998</v>
      </c>
      <c r="T377" s="121">
        <v>45345</v>
      </c>
      <c r="U377" s="122"/>
      <c r="V377" s="122"/>
    </row>
    <row r="378" spans="1:22" ht="218.4" x14ac:dyDescent="0.3">
      <c r="A378" s="122">
        <v>375</v>
      </c>
      <c r="B378" s="122" t="s">
        <v>40</v>
      </c>
      <c r="C378" s="44" t="s">
        <v>41</v>
      </c>
      <c r="D378" s="122" t="s">
        <v>58</v>
      </c>
      <c r="E378" s="122" t="s">
        <v>88</v>
      </c>
      <c r="F378" s="44" t="s">
        <v>824</v>
      </c>
      <c r="G378" s="122" t="s">
        <v>184</v>
      </c>
      <c r="H378" s="589">
        <v>7262.14</v>
      </c>
      <c r="I378" s="122">
        <v>1</v>
      </c>
      <c r="J378" s="589">
        <v>7262.14</v>
      </c>
      <c r="K378" s="589">
        <v>7262.14</v>
      </c>
      <c r="L378" s="122">
        <v>1</v>
      </c>
      <c r="M378" s="589">
        <v>7262.14</v>
      </c>
      <c r="N378" s="6" t="s">
        <v>825</v>
      </c>
      <c r="O378" s="121">
        <v>45324</v>
      </c>
      <c r="P378" s="33" t="str">
        <f>HYPERLINK("https://my.zakupivli.pro/remote/dispatcher/state_purchase_view/48906057", "UA-2024-02-02-012435-a")</f>
        <v>UA-2024-02-02-012435-a</v>
      </c>
      <c r="Q378" s="122">
        <v>7082.54709</v>
      </c>
      <c r="R378" s="122">
        <v>1</v>
      </c>
      <c r="S378" s="144">
        <v>7082.54709</v>
      </c>
      <c r="T378" s="145">
        <v>45345</v>
      </c>
      <c r="U378" s="122"/>
      <c r="V378" s="122"/>
    </row>
    <row r="379" spans="1:22" ht="140.4" x14ac:dyDescent="0.3">
      <c r="A379" s="122">
        <v>376</v>
      </c>
      <c r="B379" s="122" t="s">
        <v>40</v>
      </c>
      <c r="C379" s="44" t="s">
        <v>41</v>
      </c>
      <c r="D379" s="122" t="s">
        <v>58</v>
      </c>
      <c r="E379" s="122" t="s">
        <v>88</v>
      </c>
      <c r="F379" s="44" t="s">
        <v>826</v>
      </c>
      <c r="G379" s="122" t="s">
        <v>184</v>
      </c>
      <c r="H379" s="589">
        <v>3379.05</v>
      </c>
      <c r="I379" s="122">
        <v>1</v>
      </c>
      <c r="J379" s="589">
        <v>3379.05</v>
      </c>
      <c r="K379" s="589">
        <v>3379.05</v>
      </c>
      <c r="L379" s="122">
        <v>1</v>
      </c>
      <c r="M379" s="589">
        <v>3379.05</v>
      </c>
      <c r="N379" s="6" t="s">
        <v>827</v>
      </c>
      <c r="O379" s="121">
        <v>45324</v>
      </c>
      <c r="P379" s="33" t="str">
        <f>HYPERLINK("https://my.zakupivli.pro/remote/dispatcher/state_purchase_view/48905507", "UA-2024-02-02-012110-a")</f>
        <v>UA-2024-02-02-012110-a</v>
      </c>
      <c r="Q379" s="122">
        <v>3369.45262</v>
      </c>
      <c r="R379" s="122">
        <v>1</v>
      </c>
      <c r="S379" s="144">
        <v>3369.45262</v>
      </c>
      <c r="T379" s="145">
        <v>45345</v>
      </c>
      <c r="U379" s="122"/>
      <c r="V379" s="122"/>
    </row>
    <row r="380" spans="1:22" ht="140.4" x14ac:dyDescent="0.3">
      <c r="A380" s="122">
        <v>377</v>
      </c>
      <c r="B380" s="122" t="s">
        <v>40</v>
      </c>
      <c r="C380" s="44" t="s">
        <v>41</v>
      </c>
      <c r="D380" s="122" t="s">
        <v>58</v>
      </c>
      <c r="E380" s="122" t="s">
        <v>88</v>
      </c>
      <c r="F380" s="44" t="s">
        <v>828</v>
      </c>
      <c r="G380" s="122" t="s">
        <v>184</v>
      </c>
      <c r="H380" s="589">
        <v>5108.74</v>
      </c>
      <c r="I380" s="122">
        <v>1</v>
      </c>
      <c r="J380" s="589">
        <v>5108.74</v>
      </c>
      <c r="K380" s="589">
        <v>5108.74</v>
      </c>
      <c r="L380" s="122">
        <v>1</v>
      </c>
      <c r="M380" s="589">
        <v>5108.74</v>
      </c>
      <c r="N380" s="6" t="s">
        <v>829</v>
      </c>
      <c r="O380" s="121">
        <v>45324</v>
      </c>
      <c r="P380" s="33" t="str">
        <f>HYPERLINK("https://my.zakupivli.pro/remote/dispatcher/state_purchase_view/48905205", "UA-2024-02-02-011984-a")</f>
        <v>UA-2024-02-02-011984-a</v>
      </c>
      <c r="Q380" s="122">
        <v>5108.5941199999997</v>
      </c>
      <c r="R380" s="122">
        <v>1</v>
      </c>
      <c r="S380" s="144">
        <v>5108.5941199999997</v>
      </c>
      <c r="T380" s="121">
        <v>45345</v>
      </c>
      <c r="U380" s="122"/>
      <c r="V380" s="122"/>
    </row>
    <row r="381" spans="1:22" ht="124.8" x14ac:dyDescent="0.3">
      <c r="A381" s="122">
        <v>378</v>
      </c>
      <c r="B381" s="122" t="s">
        <v>40</v>
      </c>
      <c r="C381" s="44" t="s">
        <v>41</v>
      </c>
      <c r="D381" s="122" t="s">
        <v>58</v>
      </c>
      <c r="E381" s="122" t="s">
        <v>88</v>
      </c>
      <c r="F381" s="44" t="s">
        <v>830</v>
      </c>
      <c r="G381" s="122" t="s">
        <v>184</v>
      </c>
      <c r="H381" s="589">
        <v>3600.39</v>
      </c>
      <c r="I381" s="122">
        <v>1</v>
      </c>
      <c r="J381" s="589">
        <v>3600.39</v>
      </c>
      <c r="K381" s="589">
        <v>3600.39</v>
      </c>
      <c r="L381" s="122">
        <v>1</v>
      </c>
      <c r="M381" s="589">
        <v>3600.39</v>
      </c>
      <c r="N381" s="6" t="s">
        <v>831</v>
      </c>
      <c r="O381" s="121">
        <v>45324</v>
      </c>
      <c r="P381" s="33" t="str">
        <f>HYPERLINK("https://my.zakupivli.pro/remote/dispatcher/state_purchase_view/48904634", "UA-2024-02-02-011751-a")</f>
        <v>UA-2024-02-02-011751-a</v>
      </c>
      <c r="Q381" s="122">
        <v>3595.6838499999999</v>
      </c>
      <c r="R381" s="122">
        <v>1</v>
      </c>
      <c r="S381" s="144">
        <v>3595.6838499999999</v>
      </c>
      <c r="T381" s="121">
        <v>45343</v>
      </c>
      <c r="U381" s="122"/>
      <c r="V381" s="122"/>
    </row>
    <row r="382" spans="1:22" ht="109.2" x14ac:dyDescent="0.3">
      <c r="A382" s="122">
        <v>379</v>
      </c>
      <c r="B382" s="122" t="s">
        <v>40</v>
      </c>
      <c r="C382" s="44" t="s">
        <v>41</v>
      </c>
      <c r="D382" s="122" t="s">
        <v>58</v>
      </c>
      <c r="E382" s="122" t="s">
        <v>88</v>
      </c>
      <c r="F382" s="44" t="s">
        <v>832</v>
      </c>
      <c r="G382" s="122" t="s">
        <v>184</v>
      </c>
      <c r="H382" s="589">
        <v>3061.681</v>
      </c>
      <c r="I382" s="122">
        <v>1</v>
      </c>
      <c r="J382" s="589">
        <v>3061.681</v>
      </c>
      <c r="K382" s="589">
        <v>3061.681</v>
      </c>
      <c r="L382" s="122">
        <v>1</v>
      </c>
      <c r="M382" s="589">
        <v>3061.681</v>
      </c>
      <c r="N382" s="6" t="s">
        <v>833</v>
      </c>
      <c r="O382" s="121">
        <v>45324</v>
      </c>
      <c r="P382" s="33" t="str">
        <f>HYPERLINK("https://my.zakupivli.pro/remote/dispatcher/state_purchase_view/48904467", "UA-2024-02-02-011638-a")</f>
        <v>UA-2024-02-02-011638-a</v>
      </c>
      <c r="Q382" s="122">
        <v>3047.6784499999999</v>
      </c>
      <c r="R382" s="122">
        <v>1</v>
      </c>
      <c r="S382" s="144">
        <v>3047.6784499999999</v>
      </c>
      <c r="T382" s="121">
        <v>45342</v>
      </c>
      <c r="U382" s="122"/>
      <c r="V382" s="122"/>
    </row>
    <row r="383" spans="1:22" ht="109.2" x14ac:dyDescent="0.3">
      <c r="A383" s="122">
        <v>380</v>
      </c>
      <c r="B383" s="122" t="s">
        <v>40</v>
      </c>
      <c r="C383" s="44" t="s">
        <v>41</v>
      </c>
      <c r="D383" s="122" t="s">
        <v>58</v>
      </c>
      <c r="E383" s="122" t="s">
        <v>88</v>
      </c>
      <c r="F383" s="44" t="s">
        <v>834</v>
      </c>
      <c r="G383" s="122" t="s">
        <v>184</v>
      </c>
      <c r="H383" s="589">
        <v>3249.9830000000002</v>
      </c>
      <c r="I383" s="122">
        <v>1</v>
      </c>
      <c r="J383" s="589">
        <v>3249.9830000000002</v>
      </c>
      <c r="K383" s="589">
        <v>3249.9830000000002</v>
      </c>
      <c r="L383" s="122">
        <v>1</v>
      </c>
      <c r="M383" s="589">
        <v>3249.9830000000002</v>
      </c>
      <c r="N383" s="6" t="s">
        <v>835</v>
      </c>
      <c r="O383" s="121">
        <v>45324</v>
      </c>
      <c r="P383" s="33" t="str">
        <f>HYPERLINK("https://my.zakupivli.pro/remote/dispatcher/state_purchase_view/48904066", "UA-2024-02-02-011602-a")</f>
        <v>UA-2024-02-02-011602-a</v>
      </c>
      <c r="Q383" s="122">
        <v>3244.7617</v>
      </c>
      <c r="R383" s="122">
        <v>1</v>
      </c>
      <c r="S383" s="144">
        <v>3244.7617</v>
      </c>
      <c r="T383" s="145">
        <v>45342</v>
      </c>
      <c r="U383" s="122"/>
      <c r="V383" s="122"/>
    </row>
    <row r="384" spans="1:22" ht="202.8" x14ac:dyDescent="0.3">
      <c r="A384" s="122">
        <v>381</v>
      </c>
      <c r="B384" s="122" t="s">
        <v>40</v>
      </c>
      <c r="C384" s="44" t="s">
        <v>41</v>
      </c>
      <c r="D384" s="122" t="s">
        <v>58</v>
      </c>
      <c r="E384" s="122" t="s">
        <v>88</v>
      </c>
      <c r="F384" s="44" t="s">
        <v>836</v>
      </c>
      <c r="G384" s="122" t="s">
        <v>184</v>
      </c>
      <c r="H384" s="589">
        <v>8349.8189399999992</v>
      </c>
      <c r="I384" s="122">
        <v>1</v>
      </c>
      <c r="J384" s="589">
        <v>8349.8189399999992</v>
      </c>
      <c r="K384" s="589">
        <v>8349.8189399999992</v>
      </c>
      <c r="L384" s="122">
        <v>1</v>
      </c>
      <c r="M384" s="589">
        <v>8349.8189399999992</v>
      </c>
      <c r="N384" s="6" t="s">
        <v>838</v>
      </c>
      <c r="O384" s="121">
        <v>45324</v>
      </c>
      <c r="P384" s="33" t="str">
        <f>HYPERLINK("https://my.zakupivli.pro/remote/dispatcher/state_purchase_view/48903944", "UA-2024-02-02-011459-a")</f>
        <v>UA-2024-02-02-011459-a</v>
      </c>
      <c r="Q384" s="122"/>
      <c r="R384" s="122"/>
      <c r="S384" s="122"/>
      <c r="T384" s="121"/>
      <c r="U384" s="129" t="s">
        <v>93</v>
      </c>
      <c r="V384" s="122"/>
    </row>
    <row r="385" spans="1:22" ht="218.4" x14ac:dyDescent="0.3">
      <c r="A385" s="122">
        <v>382</v>
      </c>
      <c r="B385" s="122" t="s">
        <v>40</v>
      </c>
      <c r="C385" s="44" t="s">
        <v>41</v>
      </c>
      <c r="D385" s="122" t="s">
        <v>58</v>
      </c>
      <c r="E385" s="122" t="s">
        <v>88</v>
      </c>
      <c r="F385" s="44" t="s">
        <v>837</v>
      </c>
      <c r="G385" s="122" t="s">
        <v>184</v>
      </c>
      <c r="H385" s="589">
        <v>6432.3817799999997</v>
      </c>
      <c r="I385" s="122">
        <v>1</v>
      </c>
      <c r="J385" s="589">
        <v>6432.3817799999997</v>
      </c>
      <c r="K385" s="589">
        <v>6432.3817799999997</v>
      </c>
      <c r="L385" s="122">
        <v>1</v>
      </c>
      <c r="M385" s="589">
        <v>6432.3817799999997</v>
      </c>
      <c r="N385" s="6" t="s">
        <v>838</v>
      </c>
      <c r="O385" s="121">
        <v>45324</v>
      </c>
      <c r="P385" s="33" t="str">
        <f>HYPERLINK("https://my.zakupivli.pro/remote/dispatcher/state_purchase_view/48903944", "UA-2024-02-02-011459-a")</f>
        <v>UA-2024-02-02-011459-a</v>
      </c>
      <c r="Q385" s="122"/>
      <c r="R385" s="122"/>
      <c r="S385" s="122"/>
      <c r="T385" s="121"/>
      <c r="U385" s="129" t="s">
        <v>93</v>
      </c>
      <c r="V385" s="122"/>
    </row>
    <row r="386" spans="1:22" ht="140.4" x14ac:dyDescent="0.3">
      <c r="A386" s="122">
        <v>383</v>
      </c>
      <c r="B386" s="122" t="s">
        <v>40</v>
      </c>
      <c r="C386" s="44" t="s">
        <v>41</v>
      </c>
      <c r="D386" s="122" t="s">
        <v>58</v>
      </c>
      <c r="E386" s="122" t="s">
        <v>88</v>
      </c>
      <c r="F386" s="44" t="s">
        <v>839</v>
      </c>
      <c r="G386" s="122" t="s">
        <v>184</v>
      </c>
      <c r="H386" s="589">
        <v>1489.52</v>
      </c>
      <c r="I386" s="122">
        <v>1</v>
      </c>
      <c r="J386" s="589">
        <v>1489.52</v>
      </c>
      <c r="K386" s="589">
        <v>1489.52</v>
      </c>
      <c r="L386" s="122">
        <v>1</v>
      </c>
      <c r="M386" s="589">
        <v>1489.52</v>
      </c>
      <c r="N386" s="6" t="s">
        <v>840</v>
      </c>
      <c r="O386" s="121">
        <v>45324</v>
      </c>
      <c r="P386" s="33" t="str">
        <f>HYPERLINK("https://my.zakupivli.pro/remote/dispatcher/state_purchase_view/48903877", "UA-2024-02-02-011398-a")</f>
        <v>UA-2024-02-02-011398-a</v>
      </c>
      <c r="Q386" s="117">
        <v>1375</v>
      </c>
      <c r="R386" s="122">
        <v>1</v>
      </c>
      <c r="S386" s="117">
        <v>1375</v>
      </c>
      <c r="T386" s="121">
        <v>45342</v>
      </c>
      <c r="U386" s="122"/>
      <c r="V386" s="122"/>
    </row>
    <row r="387" spans="1:22" ht="140.4" x14ac:dyDescent="0.3">
      <c r="A387" s="122">
        <v>384</v>
      </c>
      <c r="B387" s="122" t="s">
        <v>40</v>
      </c>
      <c r="C387" s="44" t="s">
        <v>41</v>
      </c>
      <c r="D387" s="122" t="s">
        <v>58</v>
      </c>
      <c r="E387" s="122" t="s">
        <v>88</v>
      </c>
      <c r="F387" s="44" t="s">
        <v>841</v>
      </c>
      <c r="G387" s="122" t="s">
        <v>184</v>
      </c>
      <c r="H387" s="589">
        <v>1842.9317599999999</v>
      </c>
      <c r="I387" s="122">
        <v>1</v>
      </c>
      <c r="J387" s="589">
        <v>1842.9317599999999</v>
      </c>
      <c r="K387" s="589">
        <v>1842.9317599999999</v>
      </c>
      <c r="L387" s="122">
        <v>1</v>
      </c>
      <c r="M387" s="589">
        <v>1842.9317599999999</v>
      </c>
      <c r="N387" s="6" t="s">
        <v>842</v>
      </c>
      <c r="O387" s="121">
        <v>45324</v>
      </c>
      <c r="P387" s="33" t="str">
        <f>HYPERLINK("https://my.zakupivli.pro/remote/dispatcher/state_purchase_view/48903690", "UA-2024-02-02-011282-a")</f>
        <v>UA-2024-02-02-011282-a</v>
      </c>
      <c r="Q387" s="122">
        <v>1545.0863999999999</v>
      </c>
      <c r="R387" s="122">
        <v>1</v>
      </c>
      <c r="S387" s="144">
        <v>1545.0863999999999</v>
      </c>
      <c r="T387" s="145">
        <v>45342</v>
      </c>
      <c r="U387" s="122"/>
      <c r="V387" s="122"/>
    </row>
    <row r="388" spans="1:22" ht="124.8" x14ac:dyDescent="0.3">
      <c r="A388" s="122">
        <v>385</v>
      </c>
      <c r="B388" s="122" t="s">
        <v>40</v>
      </c>
      <c r="C388" s="44" t="s">
        <v>41</v>
      </c>
      <c r="D388" s="122" t="s">
        <v>58</v>
      </c>
      <c r="E388" s="122" t="s">
        <v>88</v>
      </c>
      <c r="F388" s="41" t="s">
        <v>843</v>
      </c>
      <c r="G388" s="122" t="s">
        <v>184</v>
      </c>
      <c r="H388" s="589">
        <v>1965.6579999999999</v>
      </c>
      <c r="I388" s="122">
        <v>1</v>
      </c>
      <c r="J388" s="589">
        <v>1965.6579999999999</v>
      </c>
      <c r="K388" s="589">
        <v>1965.6579999999999</v>
      </c>
      <c r="L388" s="122">
        <v>1</v>
      </c>
      <c r="M388" s="589">
        <v>1965.6579999999999</v>
      </c>
      <c r="N388" s="6" t="s">
        <v>844</v>
      </c>
      <c r="O388" s="121">
        <v>45324</v>
      </c>
      <c r="P388" s="33" t="str">
        <f>HYPERLINK("https://my.zakupivli.pro/remote/dispatcher/state_purchase_view/48903252", "UA-2024-02-02-011124-a")</f>
        <v>UA-2024-02-02-011124-a</v>
      </c>
      <c r="Q388" s="122">
        <v>1929.05405</v>
      </c>
      <c r="R388" s="122">
        <v>1</v>
      </c>
      <c r="S388" s="144">
        <v>1929.05405</v>
      </c>
      <c r="T388" s="145">
        <v>45342</v>
      </c>
      <c r="U388" s="122"/>
      <c r="V388" s="122"/>
    </row>
    <row r="389" spans="1:22" ht="124.8" x14ac:dyDescent="0.3">
      <c r="A389" s="122">
        <v>386</v>
      </c>
      <c r="B389" s="122" t="s">
        <v>40</v>
      </c>
      <c r="C389" s="44" t="s">
        <v>41</v>
      </c>
      <c r="D389" s="122" t="s">
        <v>58</v>
      </c>
      <c r="E389" s="122" t="s">
        <v>88</v>
      </c>
      <c r="F389" s="44" t="s">
        <v>845</v>
      </c>
      <c r="G389" s="122" t="s">
        <v>184</v>
      </c>
      <c r="H389" s="589">
        <v>2855.15</v>
      </c>
      <c r="I389" s="122">
        <v>1</v>
      </c>
      <c r="J389" s="589">
        <v>2855.15</v>
      </c>
      <c r="K389" s="589">
        <v>2855.15</v>
      </c>
      <c r="L389" s="122">
        <v>1</v>
      </c>
      <c r="M389" s="589">
        <v>2855.15</v>
      </c>
      <c r="N389" s="6" t="s">
        <v>846</v>
      </c>
      <c r="O389" s="121">
        <v>45324</v>
      </c>
      <c r="P389" s="33" t="str">
        <f>HYPERLINK("https://my.zakupivli.pro/remote/dispatcher/state_purchase_view/48903036", "UA-2024-02-02-010994-a")</f>
        <v>UA-2024-02-02-010994-a</v>
      </c>
      <c r="Q389" s="122">
        <v>2853.7132700000002</v>
      </c>
      <c r="R389" s="122">
        <v>1</v>
      </c>
      <c r="S389" s="144">
        <v>2853.7132700000002</v>
      </c>
      <c r="T389" s="121">
        <v>45345</v>
      </c>
      <c r="U389" s="122"/>
      <c r="V389" s="122"/>
    </row>
    <row r="390" spans="1:22" ht="62.4" x14ac:dyDescent="0.3">
      <c r="A390" s="122">
        <v>387</v>
      </c>
      <c r="B390" s="122" t="s">
        <v>40</v>
      </c>
      <c r="C390" s="44" t="s">
        <v>73</v>
      </c>
      <c r="D390" s="122"/>
      <c r="E390" s="122" t="s">
        <v>75</v>
      </c>
      <c r="F390" s="44" t="s">
        <v>847</v>
      </c>
      <c r="G390" s="122" t="s">
        <v>184</v>
      </c>
      <c r="H390" s="589">
        <v>156.30500000000001</v>
      </c>
      <c r="I390" s="122">
        <v>1</v>
      </c>
      <c r="J390" s="589">
        <v>156.30500000000001</v>
      </c>
      <c r="K390" s="589">
        <v>156.30500000000001</v>
      </c>
      <c r="L390" s="122">
        <v>1</v>
      </c>
      <c r="M390" s="589">
        <v>156.30500000000001</v>
      </c>
      <c r="N390" s="6" t="s">
        <v>850</v>
      </c>
      <c r="O390" s="121">
        <v>45324</v>
      </c>
      <c r="P390" s="33" t="str">
        <f>HYPERLINK("https://my.zakupivli.pro/remote/dispatcher/state_purchase_view/48906947", "UA-2024-02-02-012790-a")</f>
        <v>UA-2024-02-02-012790-a</v>
      </c>
      <c r="Q390" s="122">
        <v>156.30500000000001</v>
      </c>
      <c r="R390" s="122">
        <v>1</v>
      </c>
      <c r="S390" s="122">
        <v>156.30500000000001</v>
      </c>
      <c r="T390" s="153">
        <v>45324</v>
      </c>
      <c r="U390" s="122"/>
      <c r="V390" s="122" t="s">
        <v>59</v>
      </c>
    </row>
    <row r="391" spans="1:22" ht="62.4" x14ac:dyDescent="0.3">
      <c r="A391" s="122">
        <v>388</v>
      </c>
      <c r="B391" s="122" t="s">
        <v>40</v>
      </c>
      <c r="C391" s="44" t="s">
        <v>73</v>
      </c>
      <c r="D391" s="122"/>
      <c r="E391" s="122" t="s">
        <v>75</v>
      </c>
      <c r="F391" s="44" t="s">
        <v>848</v>
      </c>
      <c r="G391" s="122" t="s">
        <v>184</v>
      </c>
      <c r="H391" s="589">
        <v>110.2067</v>
      </c>
      <c r="I391" s="122">
        <v>1</v>
      </c>
      <c r="J391" s="589">
        <v>110.2067</v>
      </c>
      <c r="K391" s="589">
        <v>110.2067</v>
      </c>
      <c r="L391" s="122">
        <v>1</v>
      </c>
      <c r="M391" s="589">
        <v>110.2067</v>
      </c>
      <c r="N391" s="6" t="s">
        <v>851</v>
      </c>
      <c r="O391" s="121">
        <v>45324</v>
      </c>
      <c r="P391" s="33" t="str">
        <f>HYPERLINK("https://my.zakupivli.pro/remote/dispatcher/state_purchase_view/48880326", "UA-2024-02-02-000824-a")</f>
        <v>UA-2024-02-02-000824-a</v>
      </c>
      <c r="Q391" s="122">
        <v>110.2067</v>
      </c>
      <c r="R391" s="122">
        <v>1</v>
      </c>
      <c r="S391" s="122">
        <v>110.2067</v>
      </c>
      <c r="T391" s="153">
        <v>45324</v>
      </c>
      <c r="U391" s="122"/>
      <c r="V391" s="122" t="s">
        <v>59</v>
      </c>
    </row>
    <row r="392" spans="1:22" ht="62.4" x14ac:dyDescent="0.3">
      <c r="A392" s="122">
        <v>389</v>
      </c>
      <c r="B392" s="122" t="s">
        <v>40</v>
      </c>
      <c r="C392" s="44" t="s">
        <v>73</v>
      </c>
      <c r="D392" s="122"/>
      <c r="E392" s="122" t="s">
        <v>75</v>
      </c>
      <c r="F392" s="44" t="s">
        <v>849</v>
      </c>
      <c r="G392" s="122" t="s">
        <v>184</v>
      </c>
      <c r="H392" s="589">
        <v>251.22640000000001</v>
      </c>
      <c r="I392" s="122">
        <v>1</v>
      </c>
      <c r="J392" s="589">
        <v>251.22640000000001</v>
      </c>
      <c r="K392" s="589">
        <v>251.22640000000001</v>
      </c>
      <c r="L392" s="122">
        <v>1</v>
      </c>
      <c r="M392" s="589">
        <v>251.22640000000001</v>
      </c>
      <c r="N392" s="6" t="s">
        <v>852</v>
      </c>
      <c r="O392" s="121">
        <v>45324</v>
      </c>
      <c r="P392" s="33" t="str">
        <f>HYPERLINK("https://my.zakupivli.pro/remote/dispatcher/state_purchase_view/48879722", "UA-2024-02-02-000542-a")</f>
        <v>UA-2024-02-02-000542-a</v>
      </c>
      <c r="Q392" s="122">
        <v>251.22640000000001</v>
      </c>
      <c r="R392" s="122">
        <v>1</v>
      </c>
      <c r="S392" s="122">
        <v>251.22640000000001</v>
      </c>
      <c r="T392" s="153">
        <v>45324</v>
      </c>
      <c r="U392" s="122"/>
      <c r="V392" s="122" t="s">
        <v>59</v>
      </c>
    </row>
    <row r="393" spans="1:22" ht="124.8" x14ac:dyDescent="0.3">
      <c r="A393" s="122">
        <v>390</v>
      </c>
      <c r="B393" s="122" t="s">
        <v>40</v>
      </c>
      <c r="C393" s="44" t="s">
        <v>41</v>
      </c>
      <c r="D393" s="122" t="s">
        <v>58</v>
      </c>
      <c r="E393" s="122" t="s">
        <v>88</v>
      </c>
      <c r="F393" s="44" t="s">
        <v>853</v>
      </c>
      <c r="G393" s="122" t="s">
        <v>184</v>
      </c>
      <c r="H393" s="589">
        <v>46628.046950000004</v>
      </c>
      <c r="I393" s="122">
        <v>1</v>
      </c>
      <c r="J393" s="589">
        <v>46628.046950000004</v>
      </c>
      <c r="K393" s="589">
        <v>46628.046950000004</v>
      </c>
      <c r="L393" s="122">
        <v>1</v>
      </c>
      <c r="M393" s="589">
        <v>46628.046950000004</v>
      </c>
      <c r="N393" s="6" t="s">
        <v>854</v>
      </c>
      <c r="O393" s="121">
        <v>45324</v>
      </c>
      <c r="P393" s="42" t="str">
        <f>HYPERLINK("https://my.zakupivli.pro/remote/dispatcher/state_purchase_view/48908684", "UA-2024-02-02-013586-a")</f>
        <v>UA-2024-02-02-013586-a</v>
      </c>
      <c r="Q393" s="122"/>
      <c r="R393" s="122"/>
      <c r="S393" s="122"/>
      <c r="T393" s="121"/>
      <c r="U393" s="129" t="s">
        <v>93</v>
      </c>
      <c r="V393" s="122"/>
    </row>
    <row r="394" spans="1:22" ht="93.6" x14ac:dyDescent="0.3">
      <c r="A394" s="122">
        <v>391</v>
      </c>
      <c r="B394" s="122" t="s">
        <v>40</v>
      </c>
      <c r="C394" s="44" t="s">
        <v>41</v>
      </c>
      <c r="D394" s="122" t="s">
        <v>58</v>
      </c>
      <c r="E394" s="122" t="s">
        <v>88</v>
      </c>
      <c r="F394" s="44" t="s">
        <v>855</v>
      </c>
      <c r="G394" s="122" t="s">
        <v>184</v>
      </c>
      <c r="H394" s="589">
        <v>2673.0005700000002</v>
      </c>
      <c r="I394" s="122">
        <v>1</v>
      </c>
      <c r="J394" s="589">
        <v>2673.0005700000002</v>
      </c>
      <c r="K394" s="589">
        <v>2673.0005700000002</v>
      </c>
      <c r="L394" s="122">
        <v>1</v>
      </c>
      <c r="M394" s="589">
        <v>2673.0005700000002</v>
      </c>
      <c r="N394" s="6" t="s">
        <v>857</v>
      </c>
      <c r="O394" s="121">
        <v>45324</v>
      </c>
      <c r="P394" s="33" t="str">
        <f>HYPERLINK("https://my.zakupivli.pro/remote/dispatcher/state_purchase_view/48908032", "UA-2024-02-02-013279-a")</f>
        <v>UA-2024-02-02-013279-a</v>
      </c>
      <c r="Q394" s="122"/>
      <c r="R394" s="122"/>
      <c r="S394" s="122"/>
      <c r="T394" s="121"/>
      <c r="U394" s="144" t="s">
        <v>93</v>
      </c>
      <c r="V394" s="122"/>
    </row>
    <row r="395" spans="1:22" ht="93.6" x14ac:dyDescent="0.3">
      <c r="A395" s="122">
        <v>392</v>
      </c>
      <c r="B395" s="122" t="s">
        <v>40</v>
      </c>
      <c r="C395" s="44" t="s">
        <v>41</v>
      </c>
      <c r="D395" s="122" t="s">
        <v>58</v>
      </c>
      <c r="E395" s="122" t="s">
        <v>88</v>
      </c>
      <c r="F395" s="44" t="s">
        <v>856</v>
      </c>
      <c r="G395" s="122" t="s">
        <v>184</v>
      </c>
      <c r="H395" s="589">
        <v>1517.3883000000001</v>
      </c>
      <c r="I395" s="122">
        <v>1</v>
      </c>
      <c r="J395" s="589">
        <v>1517.3883000000001</v>
      </c>
      <c r="K395" s="589">
        <v>1517.3883000000001</v>
      </c>
      <c r="L395" s="122">
        <v>1</v>
      </c>
      <c r="M395" s="589">
        <v>1517.3883000000001</v>
      </c>
      <c r="N395" s="6" t="s">
        <v>857</v>
      </c>
      <c r="O395" s="121">
        <v>45324</v>
      </c>
      <c r="P395" s="33" t="str">
        <f>HYPERLINK("https://my.zakupivli.pro/remote/dispatcher/state_purchase_view/48908032", "UA-2024-02-02-013279-a")</f>
        <v>UA-2024-02-02-013279-a</v>
      </c>
      <c r="Q395" s="122"/>
      <c r="R395" s="122"/>
      <c r="S395" s="122"/>
      <c r="T395" s="121"/>
      <c r="U395" s="144" t="s">
        <v>93</v>
      </c>
      <c r="V395" s="122"/>
    </row>
    <row r="396" spans="1:22" ht="93.6" x14ac:dyDescent="0.3">
      <c r="A396" s="122">
        <v>393</v>
      </c>
      <c r="B396" s="122" t="s">
        <v>40</v>
      </c>
      <c r="C396" s="44" t="s">
        <v>41</v>
      </c>
      <c r="D396" s="122" t="s">
        <v>58</v>
      </c>
      <c r="E396" s="122" t="s">
        <v>88</v>
      </c>
      <c r="F396" s="44" t="s">
        <v>858</v>
      </c>
      <c r="G396" s="122" t="s">
        <v>184</v>
      </c>
      <c r="H396" s="589">
        <v>8289.1450000000004</v>
      </c>
      <c r="I396" s="122">
        <v>1</v>
      </c>
      <c r="J396" s="589">
        <v>8289.1450000000004</v>
      </c>
      <c r="K396" s="589">
        <v>8289.1450000000004</v>
      </c>
      <c r="L396" s="122">
        <v>1</v>
      </c>
      <c r="M396" s="589">
        <v>8289.1450000000004</v>
      </c>
      <c r="N396" s="6" t="s">
        <v>860</v>
      </c>
      <c r="O396" s="121">
        <v>45324</v>
      </c>
      <c r="P396" s="33" t="str">
        <f>HYPERLINK("https://my.zakupivli.pro/remote/dispatcher/state_purchase_view/48907751", "UA-2024-02-02-013167-a")</f>
        <v>UA-2024-02-02-013167-a</v>
      </c>
      <c r="Q396" s="122">
        <v>7727.8095899999998</v>
      </c>
      <c r="R396" s="122">
        <v>1</v>
      </c>
      <c r="S396" s="144">
        <v>7727.8095899999998</v>
      </c>
      <c r="T396" s="121">
        <v>45345</v>
      </c>
      <c r="U396" s="122"/>
      <c r="V396" s="122"/>
    </row>
    <row r="397" spans="1:22" ht="93.6" x14ac:dyDescent="0.3">
      <c r="A397" s="122">
        <v>395</v>
      </c>
      <c r="B397" s="122" t="s">
        <v>40</v>
      </c>
      <c r="C397" s="44" t="s">
        <v>41</v>
      </c>
      <c r="D397" s="122" t="s">
        <v>58</v>
      </c>
      <c r="E397" s="122" t="s">
        <v>88</v>
      </c>
      <c r="F397" s="44" t="s">
        <v>859</v>
      </c>
      <c r="G397" s="122" t="s">
        <v>184</v>
      </c>
      <c r="H397" s="589">
        <v>7378.9748499999996</v>
      </c>
      <c r="I397" s="122">
        <v>1</v>
      </c>
      <c r="J397" s="589">
        <v>7378.9748499999996</v>
      </c>
      <c r="K397" s="589">
        <v>7378.9748499999996</v>
      </c>
      <c r="L397" s="122">
        <v>1</v>
      </c>
      <c r="M397" s="589">
        <v>7378.9748499999996</v>
      </c>
      <c r="N397" s="6" t="s">
        <v>860</v>
      </c>
      <c r="O397" s="121">
        <v>45324</v>
      </c>
      <c r="P397" s="33" t="str">
        <f>HYPERLINK("https://my.zakupivli.pro/remote/dispatcher/state_purchase_view/48907751", "UA-2024-02-02-013167-a")</f>
        <v>UA-2024-02-02-013167-a</v>
      </c>
      <c r="Q397" s="122">
        <v>7378.6265800000001</v>
      </c>
      <c r="R397" s="122">
        <v>1</v>
      </c>
      <c r="S397" s="144">
        <v>7378.6265800000001</v>
      </c>
      <c r="T397" s="121">
        <v>45342</v>
      </c>
      <c r="U397" s="122"/>
      <c r="V397" s="122"/>
    </row>
    <row r="398" spans="1:22" ht="140.4" x14ac:dyDescent="0.3">
      <c r="A398" s="122">
        <v>395</v>
      </c>
      <c r="B398" s="122" t="s">
        <v>40</v>
      </c>
      <c r="C398" s="44" t="s">
        <v>41</v>
      </c>
      <c r="D398" s="122" t="s">
        <v>58</v>
      </c>
      <c r="E398" s="122" t="s">
        <v>88</v>
      </c>
      <c r="F398" s="44" t="s">
        <v>861</v>
      </c>
      <c r="G398" s="122" t="s">
        <v>184</v>
      </c>
      <c r="H398" s="589">
        <v>2691.93</v>
      </c>
      <c r="I398" s="122">
        <v>1</v>
      </c>
      <c r="J398" s="589">
        <v>2691.93</v>
      </c>
      <c r="K398" s="589">
        <v>2691.93</v>
      </c>
      <c r="L398" s="122">
        <v>1</v>
      </c>
      <c r="M398" s="589">
        <v>2691.93</v>
      </c>
      <c r="N398" s="6" t="s">
        <v>862</v>
      </c>
      <c r="O398" s="121">
        <v>45324</v>
      </c>
      <c r="P398" s="33" t="str">
        <f>HYPERLINK("https://my.zakupivli.pro/remote/dispatcher/state_purchase_view/48907725", "UA-2024-02-02-013148-a")</f>
        <v>UA-2024-02-02-013148-a</v>
      </c>
      <c r="Q398" s="122">
        <v>2691.7078499999998</v>
      </c>
      <c r="R398" s="122">
        <v>1</v>
      </c>
      <c r="S398" s="144">
        <v>2691.7078499999998</v>
      </c>
      <c r="T398" s="145">
        <v>45345</v>
      </c>
      <c r="U398" s="122"/>
      <c r="V398" s="122"/>
    </row>
    <row r="399" spans="1:22" ht="187.2" x14ac:dyDescent="0.3">
      <c r="A399" s="122">
        <v>396</v>
      </c>
      <c r="B399" s="122" t="s">
        <v>40</v>
      </c>
      <c r="C399" s="44" t="s">
        <v>41</v>
      </c>
      <c r="D399" s="122" t="s">
        <v>58</v>
      </c>
      <c r="E399" s="122" t="s">
        <v>88</v>
      </c>
      <c r="F399" s="44" t="s">
        <v>807</v>
      </c>
      <c r="G399" s="122" t="s">
        <v>184</v>
      </c>
      <c r="H399" s="589"/>
      <c r="I399" s="122">
        <v>2</v>
      </c>
      <c r="J399" s="589">
        <v>4542.46</v>
      </c>
      <c r="K399" s="589"/>
      <c r="L399" s="122">
        <v>2</v>
      </c>
      <c r="M399" s="589">
        <v>4542.46</v>
      </c>
      <c r="N399" s="6" t="s">
        <v>808</v>
      </c>
      <c r="O399" s="121">
        <v>45324</v>
      </c>
      <c r="P399" s="33" t="str">
        <f>HYPERLINK("https://my.zakupivli.pro/remote/dispatcher/state_purchase_view/48907510", "UA-2024-02-02-013046-a")</f>
        <v>UA-2024-02-02-013046-a</v>
      </c>
      <c r="Q399" s="122"/>
      <c r="R399" s="122">
        <v>2</v>
      </c>
      <c r="S399" s="166">
        <v>4498.66536</v>
      </c>
      <c r="T399" s="121">
        <v>45359</v>
      </c>
      <c r="U399" s="122"/>
      <c r="V399" s="122"/>
    </row>
    <row r="400" spans="1:22" ht="124.8" x14ac:dyDescent="0.3">
      <c r="A400" s="122">
        <v>397</v>
      </c>
      <c r="B400" s="123" t="s">
        <v>40</v>
      </c>
      <c r="C400" s="44" t="s">
        <v>41</v>
      </c>
      <c r="D400" s="123" t="s">
        <v>58</v>
      </c>
      <c r="E400" s="123" t="s">
        <v>88</v>
      </c>
      <c r="F400" s="41" t="s">
        <v>863</v>
      </c>
      <c r="G400" s="123" t="s">
        <v>184</v>
      </c>
      <c r="H400" s="589">
        <v>1887.36</v>
      </c>
      <c r="I400" s="122">
        <v>1</v>
      </c>
      <c r="J400" s="589">
        <v>1887.36</v>
      </c>
      <c r="K400" s="589">
        <v>1887.36</v>
      </c>
      <c r="L400" s="123">
        <v>1</v>
      </c>
      <c r="M400" s="589">
        <v>1887.36</v>
      </c>
      <c r="N400" s="6" t="s">
        <v>864</v>
      </c>
      <c r="O400" s="121">
        <v>45328</v>
      </c>
      <c r="P400" s="33" t="str">
        <f>HYPERLINK("https://my.zakupivli.pro/remote/dispatcher/state_purchase_view/48969987", "UA-2024-02-06-008339-a")</f>
        <v>UA-2024-02-06-008339-a</v>
      </c>
      <c r="Q400" s="117">
        <v>1875</v>
      </c>
      <c r="R400" s="122">
        <v>1</v>
      </c>
      <c r="S400" s="117">
        <v>1875</v>
      </c>
      <c r="T400" s="121">
        <v>45351</v>
      </c>
      <c r="U400" s="122"/>
      <c r="V400" s="122"/>
    </row>
    <row r="401" spans="1:22" ht="62.4" x14ac:dyDescent="0.3">
      <c r="A401" s="122">
        <v>398</v>
      </c>
      <c r="B401" s="123" t="s">
        <v>21</v>
      </c>
      <c r="C401" s="44" t="s">
        <v>405</v>
      </c>
      <c r="D401" s="123" t="s">
        <v>58</v>
      </c>
      <c r="E401" s="123" t="s">
        <v>75</v>
      </c>
      <c r="F401" s="44" t="s">
        <v>865</v>
      </c>
      <c r="G401" s="105" t="s">
        <v>186</v>
      </c>
      <c r="H401" s="589"/>
      <c r="I401" s="122">
        <v>2</v>
      </c>
      <c r="J401" s="589">
        <v>1993.104</v>
      </c>
      <c r="K401" s="589"/>
      <c r="L401" s="123">
        <v>2</v>
      </c>
      <c r="M401" s="589">
        <v>1993.104</v>
      </c>
      <c r="N401" s="6" t="s">
        <v>871</v>
      </c>
      <c r="O401" s="124">
        <v>45328</v>
      </c>
      <c r="P401" s="33" t="str">
        <f t="shared" ref="P401:P406" si="0">HYPERLINK("https://my.zakupivli.pro/remote/dispatcher/state_purchase_view/48971877", "UA-2024-02-06-009098-a")</f>
        <v>UA-2024-02-06-009098-a</v>
      </c>
      <c r="Q401" s="117"/>
      <c r="R401" s="122">
        <v>2</v>
      </c>
      <c r="S401" s="117">
        <v>1785</v>
      </c>
      <c r="T401" s="121">
        <v>45352</v>
      </c>
      <c r="U401" s="122"/>
      <c r="V401" s="122"/>
    </row>
    <row r="402" spans="1:22" ht="62.4" x14ac:dyDescent="0.3">
      <c r="A402" s="123">
        <v>399</v>
      </c>
      <c r="B402" s="123" t="s">
        <v>21</v>
      </c>
      <c r="C402" s="44" t="s">
        <v>405</v>
      </c>
      <c r="D402" s="123" t="s">
        <v>58</v>
      </c>
      <c r="E402" s="123" t="s">
        <v>75</v>
      </c>
      <c r="F402" s="44" t="s">
        <v>866</v>
      </c>
      <c r="G402" s="105" t="s">
        <v>186</v>
      </c>
      <c r="H402" s="589">
        <v>2518.9011500000001</v>
      </c>
      <c r="I402" s="123">
        <v>1</v>
      </c>
      <c r="J402" s="589">
        <v>2518.9011500000001</v>
      </c>
      <c r="K402" s="589">
        <v>2518.9011500000001</v>
      </c>
      <c r="L402" s="123">
        <v>1</v>
      </c>
      <c r="M402" s="589">
        <v>2518.9011500000001</v>
      </c>
      <c r="N402" s="6" t="s">
        <v>871</v>
      </c>
      <c r="O402" s="124">
        <v>45328</v>
      </c>
      <c r="P402" s="33" t="str">
        <f t="shared" si="0"/>
        <v>UA-2024-02-06-009098-a</v>
      </c>
      <c r="Q402" s="123">
        <v>2517.8620500000002</v>
      </c>
      <c r="R402" s="123">
        <v>1</v>
      </c>
      <c r="S402" s="162">
        <v>2517.8620500000002</v>
      </c>
      <c r="T402" s="124">
        <v>45352</v>
      </c>
      <c r="U402" s="123"/>
      <c r="V402" s="123"/>
    </row>
    <row r="403" spans="1:22" ht="78" x14ac:dyDescent="0.3">
      <c r="A403" s="123">
        <v>400</v>
      </c>
      <c r="B403" s="123" t="s">
        <v>21</v>
      </c>
      <c r="C403" s="44" t="s">
        <v>405</v>
      </c>
      <c r="D403" s="123" t="s">
        <v>58</v>
      </c>
      <c r="E403" s="123" t="s">
        <v>75</v>
      </c>
      <c r="F403" s="44" t="s">
        <v>867</v>
      </c>
      <c r="G403" s="105" t="s">
        <v>186</v>
      </c>
      <c r="H403" s="589"/>
      <c r="I403" s="123">
        <v>24</v>
      </c>
      <c r="J403" s="589">
        <v>2219.8198900000002</v>
      </c>
      <c r="K403" s="589"/>
      <c r="L403" s="123">
        <v>24</v>
      </c>
      <c r="M403" s="589">
        <v>2219.8198900000002</v>
      </c>
      <c r="N403" s="6" t="s">
        <v>871</v>
      </c>
      <c r="O403" s="124">
        <v>45328</v>
      </c>
      <c r="P403" s="33" t="str">
        <f t="shared" si="0"/>
        <v>UA-2024-02-06-009098-a</v>
      </c>
      <c r="Q403" s="123"/>
      <c r="R403" s="123"/>
      <c r="S403" s="123"/>
      <c r="T403" s="124"/>
      <c r="U403" s="162" t="s">
        <v>93</v>
      </c>
      <c r="V403" s="123"/>
    </row>
    <row r="404" spans="1:22" ht="62.4" x14ac:dyDescent="0.3">
      <c r="A404" s="123">
        <v>401</v>
      </c>
      <c r="B404" s="123" t="s">
        <v>21</v>
      </c>
      <c r="C404" s="44" t="s">
        <v>405</v>
      </c>
      <c r="D404" s="123" t="s">
        <v>58</v>
      </c>
      <c r="E404" s="123" t="s">
        <v>75</v>
      </c>
      <c r="F404" s="44" t="s">
        <v>868</v>
      </c>
      <c r="G404" s="105" t="s">
        <v>186</v>
      </c>
      <c r="H404" s="589"/>
      <c r="I404" s="123">
        <v>122</v>
      </c>
      <c r="J404" s="589">
        <v>9412.7220400000006</v>
      </c>
      <c r="K404" s="589"/>
      <c r="L404" s="123">
        <v>122</v>
      </c>
      <c r="M404" s="589">
        <v>9412.7220400000006</v>
      </c>
      <c r="N404" s="6" t="s">
        <v>871</v>
      </c>
      <c r="O404" s="124">
        <v>45328</v>
      </c>
      <c r="P404" s="33" t="str">
        <f t="shared" si="0"/>
        <v>UA-2024-02-06-009098-a</v>
      </c>
      <c r="Q404" s="123"/>
      <c r="R404" s="123">
        <v>122</v>
      </c>
      <c r="S404" s="123">
        <v>8897.5373999999993</v>
      </c>
      <c r="T404" s="163">
        <v>45352</v>
      </c>
      <c r="U404" s="123"/>
      <c r="V404" s="123"/>
    </row>
    <row r="405" spans="1:22" ht="62.4" x14ac:dyDescent="0.3">
      <c r="A405" s="123">
        <v>402</v>
      </c>
      <c r="B405" s="123" t="s">
        <v>21</v>
      </c>
      <c r="C405" s="44" t="s">
        <v>405</v>
      </c>
      <c r="D405" s="123" t="s">
        <v>58</v>
      </c>
      <c r="E405" s="123" t="s">
        <v>75</v>
      </c>
      <c r="F405" s="44" t="s">
        <v>869</v>
      </c>
      <c r="G405" s="105" t="s">
        <v>186</v>
      </c>
      <c r="H405" s="589"/>
      <c r="I405" s="123">
        <v>2</v>
      </c>
      <c r="J405" s="589">
        <v>3825.5</v>
      </c>
      <c r="K405" s="589"/>
      <c r="L405" s="123">
        <v>2</v>
      </c>
      <c r="M405" s="589">
        <v>3825.5</v>
      </c>
      <c r="N405" s="6" t="s">
        <v>871</v>
      </c>
      <c r="O405" s="124">
        <v>45328</v>
      </c>
      <c r="P405" s="33" t="str">
        <f t="shared" si="0"/>
        <v>UA-2024-02-06-009098-a</v>
      </c>
      <c r="Q405" s="123"/>
      <c r="R405" s="123">
        <v>2</v>
      </c>
      <c r="S405" s="123">
        <v>3824.85</v>
      </c>
      <c r="T405" s="124">
        <v>45355</v>
      </c>
      <c r="U405" s="123"/>
      <c r="V405" s="123"/>
    </row>
    <row r="406" spans="1:22" ht="62.4" x14ac:dyDescent="0.3">
      <c r="A406" s="123">
        <v>403</v>
      </c>
      <c r="B406" s="123" t="s">
        <v>21</v>
      </c>
      <c r="C406" s="44" t="s">
        <v>405</v>
      </c>
      <c r="D406" s="123" t="s">
        <v>58</v>
      </c>
      <c r="E406" s="123" t="s">
        <v>75</v>
      </c>
      <c r="F406" s="44" t="s">
        <v>870</v>
      </c>
      <c r="G406" s="105" t="s">
        <v>186</v>
      </c>
      <c r="H406" s="589"/>
      <c r="I406" s="123">
        <v>13</v>
      </c>
      <c r="J406" s="589">
        <v>1441.9291599999999</v>
      </c>
      <c r="K406" s="589"/>
      <c r="L406" s="123">
        <v>13</v>
      </c>
      <c r="M406" s="589">
        <v>1441.9291599999999</v>
      </c>
      <c r="N406" s="6" t="s">
        <v>871</v>
      </c>
      <c r="O406" s="124">
        <v>45328</v>
      </c>
      <c r="P406" s="33" t="str">
        <f t="shared" si="0"/>
        <v>UA-2024-02-06-009098-a</v>
      </c>
      <c r="Q406" s="123"/>
      <c r="R406" s="123">
        <v>13</v>
      </c>
      <c r="S406" s="123">
        <v>1373.9870000000001</v>
      </c>
      <c r="T406" s="124">
        <v>45352</v>
      </c>
      <c r="U406" s="123"/>
      <c r="V406" s="123"/>
    </row>
    <row r="407" spans="1:22" ht="46.8" x14ac:dyDescent="0.3">
      <c r="A407" s="125">
        <v>404</v>
      </c>
      <c r="B407" s="125" t="s">
        <v>21</v>
      </c>
      <c r="C407" s="41" t="s">
        <v>873</v>
      </c>
      <c r="D407" s="125" t="s">
        <v>58</v>
      </c>
      <c r="E407" s="125" t="s">
        <v>75</v>
      </c>
      <c r="F407" s="41" t="s">
        <v>872</v>
      </c>
      <c r="G407" s="125" t="s">
        <v>186</v>
      </c>
      <c r="H407" s="589"/>
      <c r="I407" s="125">
        <v>34</v>
      </c>
      <c r="J407" s="589">
        <v>727.5</v>
      </c>
      <c r="K407" s="589"/>
      <c r="L407" s="125">
        <v>34</v>
      </c>
      <c r="M407" s="589">
        <v>727.5</v>
      </c>
      <c r="N407" s="6" t="s">
        <v>874</v>
      </c>
      <c r="O407" s="126">
        <v>45329</v>
      </c>
      <c r="P407" s="42" t="str">
        <f>HYPERLINK("https://my.zakupivli.pro/remote/dispatcher/state_purchase_view/49007933", "UA-2024-02-07-009090-a")</f>
        <v>UA-2024-02-07-009090-a</v>
      </c>
      <c r="Q407" s="125"/>
      <c r="R407" s="125">
        <v>34</v>
      </c>
      <c r="S407" s="125">
        <v>574.99167</v>
      </c>
      <c r="T407" s="126">
        <v>45350</v>
      </c>
      <c r="U407" s="125"/>
      <c r="V407" s="125"/>
    </row>
    <row r="408" spans="1:22" ht="93.6" x14ac:dyDescent="0.3">
      <c r="A408" s="125">
        <v>405</v>
      </c>
      <c r="B408" s="125" t="s">
        <v>21</v>
      </c>
      <c r="C408" s="44" t="s">
        <v>183</v>
      </c>
      <c r="D408" s="125" t="s">
        <v>58</v>
      </c>
      <c r="E408" s="125" t="s">
        <v>88</v>
      </c>
      <c r="F408" s="44" t="s">
        <v>875</v>
      </c>
      <c r="G408" s="125" t="s">
        <v>185</v>
      </c>
      <c r="H408" s="589">
        <v>589.88333</v>
      </c>
      <c r="I408" s="125">
        <v>1</v>
      </c>
      <c r="J408" s="589">
        <v>589.88333</v>
      </c>
      <c r="K408" s="589">
        <v>589.88333</v>
      </c>
      <c r="L408" s="125">
        <v>1</v>
      </c>
      <c r="M408" s="589">
        <v>589.88333</v>
      </c>
      <c r="N408" s="6" t="s">
        <v>877</v>
      </c>
      <c r="O408" s="126">
        <v>45329</v>
      </c>
      <c r="P408" s="33" t="str">
        <f>HYPERLINK("https://my.zakupivli.pro/remote/dispatcher/state_purchase_view/49014231", "UA-2024-02-07-011926-a")</f>
        <v>UA-2024-02-07-011926-a</v>
      </c>
      <c r="Q408" s="117">
        <v>536.25</v>
      </c>
      <c r="R408" s="125">
        <v>1</v>
      </c>
      <c r="S408" s="117">
        <v>536.25</v>
      </c>
      <c r="T408" s="126">
        <v>45349</v>
      </c>
      <c r="U408" s="125"/>
      <c r="V408" s="125"/>
    </row>
    <row r="409" spans="1:22" ht="93.6" x14ac:dyDescent="0.3">
      <c r="A409" s="125">
        <v>406</v>
      </c>
      <c r="B409" s="125" t="s">
        <v>21</v>
      </c>
      <c r="C409" s="44" t="s">
        <v>183</v>
      </c>
      <c r="D409" s="125" t="s">
        <v>58</v>
      </c>
      <c r="E409" s="125" t="s">
        <v>88</v>
      </c>
      <c r="F409" s="44" t="s">
        <v>876</v>
      </c>
      <c r="G409" s="125" t="s">
        <v>185</v>
      </c>
      <c r="H409" s="589">
        <v>8716.2000000000007</v>
      </c>
      <c r="I409" s="125">
        <v>1</v>
      </c>
      <c r="J409" s="589">
        <v>8716.2000000000007</v>
      </c>
      <c r="K409" s="589">
        <v>8716.2000000000007</v>
      </c>
      <c r="L409" s="125">
        <v>1</v>
      </c>
      <c r="M409" s="589">
        <v>8716.2000000000007</v>
      </c>
      <c r="N409" s="6" t="s">
        <v>878</v>
      </c>
      <c r="O409" s="126">
        <v>45329</v>
      </c>
      <c r="P409" s="33" t="str">
        <f>HYPERLINK("https://my.zakupivli.pro/remote/dispatcher/state_purchase_view/49012404", "UA-2024-02-07-011182-a")</f>
        <v>UA-2024-02-07-011182-a</v>
      </c>
      <c r="Q409" s="125">
        <v>5792.5637399999996</v>
      </c>
      <c r="R409" s="125">
        <v>1</v>
      </c>
      <c r="S409" s="152">
        <v>5792.5637399999996</v>
      </c>
      <c r="T409" s="126">
        <v>45350</v>
      </c>
      <c r="U409" s="125"/>
      <c r="V409" s="125"/>
    </row>
    <row r="410" spans="1:22" ht="78" x14ac:dyDescent="0.3">
      <c r="A410" s="127">
        <v>407</v>
      </c>
      <c r="B410" s="127" t="s">
        <v>40</v>
      </c>
      <c r="C410" s="44" t="s">
        <v>884</v>
      </c>
      <c r="D410" s="127"/>
      <c r="E410" s="127" t="s">
        <v>88</v>
      </c>
      <c r="F410" s="44" t="s">
        <v>879</v>
      </c>
      <c r="G410" s="127" t="s">
        <v>40</v>
      </c>
      <c r="H410" s="589">
        <v>327.6798</v>
      </c>
      <c r="I410" s="127">
        <v>1</v>
      </c>
      <c r="J410" s="589">
        <v>327.6798</v>
      </c>
      <c r="K410" s="589">
        <v>327.6798</v>
      </c>
      <c r="L410" s="127">
        <v>1</v>
      </c>
      <c r="M410" s="589">
        <v>327.6798</v>
      </c>
      <c r="N410" s="6" t="s">
        <v>885</v>
      </c>
      <c r="O410" s="128">
        <v>45330</v>
      </c>
      <c r="P410" s="33" t="str">
        <f>HYPERLINK("https://my.zakupivli.pro/remote/dispatcher/state_purchase_view/49027603", "UA-2024-02-08-002419-a")</f>
        <v>UA-2024-02-08-002419-a</v>
      </c>
      <c r="Q410" s="127">
        <v>327.6798</v>
      </c>
      <c r="R410" s="127">
        <v>1</v>
      </c>
      <c r="S410" s="127">
        <v>327.6798</v>
      </c>
      <c r="T410" s="128">
        <v>45330</v>
      </c>
      <c r="U410" s="127"/>
      <c r="V410" s="127" t="s">
        <v>59</v>
      </c>
    </row>
    <row r="411" spans="1:22" ht="78" x14ac:dyDescent="0.3">
      <c r="A411" s="127">
        <v>408</v>
      </c>
      <c r="B411" s="127" t="s">
        <v>40</v>
      </c>
      <c r="C411" s="44" t="s">
        <v>884</v>
      </c>
      <c r="D411" s="127"/>
      <c r="E411" s="127" t="s">
        <v>88</v>
      </c>
      <c r="F411" s="44" t="s">
        <v>880</v>
      </c>
      <c r="G411" s="127" t="s">
        <v>40</v>
      </c>
      <c r="H411" s="589">
        <v>466.44868000000002</v>
      </c>
      <c r="I411" s="127">
        <v>1</v>
      </c>
      <c r="J411" s="589">
        <v>466.44868000000002</v>
      </c>
      <c r="K411" s="589">
        <v>466.44868000000002</v>
      </c>
      <c r="L411" s="127">
        <v>1</v>
      </c>
      <c r="M411" s="589">
        <v>466.44868000000002</v>
      </c>
      <c r="N411" s="6" t="s">
        <v>886</v>
      </c>
      <c r="O411" s="128">
        <v>45330</v>
      </c>
      <c r="P411" s="33" t="str">
        <f>HYPERLINK("https://my.zakupivli.pro/remote/dispatcher/state_purchase_view/49027323", "UA-2024-02-08-002241-a")</f>
        <v>UA-2024-02-08-002241-a</v>
      </c>
      <c r="Q411" s="127">
        <v>466.44868000000002</v>
      </c>
      <c r="R411" s="127">
        <v>1</v>
      </c>
      <c r="S411" s="127">
        <v>466.44868000000002</v>
      </c>
      <c r="T411" s="128">
        <v>45330</v>
      </c>
      <c r="U411" s="127"/>
      <c r="V411" s="127" t="s">
        <v>59</v>
      </c>
    </row>
    <row r="412" spans="1:22" ht="78" x14ac:dyDescent="0.3">
      <c r="A412" s="127">
        <v>409</v>
      </c>
      <c r="B412" s="127" t="s">
        <v>40</v>
      </c>
      <c r="C412" s="44" t="s">
        <v>884</v>
      </c>
      <c r="D412" s="127"/>
      <c r="E412" s="127" t="s">
        <v>88</v>
      </c>
      <c r="F412" s="44" t="s">
        <v>881</v>
      </c>
      <c r="G412" s="127" t="s">
        <v>40</v>
      </c>
      <c r="H412" s="589">
        <v>384.70436999999998</v>
      </c>
      <c r="I412" s="127">
        <v>1</v>
      </c>
      <c r="J412" s="589">
        <v>384.70436999999998</v>
      </c>
      <c r="K412" s="589">
        <v>384.70436999999998</v>
      </c>
      <c r="L412" s="127">
        <v>1</v>
      </c>
      <c r="M412" s="589">
        <v>384.70436999999998</v>
      </c>
      <c r="N412" s="6" t="s">
        <v>887</v>
      </c>
      <c r="O412" s="128">
        <v>45330</v>
      </c>
      <c r="P412" s="33" t="str">
        <f>HYPERLINK("https://my.zakupivli.pro/remote/dispatcher/state_purchase_view/49026827", "UA-2024-02-08-002073-a")</f>
        <v>UA-2024-02-08-002073-a</v>
      </c>
      <c r="Q412" s="127">
        <v>384.70436999999998</v>
      </c>
      <c r="R412" s="127">
        <v>1</v>
      </c>
      <c r="S412" s="127">
        <v>384.70436999999998</v>
      </c>
      <c r="T412" s="128">
        <v>45330</v>
      </c>
      <c r="U412" s="127"/>
      <c r="V412" s="127" t="s">
        <v>59</v>
      </c>
    </row>
    <row r="413" spans="1:22" ht="62.4" x14ac:dyDescent="0.3">
      <c r="A413" s="127">
        <v>410</v>
      </c>
      <c r="B413" s="127" t="s">
        <v>40</v>
      </c>
      <c r="C413" s="44" t="s">
        <v>884</v>
      </c>
      <c r="D413" s="127"/>
      <c r="E413" s="127" t="s">
        <v>88</v>
      </c>
      <c r="F413" s="44" t="s">
        <v>882</v>
      </c>
      <c r="G413" s="127" t="s">
        <v>40</v>
      </c>
      <c r="H413" s="589">
        <v>308.60937000000001</v>
      </c>
      <c r="I413" s="127">
        <v>1</v>
      </c>
      <c r="J413" s="589">
        <v>308.60937000000001</v>
      </c>
      <c r="K413" s="589">
        <v>308.60937000000001</v>
      </c>
      <c r="L413" s="127">
        <v>1</v>
      </c>
      <c r="M413" s="589">
        <v>308.60937000000001</v>
      </c>
      <c r="N413" s="6" t="s">
        <v>888</v>
      </c>
      <c r="O413" s="128">
        <v>45330</v>
      </c>
      <c r="P413" s="33" t="str">
        <f>HYPERLINK("https://my.zakupivli.pro/remote/dispatcher/state_purchase_view/49026308", "UA-2024-02-08-001861-a")</f>
        <v>UA-2024-02-08-001861-a</v>
      </c>
      <c r="Q413" s="127">
        <v>308.60937000000001</v>
      </c>
      <c r="R413" s="127">
        <v>1</v>
      </c>
      <c r="S413" s="127">
        <v>308.60937000000001</v>
      </c>
      <c r="T413" s="128">
        <v>45330</v>
      </c>
      <c r="U413" s="127"/>
      <c r="V413" s="127" t="s">
        <v>59</v>
      </c>
    </row>
    <row r="414" spans="1:22" ht="62.4" x14ac:dyDescent="0.3">
      <c r="A414" s="127">
        <v>411</v>
      </c>
      <c r="B414" s="127" t="s">
        <v>40</v>
      </c>
      <c r="C414" s="44" t="s">
        <v>884</v>
      </c>
      <c r="D414" s="127"/>
      <c r="E414" s="127" t="s">
        <v>88</v>
      </c>
      <c r="F414" s="44" t="s">
        <v>883</v>
      </c>
      <c r="G414" s="127" t="s">
        <v>40</v>
      </c>
      <c r="H414" s="589">
        <v>338.75234999999998</v>
      </c>
      <c r="I414" s="127">
        <v>1</v>
      </c>
      <c r="J414" s="589">
        <v>338.75234999999998</v>
      </c>
      <c r="K414" s="589">
        <v>338.75234999999998</v>
      </c>
      <c r="L414" s="127">
        <v>1</v>
      </c>
      <c r="M414" s="589">
        <v>338.75234999999998</v>
      </c>
      <c r="N414" s="6" t="s">
        <v>889</v>
      </c>
      <c r="O414" s="128">
        <v>45330</v>
      </c>
      <c r="P414" s="33" t="str">
        <f>HYPERLINK("https://my.zakupivli.pro/remote/dispatcher/state_purchase_view/49025987", "UA-2024-02-08-001670-a")</f>
        <v>UA-2024-02-08-001670-a</v>
      </c>
      <c r="Q414" s="127">
        <v>338.75234999999998</v>
      </c>
      <c r="R414" s="127">
        <v>1</v>
      </c>
      <c r="S414" s="127">
        <v>338.75234999999998</v>
      </c>
      <c r="T414" s="128">
        <v>45330</v>
      </c>
      <c r="U414" s="127"/>
      <c r="V414" s="127" t="s">
        <v>59</v>
      </c>
    </row>
    <row r="415" spans="1:22" ht="46.8" x14ac:dyDescent="0.3">
      <c r="A415" s="127">
        <v>412</v>
      </c>
      <c r="B415" s="127" t="s">
        <v>21</v>
      </c>
      <c r="C415" s="44" t="s">
        <v>170</v>
      </c>
      <c r="D415" s="127" t="s">
        <v>58</v>
      </c>
      <c r="E415" s="127" t="s">
        <v>88</v>
      </c>
      <c r="F415" s="44" t="s">
        <v>890</v>
      </c>
      <c r="G415" s="127" t="s">
        <v>185</v>
      </c>
      <c r="H415" s="589"/>
      <c r="I415" s="127">
        <v>36</v>
      </c>
      <c r="J415" s="589">
        <v>189.28800000000001</v>
      </c>
      <c r="K415" s="589"/>
      <c r="L415" s="127">
        <v>36</v>
      </c>
      <c r="M415" s="589">
        <v>189.28800000000001</v>
      </c>
      <c r="N415" s="6" t="s">
        <v>895</v>
      </c>
      <c r="O415" s="128">
        <v>45330</v>
      </c>
      <c r="P415" s="33" t="str">
        <f>HYPERLINK("https://my.zakupivli.pro/remote/dispatcher/state_purchase_view/49051879", "UA-2024-02-08-012979-a")</f>
        <v>UA-2024-02-08-012979-a</v>
      </c>
      <c r="Q415" s="127"/>
      <c r="R415" s="127">
        <v>36</v>
      </c>
      <c r="S415" s="117">
        <v>189.27</v>
      </c>
      <c r="T415" s="128">
        <v>45344</v>
      </c>
      <c r="U415" s="127"/>
      <c r="V415" s="127"/>
    </row>
    <row r="416" spans="1:22" ht="78" x14ac:dyDescent="0.3">
      <c r="A416" s="127">
        <v>413</v>
      </c>
      <c r="B416" s="127" t="s">
        <v>21</v>
      </c>
      <c r="C416" s="44" t="s">
        <v>893</v>
      </c>
      <c r="D416" s="127" t="s">
        <v>58</v>
      </c>
      <c r="E416" s="127" t="s">
        <v>88</v>
      </c>
      <c r="F416" s="44" t="s">
        <v>891</v>
      </c>
      <c r="G416" s="127" t="s">
        <v>185</v>
      </c>
      <c r="H416" s="589"/>
      <c r="I416" s="127">
        <v>70</v>
      </c>
      <c r="J416" s="589">
        <v>2250</v>
      </c>
      <c r="K416" s="589"/>
      <c r="L416" s="127">
        <v>70</v>
      </c>
      <c r="M416" s="589">
        <v>2250</v>
      </c>
      <c r="N416" s="6" t="s">
        <v>896</v>
      </c>
      <c r="O416" s="128">
        <v>45330</v>
      </c>
      <c r="P416" s="33" t="str">
        <f>HYPERLINK("https://my.zakupivli.pro/remote/dispatcher/state_purchase_view/49051488", "UA-2024-02-08-012868-a")</f>
        <v>UA-2024-02-08-012868-a</v>
      </c>
      <c r="Q416" s="127"/>
      <c r="R416" s="127">
        <v>70</v>
      </c>
      <c r="S416" s="155">
        <v>2160.1999999999998</v>
      </c>
      <c r="T416" s="128">
        <v>45350</v>
      </c>
      <c r="U416" s="127"/>
      <c r="V416" s="127"/>
    </row>
    <row r="417" spans="1:22" ht="62.4" x14ac:dyDescent="0.3">
      <c r="A417" s="127">
        <v>414</v>
      </c>
      <c r="B417" s="127" t="s">
        <v>21</v>
      </c>
      <c r="C417" s="44" t="s">
        <v>894</v>
      </c>
      <c r="D417" s="127" t="s">
        <v>58</v>
      </c>
      <c r="E417" s="127" t="s">
        <v>75</v>
      </c>
      <c r="F417" s="44" t="s">
        <v>892</v>
      </c>
      <c r="G417" s="127" t="s">
        <v>186</v>
      </c>
      <c r="H417" s="589"/>
      <c r="I417" s="127">
        <v>16</v>
      </c>
      <c r="J417" s="589">
        <v>216.47</v>
      </c>
      <c r="K417" s="589"/>
      <c r="L417" s="127">
        <v>16</v>
      </c>
      <c r="M417" s="589">
        <v>216.47</v>
      </c>
      <c r="N417" s="6" t="s">
        <v>897</v>
      </c>
      <c r="O417" s="128">
        <v>45330</v>
      </c>
      <c r="P417" s="33" t="str">
        <f>HYPERLINK("https://my.zakupivli.pro/remote/dispatcher/state_purchase_view/49049714", "UA-2024-02-08-012050-a")</f>
        <v>UA-2024-02-08-012050-a</v>
      </c>
      <c r="Q417" s="127"/>
      <c r="R417" s="127">
        <v>16</v>
      </c>
      <c r="S417" s="127">
        <v>211.97399999999999</v>
      </c>
      <c r="T417" s="128">
        <v>45352</v>
      </c>
      <c r="U417" s="127"/>
      <c r="V417" s="127"/>
    </row>
    <row r="418" spans="1:22" ht="140.4" x14ac:dyDescent="0.3">
      <c r="A418" s="127">
        <v>415</v>
      </c>
      <c r="B418" s="127" t="s">
        <v>21</v>
      </c>
      <c r="C418" s="44" t="s">
        <v>173</v>
      </c>
      <c r="D418" s="127" t="s">
        <v>58</v>
      </c>
      <c r="E418" s="127" t="s">
        <v>88</v>
      </c>
      <c r="F418" s="44" t="s">
        <v>898</v>
      </c>
      <c r="G418" s="127" t="s">
        <v>185</v>
      </c>
      <c r="H418" s="589"/>
      <c r="I418" s="127">
        <v>23</v>
      </c>
      <c r="J418" s="589">
        <v>2507</v>
      </c>
      <c r="K418" s="589"/>
      <c r="L418" s="127">
        <v>23</v>
      </c>
      <c r="M418" s="589">
        <v>2507</v>
      </c>
      <c r="N418" s="6" t="s">
        <v>899</v>
      </c>
      <c r="O418" s="128">
        <v>45330</v>
      </c>
      <c r="P418" s="33" t="str">
        <f>HYPERLINK("https://my.zakupivli.pro/remote/dispatcher/state_purchase_view/49052400", "UA-2024-02-08-013211-a")</f>
        <v>UA-2024-02-08-013211-a</v>
      </c>
      <c r="Q418" s="127"/>
      <c r="R418" s="127">
        <v>23</v>
      </c>
      <c r="S418" s="117">
        <v>2507</v>
      </c>
      <c r="T418" s="163">
        <v>45352</v>
      </c>
      <c r="U418" s="127"/>
      <c r="V418" s="127"/>
    </row>
    <row r="419" spans="1:22" ht="62.4" x14ac:dyDescent="0.3">
      <c r="A419" s="130">
        <v>416</v>
      </c>
      <c r="B419" s="130" t="s">
        <v>40</v>
      </c>
      <c r="C419" s="44" t="s">
        <v>884</v>
      </c>
      <c r="D419" s="130"/>
      <c r="E419" s="130" t="s">
        <v>88</v>
      </c>
      <c r="F419" s="44" t="s">
        <v>900</v>
      </c>
      <c r="G419" s="130" t="s">
        <v>184</v>
      </c>
      <c r="H419" s="589">
        <v>462.97890000000001</v>
      </c>
      <c r="I419" s="130">
        <v>1</v>
      </c>
      <c r="J419" s="589">
        <v>462.97890000000001</v>
      </c>
      <c r="K419" s="589">
        <v>462.97890000000001</v>
      </c>
      <c r="L419" s="130">
        <v>1</v>
      </c>
      <c r="M419" s="589">
        <v>462.97890000000001</v>
      </c>
      <c r="N419" s="6" t="s">
        <v>904</v>
      </c>
      <c r="O419" s="131">
        <v>45336</v>
      </c>
      <c r="P419" s="33" t="str">
        <f>HYPERLINK("https://my.zakupivli.pro/remote/dispatcher/state_purchase_view/49159801", "UA-2024-02-14-000570-a")</f>
        <v>UA-2024-02-14-000570-a</v>
      </c>
      <c r="Q419" s="130">
        <v>462.97890000000001</v>
      </c>
      <c r="R419" s="130">
        <v>1</v>
      </c>
      <c r="S419" s="130">
        <v>462.97890000000001</v>
      </c>
      <c r="T419" s="149">
        <v>45336</v>
      </c>
      <c r="U419" s="130"/>
      <c r="V419" s="130" t="s">
        <v>59</v>
      </c>
    </row>
    <row r="420" spans="1:22" ht="62.4" x14ac:dyDescent="0.3">
      <c r="A420" s="130">
        <v>417</v>
      </c>
      <c r="B420" s="130" t="s">
        <v>40</v>
      </c>
      <c r="C420" s="44" t="s">
        <v>884</v>
      </c>
      <c r="D420" s="130"/>
      <c r="E420" s="130" t="s">
        <v>88</v>
      </c>
      <c r="F420" s="44" t="s">
        <v>901</v>
      </c>
      <c r="G420" s="130" t="s">
        <v>184</v>
      </c>
      <c r="H420" s="589">
        <v>487.69560999999999</v>
      </c>
      <c r="I420" s="130">
        <v>1</v>
      </c>
      <c r="J420" s="589">
        <v>487.69560999999999</v>
      </c>
      <c r="K420" s="589">
        <v>487.69560999999999</v>
      </c>
      <c r="L420" s="130">
        <v>1</v>
      </c>
      <c r="M420" s="589">
        <v>487.69560999999999</v>
      </c>
      <c r="N420" s="6" t="s">
        <v>905</v>
      </c>
      <c r="O420" s="131">
        <v>45336</v>
      </c>
      <c r="P420" s="33" t="str">
        <f>HYPERLINK("https://my.zakupivli.pro/remote/dispatcher/state_purchase_view/49159395", "UA-2024-02-14-000440-a")</f>
        <v>UA-2024-02-14-000440-a</v>
      </c>
      <c r="Q420" s="130">
        <v>487.69560999999999</v>
      </c>
      <c r="R420" s="130">
        <v>1</v>
      </c>
      <c r="S420" s="130">
        <v>487.69560999999999</v>
      </c>
      <c r="T420" s="149">
        <v>45336</v>
      </c>
      <c r="U420" s="130"/>
      <c r="V420" s="130" t="s">
        <v>59</v>
      </c>
    </row>
    <row r="421" spans="1:22" ht="62.4" x14ac:dyDescent="0.3">
      <c r="A421" s="130">
        <v>418</v>
      </c>
      <c r="B421" s="130" t="s">
        <v>40</v>
      </c>
      <c r="C421" s="44" t="s">
        <v>884</v>
      </c>
      <c r="D421" s="130"/>
      <c r="E421" s="130" t="s">
        <v>88</v>
      </c>
      <c r="F421" s="44" t="s">
        <v>902</v>
      </c>
      <c r="G421" s="130" t="s">
        <v>184</v>
      </c>
      <c r="H421" s="589">
        <v>369.64204999999998</v>
      </c>
      <c r="I421" s="130">
        <v>1</v>
      </c>
      <c r="J421" s="589">
        <v>369.64204999999998</v>
      </c>
      <c r="K421" s="589">
        <v>369.64204999999998</v>
      </c>
      <c r="L421" s="130">
        <v>1</v>
      </c>
      <c r="M421" s="589">
        <v>369.64204999999998</v>
      </c>
      <c r="N421" s="6" t="s">
        <v>906</v>
      </c>
      <c r="O421" s="131">
        <v>45336</v>
      </c>
      <c r="P421" s="33" t="str">
        <f>HYPERLINK("https://my.zakupivli.pro/remote/dispatcher/state_purchase_view/49159293", "UA-2024-02-14-000408-a")</f>
        <v>UA-2024-02-14-000408-a</v>
      </c>
      <c r="Q421" s="130">
        <v>369.64204999999998</v>
      </c>
      <c r="R421" s="130">
        <v>1</v>
      </c>
      <c r="S421" s="130">
        <v>369.64204999999998</v>
      </c>
      <c r="T421" s="149">
        <v>45336</v>
      </c>
      <c r="U421" s="130"/>
      <c r="V421" s="130" t="s">
        <v>59</v>
      </c>
    </row>
    <row r="422" spans="1:22" ht="62.4" x14ac:dyDescent="0.3">
      <c r="A422" s="130">
        <v>419</v>
      </c>
      <c r="B422" s="130" t="s">
        <v>40</v>
      </c>
      <c r="C422" s="44" t="s">
        <v>884</v>
      </c>
      <c r="D422" s="130"/>
      <c r="E422" s="130" t="s">
        <v>88</v>
      </c>
      <c r="F422" s="44" t="s">
        <v>903</v>
      </c>
      <c r="G422" s="130" t="s">
        <v>184</v>
      </c>
      <c r="H422" s="589">
        <v>415.62329</v>
      </c>
      <c r="I422" s="130">
        <v>1</v>
      </c>
      <c r="J422" s="589">
        <v>415.62329</v>
      </c>
      <c r="K422" s="589">
        <v>415.62329</v>
      </c>
      <c r="L422" s="130">
        <v>1</v>
      </c>
      <c r="M422" s="589">
        <v>415.62329</v>
      </c>
      <c r="N422" s="6" t="s">
        <v>907</v>
      </c>
      <c r="O422" s="131">
        <v>45336</v>
      </c>
      <c r="P422" s="33" t="str">
        <f>HYPERLINK("https://my.zakupivli.pro/remote/dispatcher/state_purchase_view/49158931", "UA-2024-02-14-000270-a")</f>
        <v>UA-2024-02-14-000270-a</v>
      </c>
      <c r="Q422" s="130">
        <v>415.62329</v>
      </c>
      <c r="R422" s="130">
        <v>1</v>
      </c>
      <c r="S422" s="130">
        <v>415.62329</v>
      </c>
      <c r="T422" s="149">
        <v>45336</v>
      </c>
      <c r="U422" s="130"/>
      <c r="V422" s="130" t="s">
        <v>59</v>
      </c>
    </row>
    <row r="423" spans="1:22" ht="78" x14ac:dyDescent="0.3">
      <c r="A423" s="130">
        <v>420</v>
      </c>
      <c r="B423" s="132" t="s">
        <v>21</v>
      </c>
      <c r="C423" s="44" t="s">
        <v>174</v>
      </c>
      <c r="D423" s="132" t="s">
        <v>58</v>
      </c>
      <c r="E423" s="132" t="s">
        <v>88</v>
      </c>
      <c r="F423" s="44" t="s">
        <v>910</v>
      </c>
      <c r="G423" s="130" t="s">
        <v>187</v>
      </c>
      <c r="H423" s="589"/>
      <c r="I423" s="130">
        <v>2</v>
      </c>
      <c r="J423" s="589">
        <v>141</v>
      </c>
      <c r="K423" s="589"/>
      <c r="L423" s="132">
        <v>2</v>
      </c>
      <c r="M423" s="589">
        <v>141</v>
      </c>
      <c r="N423" s="6" t="s">
        <v>911</v>
      </c>
      <c r="O423" s="131">
        <v>45337</v>
      </c>
      <c r="P423" s="33" t="str">
        <f>HYPERLINK("https://my.zakupivli.pro/remote/dispatcher/state_purchase_view/49215079", "UA-2024-02-15-012214-a")</f>
        <v>UA-2024-02-15-012214-a</v>
      </c>
      <c r="Q423" s="130"/>
      <c r="R423" s="214">
        <v>2</v>
      </c>
      <c r="S423" s="117">
        <v>141</v>
      </c>
      <c r="T423" s="131">
        <v>45373</v>
      </c>
      <c r="U423" s="130"/>
      <c r="V423" s="130"/>
    </row>
    <row r="424" spans="1:22" ht="93.6" x14ac:dyDescent="0.3">
      <c r="A424" s="130">
        <v>421</v>
      </c>
      <c r="B424" s="132" t="s">
        <v>21</v>
      </c>
      <c r="C424" s="44" t="s">
        <v>174</v>
      </c>
      <c r="D424" s="132" t="s">
        <v>58</v>
      </c>
      <c r="E424" s="132" t="s">
        <v>88</v>
      </c>
      <c r="F424" s="44" t="s">
        <v>909</v>
      </c>
      <c r="G424" s="130" t="s">
        <v>187</v>
      </c>
      <c r="H424" s="589"/>
      <c r="I424" s="130">
        <v>33</v>
      </c>
      <c r="J424" s="589">
        <v>804.54</v>
      </c>
      <c r="K424" s="589"/>
      <c r="L424" s="132">
        <v>33</v>
      </c>
      <c r="M424" s="589">
        <v>804.54</v>
      </c>
      <c r="N424" s="6" t="s">
        <v>912</v>
      </c>
      <c r="O424" s="133">
        <v>45337</v>
      </c>
      <c r="P424" s="33" t="str">
        <f>HYPERLINK("https://my.zakupivli.pro/remote/dispatcher/state_purchase_view/49215079", "UA-2024-02-15-012214-a")</f>
        <v>UA-2024-02-15-012214-a</v>
      </c>
      <c r="Q424" s="130"/>
      <c r="R424" s="130"/>
      <c r="S424" s="130"/>
      <c r="T424" s="131"/>
      <c r="U424" s="214" t="s">
        <v>555</v>
      </c>
      <c r="V424" s="130"/>
    </row>
    <row r="425" spans="1:22" ht="62.4" x14ac:dyDescent="0.3">
      <c r="A425" s="130">
        <v>422</v>
      </c>
      <c r="B425" s="132" t="s">
        <v>21</v>
      </c>
      <c r="C425" s="44" t="s">
        <v>30</v>
      </c>
      <c r="D425" s="130"/>
      <c r="E425" s="132" t="s">
        <v>75</v>
      </c>
      <c r="F425" s="44" t="s">
        <v>908</v>
      </c>
      <c r="G425" s="130" t="s">
        <v>186</v>
      </c>
      <c r="H425" s="589"/>
      <c r="I425" s="130">
        <v>4</v>
      </c>
      <c r="J425" s="589">
        <v>81.664599999999993</v>
      </c>
      <c r="K425" s="589"/>
      <c r="L425" s="132">
        <v>4</v>
      </c>
      <c r="M425" s="589">
        <v>81.664599999999993</v>
      </c>
      <c r="N425" s="6" t="s">
        <v>913</v>
      </c>
      <c r="O425" s="133">
        <v>45337</v>
      </c>
      <c r="P425" s="33" t="str">
        <f>HYPERLINK("https://my.zakupivli.pro/remote/dispatcher/state_purchase_view/49193482", "UA-2024-02-15-002556-a")</f>
        <v>UA-2024-02-15-002556-a</v>
      </c>
      <c r="Q425" s="130"/>
      <c r="R425" s="132">
        <v>4</v>
      </c>
      <c r="S425" s="132">
        <v>81.664599999999993</v>
      </c>
      <c r="T425" s="131"/>
      <c r="U425" s="130"/>
      <c r="V425" s="132" t="s">
        <v>59</v>
      </c>
    </row>
    <row r="426" spans="1:22" ht="93.6" x14ac:dyDescent="0.3">
      <c r="A426" s="130">
        <v>423</v>
      </c>
      <c r="B426" s="135" t="s">
        <v>40</v>
      </c>
      <c r="C426" s="44" t="s">
        <v>517</v>
      </c>
      <c r="D426" s="130"/>
      <c r="E426" s="135" t="s">
        <v>75</v>
      </c>
      <c r="F426" s="44" t="s">
        <v>914</v>
      </c>
      <c r="G426" s="130" t="s">
        <v>184</v>
      </c>
      <c r="H426" s="589">
        <v>150.31800000000001</v>
      </c>
      <c r="I426" s="130">
        <v>1</v>
      </c>
      <c r="J426" s="589">
        <v>150.31800000000001</v>
      </c>
      <c r="K426" s="589">
        <v>150.31800000000001</v>
      </c>
      <c r="L426" s="135">
        <v>1</v>
      </c>
      <c r="M426" s="589">
        <v>150.31800000000001</v>
      </c>
      <c r="N426" s="6" t="s">
        <v>915</v>
      </c>
      <c r="O426" s="131">
        <v>45341</v>
      </c>
      <c r="P426" s="33" t="str">
        <f>HYPERLINK("https://my.zakupivli.pro/remote/dispatcher/state_purchase_view/49262531", "UA-2024-02-19-006735-a")</f>
        <v>UA-2024-02-19-006735-a</v>
      </c>
      <c r="Q426" s="135">
        <v>150.31800000000001</v>
      </c>
      <c r="R426" s="135">
        <v>1</v>
      </c>
      <c r="S426" s="135">
        <v>150.31800000000001</v>
      </c>
      <c r="T426" s="131"/>
      <c r="U426" s="130"/>
      <c r="V426" s="135" t="s">
        <v>59</v>
      </c>
    </row>
    <row r="427" spans="1:22" ht="62.4" x14ac:dyDescent="0.3">
      <c r="A427" s="130">
        <v>424</v>
      </c>
      <c r="B427" s="136" t="s">
        <v>40</v>
      </c>
      <c r="C427" s="44" t="s">
        <v>41</v>
      </c>
      <c r="D427" s="130"/>
      <c r="E427" s="136" t="s">
        <v>88</v>
      </c>
      <c r="F427" s="44" t="s">
        <v>916</v>
      </c>
      <c r="G427" s="136" t="s">
        <v>184</v>
      </c>
      <c r="H427" s="589">
        <v>634.35749999999996</v>
      </c>
      <c r="I427" s="130">
        <v>1</v>
      </c>
      <c r="J427" s="589">
        <v>634.35749999999996</v>
      </c>
      <c r="K427" s="589">
        <v>634.35749999999996</v>
      </c>
      <c r="L427" s="136">
        <v>1</v>
      </c>
      <c r="M427" s="589">
        <v>634.35749999999996</v>
      </c>
      <c r="N427" s="6" t="s">
        <v>932</v>
      </c>
      <c r="O427" s="131">
        <v>45342</v>
      </c>
      <c r="P427" s="33" t="str">
        <f>HYPERLINK("https://my.zakupivli.pro/remote/dispatcher/state_purchase_view/49305636", "UA-2024-02-20-011652-a")</f>
        <v>UA-2024-02-20-011652-a</v>
      </c>
      <c r="Q427" s="136">
        <v>634.35749999999996</v>
      </c>
      <c r="R427" s="136">
        <v>1</v>
      </c>
      <c r="S427" s="136">
        <v>634.35749999999996</v>
      </c>
      <c r="T427" s="137">
        <v>45342</v>
      </c>
      <c r="U427" s="130"/>
      <c r="V427" s="136" t="s">
        <v>59</v>
      </c>
    </row>
    <row r="428" spans="1:22" ht="62.4" x14ac:dyDescent="0.3">
      <c r="A428" s="130">
        <v>425</v>
      </c>
      <c r="B428" s="136" t="s">
        <v>40</v>
      </c>
      <c r="C428" s="44" t="s">
        <v>41</v>
      </c>
      <c r="D428" s="130"/>
      <c r="E428" s="136" t="s">
        <v>88</v>
      </c>
      <c r="F428" s="44" t="s">
        <v>917</v>
      </c>
      <c r="G428" s="136" t="s">
        <v>184</v>
      </c>
      <c r="H428" s="589">
        <v>496.01035000000002</v>
      </c>
      <c r="I428" s="130">
        <v>1</v>
      </c>
      <c r="J428" s="589">
        <v>496.01035000000002</v>
      </c>
      <c r="K428" s="589">
        <v>496.01035000000002</v>
      </c>
      <c r="L428" s="136">
        <v>1</v>
      </c>
      <c r="M428" s="589">
        <v>496.01035000000002</v>
      </c>
      <c r="N428" s="6" t="s">
        <v>933</v>
      </c>
      <c r="O428" s="137">
        <v>45342</v>
      </c>
      <c r="P428" s="33" t="str">
        <f>HYPERLINK("https://my.zakupivli.pro/remote/dispatcher/state_purchase_view/49305242", "UA-2024-02-20-011455-a")</f>
        <v>UA-2024-02-20-011455-a</v>
      </c>
      <c r="Q428" s="136">
        <v>496.01035000000002</v>
      </c>
      <c r="R428" s="136">
        <v>1</v>
      </c>
      <c r="S428" s="136">
        <v>496.01035000000002</v>
      </c>
      <c r="T428" s="137">
        <v>45342</v>
      </c>
      <c r="U428" s="130"/>
      <c r="V428" s="136" t="s">
        <v>59</v>
      </c>
    </row>
    <row r="429" spans="1:22" ht="78" x14ac:dyDescent="0.3">
      <c r="A429" s="130">
        <v>426</v>
      </c>
      <c r="B429" s="136" t="s">
        <v>40</v>
      </c>
      <c r="C429" s="44" t="s">
        <v>41</v>
      </c>
      <c r="D429" s="130"/>
      <c r="E429" s="136" t="s">
        <v>88</v>
      </c>
      <c r="F429" s="44" t="s">
        <v>918</v>
      </c>
      <c r="G429" s="136" t="s">
        <v>184</v>
      </c>
      <c r="H429" s="589">
        <v>286.69382000000002</v>
      </c>
      <c r="I429" s="130">
        <v>1</v>
      </c>
      <c r="J429" s="589">
        <v>286.69382000000002</v>
      </c>
      <c r="K429" s="589">
        <v>286.69382000000002</v>
      </c>
      <c r="L429" s="136">
        <v>1</v>
      </c>
      <c r="M429" s="589">
        <v>286.69382000000002</v>
      </c>
      <c r="N429" s="6" t="s">
        <v>934</v>
      </c>
      <c r="O429" s="137">
        <v>45342</v>
      </c>
      <c r="P429" s="33" t="str">
        <f>HYPERLINK("https://my.zakupivli.pro/remote/dispatcher/state_purchase_view/49304806", "UA-2024-02-20-011273-a")</f>
        <v>UA-2024-02-20-011273-a</v>
      </c>
      <c r="Q429" s="136">
        <v>286.69382000000002</v>
      </c>
      <c r="R429" s="136">
        <v>1</v>
      </c>
      <c r="S429" s="136">
        <v>286.69382000000002</v>
      </c>
      <c r="T429" s="137">
        <v>45342</v>
      </c>
      <c r="U429" s="130"/>
      <c r="V429" s="136" t="s">
        <v>59</v>
      </c>
    </row>
    <row r="430" spans="1:22" ht="62.4" x14ac:dyDescent="0.3">
      <c r="A430" s="130">
        <v>427</v>
      </c>
      <c r="B430" s="136" t="s">
        <v>40</v>
      </c>
      <c r="C430" s="44" t="s">
        <v>73</v>
      </c>
      <c r="D430" s="130"/>
      <c r="E430" s="136" t="s">
        <v>75</v>
      </c>
      <c r="F430" s="44" t="s">
        <v>919</v>
      </c>
      <c r="G430" s="136" t="s">
        <v>184</v>
      </c>
      <c r="H430" s="589">
        <v>1249.1666700000001</v>
      </c>
      <c r="I430" s="130">
        <v>1</v>
      </c>
      <c r="J430" s="589">
        <v>1249.1666700000001</v>
      </c>
      <c r="K430" s="589">
        <v>1249.1666700000001</v>
      </c>
      <c r="L430" s="136">
        <v>1</v>
      </c>
      <c r="M430" s="589">
        <v>1249.1666700000001</v>
      </c>
      <c r="N430" s="6" t="s">
        <v>935</v>
      </c>
      <c r="O430" s="137">
        <v>45342</v>
      </c>
      <c r="P430" s="33" t="str">
        <f>HYPERLINK("https://my.zakupivli.pro/remote/dispatcher/state_purchase_view/49304261", "UA-2024-02-20-011051-a")</f>
        <v>UA-2024-02-20-011051-a</v>
      </c>
      <c r="Q430" s="136">
        <v>1249.1666700000001</v>
      </c>
      <c r="R430" s="136">
        <v>1</v>
      </c>
      <c r="S430" s="136">
        <v>1249.1666700000001</v>
      </c>
      <c r="T430" s="137">
        <v>45342</v>
      </c>
      <c r="U430" s="130"/>
      <c r="V430" s="136" t="s">
        <v>59</v>
      </c>
    </row>
    <row r="431" spans="1:22" ht="78" x14ac:dyDescent="0.3">
      <c r="A431" s="130">
        <v>428</v>
      </c>
      <c r="B431" s="136" t="s">
        <v>40</v>
      </c>
      <c r="C431" s="44" t="s">
        <v>41</v>
      </c>
      <c r="D431" s="130"/>
      <c r="E431" s="136" t="s">
        <v>88</v>
      </c>
      <c r="F431" s="44" t="s">
        <v>920</v>
      </c>
      <c r="G431" s="136" t="s">
        <v>184</v>
      </c>
      <c r="H431" s="589">
        <v>175.18467000000001</v>
      </c>
      <c r="I431" s="130">
        <v>1</v>
      </c>
      <c r="J431" s="589">
        <v>175.18467000000001</v>
      </c>
      <c r="K431" s="589">
        <v>175.18467000000001</v>
      </c>
      <c r="L431" s="136">
        <v>1</v>
      </c>
      <c r="M431" s="589">
        <v>175.18467000000001</v>
      </c>
      <c r="N431" s="6" t="s">
        <v>936</v>
      </c>
      <c r="O431" s="137">
        <v>45342</v>
      </c>
      <c r="P431" s="33" t="str">
        <f>HYPERLINK("https://my.zakupivli.pro/remote/dispatcher/state_purchase_view/49303437", "UA-2024-02-20-010626-a")</f>
        <v>UA-2024-02-20-010626-a</v>
      </c>
      <c r="Q431" s="136">
        <v>175.18467000000001</v>
      </c>
      <c r="R431" s="136">
        <v>1</v>
      </c>
      <c r="S431" s="136">
        <v>175.18467000000001</v>
      </c>
      <c r="T431" s="137">
        <v>45342</v>
      </c>
      <c r="U431" s="130"/>
      <c r="V431" s="136" t="s">
        <v>59</v>
      </c>
    </row>
    <row r="432" spans="1:22" ht="62.4" x14ac:dyDescent="0.3">
      <c r="A432" s="130">
        <v>429</v>
      </c>
      <c r="B432" s="136" t="s">
        <v>40</v>
      </c>
      <c r="C432" s="44" t="s">
        <v>73</v>
      </c>
      <c r="D432" s="130"/>
      <c r="E432" s="136" t="s">
        <v>75</v>
      </c>
      <c r="F432" s="44" t="s">
        <v>921</v>
      </c>
      <c r="G432" s="136" t="s">
        <v>184</v>
      </c>
      <c r="H432" s="589">
        <v>1249.1666600000001</v>
      </c>
      <c r="I432" s="130">
        <v>1</v>
      </c>
      <c r="J432" s="589">
        <v>1249.1666600000001</v>
      </c>
      <c r="K432" s="589">
        <v>1249.1666600000001</v>
      </c>
      <c r="L432" s="136">
        <v>1</v>
      </c>
      <c r="M432" s="589">
        <v>1249.1666600000001</v>
      </c>
      <c r="N432" s="6" t="s">
        <v>937</v>
      </c>
      <c r="O432" s="137">
        <v>45342</v>
      </c>
      <c r="P432" s="33" t="str">
        <f>HYPERLINK("https://my.zakupivli.pro/remote/dispatcher/state_purchase_view/49303427", "UA-2024-02-20-010616-a")</f>
        <v>UA-2024-02-20-010616-a</v>
      </c>
      <c r="Q432" s="136">
        <v>1249.1666600000001</v>
      </c>
      <c r="R432" s="136">
        <v>1</v>
      </c>
      <c r="S432" s="136">
        <v>1249.1666600000001</v>
      </c>
      <c r="T432" s="137">
        <v>45342</v>
      </c>
      <c r="U432" s="130"/>
      <c r="V432" s="136" t="s">
        <v>59</v>
      </c>
    </row>
    <row r="433" spans="1:22" ht="78" x14ac:dyDescent="0.3">
      <c r="A433" s="130">
        <v>430</v>
      </c>
      <c r="B433" s="136" t="s">
        <v>40</v>
      </c>
      <c r="C433" s="44" t="s">
        <v>41</v>
      </c>
      <c r="D433" s="130"/>
      <c r="E433" s="136" t="s">
        <v>88</v>
      </c>
      <c r="F433" s="44" t="s">
        <v>922</v>
      </c>
      <c r="G433" s="136" t="s">
        <v>184</v>
      </c>
      <c r="H433" s="589">
        <v>95.543689999999998</v>
      </c>
      <c r="I433" s="130">
        <v>1</v>
      </c>
      <c r="J433" s="589">
        <v>95.543689999999998</v>
      </c>
      <c r="K433" s="589">
        <v>95.543689999999998</v>
      </c>
      <c r="L433" s="136">
        <v>1</v>
      </c>
      <c r="M433" s="589">
        <v>95.543689999999998</v>
      </c>
      <c r="N433" s="6" t="s">
        <v>938</v>
      </c>
      <c r="O433" s="137">
        <v>45342</v>
      </c>
      <c r="P433" s="33" t="str">
        <f>HYPERLINK("https://my.zakupivli.pro/remote/dispatcher/state_purchase_view/49302519", "UA-2024-02-20-010187-a")</f>
        <v>UA-2024-02-20-010187-a</v>
      </c>
      <c r="Q433" s="136">
        <v>95.543689999999998</v>
      </c>
      <c r="R433" s="136">
        <v>1</v>
      </c>
      <c r="S433" s="136">
        <v>95.543689999999998</v>
      </c>
      <c r="T433" s="137">
        <v>45342</v>
      </c>
      <c r="U433" s="130"/>
      <c r="V433" s="136" t="s">
        <v>59</v>
      </c>
    </row>
    <row r="434" spans="1:22" ht="78" x14ac:dyDescent="0.3">
      <c r="A434" s="130">
        <v>431</v>
      </c>
      <c r="B434" s="136" t="s">
        <v>40</v>
      </c>
      <c r="C434" s="44" t="s">
        <v>41</v>
      </c>
      <c r="D434" s="130"/>
      <c r="E434" s="136" t="s">
        <v>88</v>
      </c>
      <c r="F434" s="44" t="s">
        <v>923</v>
      </c>
      <c r="G434" s="136" t="s">
        <v>184</v>
      </c>
      <c r="H434" s="589">
        <v>43.800289999999997</v>
      </c>
      <c r="I434" s="130">
        <v>1</v>
      </c>
      <c r="J434" s="589">
        <v>43.800289999999997</v>
      </c>
      <c r="K434" s="589">
        <v>43.800289999999997</v>
      </c>
      <c r="L434" s="136">
        <v>1</v>
      </c>
      <c r="M434" s="589">
        <v>43.800289999999997</v>
      </c>
      <c r="N434" s="6" t="s">
        <v>939</v>
      </c>
      <c r="O434" s="137">
        <v>45342</v>
      </c>
      <c r="P434" s="33" t="str">
        <f>HYPERLINK("https://my.zakupivli.pro/remote/dispatcher/state_purchase_view/49302173", "UA-2024-02-20-010113-a")</f>
        <v>UA-2024-02-20-010113-a</v>
      </c>
      <c r="Q434" s="136">
        <v>43.800289999999997</v>
      </c>
      <c r="R434" s="136">
        <v>1</v>
      </c>
      <c r="S434" s="136">
        <v>43.800289999999997</v>
      </c>
      <c r="T434" s="137">
        <v>45342</v>
      </c>
      <c r="U434" s="130"/>
      <c r="V434" s="136" t="s">
        <v>59</v>
      </c>
    </row>
    <row r="435" spans="1:22" ht="78" x14ac:dyDescent="0.3">
      <c r="A435" s="130">
        <v>432</v>
      </c>
      <c r="B435" s="136" t="s">
        <v>40</v>
      </c>
      <c r="C435" s="44" t="s">
        <v>41</v>
      </c>
      <c r="D435" s="130"/>
      <c r="E435" s="136" t="s">
        <v>88</v>
      </c>
      <c r="F435" s="44" t="s">
        <v>924</v>
      </c>
      <c r="G435" s="136" t="s">
        <v>184</v>
      </c>
      <c r="H435" s="589">
        <v>402.14404999999999</v>
      </c>
      <c r="I435" s="130">
        <v>1</v>
      </c>
      <c r="J435" s="589">
        <v>402.14404999999999</v>
      </c>
      <c r="K435" s="589">
        <v>402.14404999999999</v>
      </c>
      <c r="L435" s="136">
        <v>1</v>
      </c>
      <c r="M435" s="589">
        <v>402.14404999999999</v>
      </c>
      <c r="N435" s="6" t="s">
        <v>940</v>
      </c>
      <c r="O435" s="137">
        <v>45342</v>
      </c>
      <c r="P435" s="33" t="str">
        <f>HYPERLINK("https://my.zakupivli.pro/remote/dispatcher/state_purchase_view/49301958", "UA-2024-02-20-010042-a")</f>
        <v>UA-2024-02-20-010042-a</v>
      </c>
      <c r="Q435" s="136">
        <v>402.14404999999999</v>
      </c>
      <c r="R435" s="136">
        <v>1</v>
      </c>
      <c r="S435" s="136">
        <v>402.14404999999999</v>
      </c>
      <c r="T435" s="137">
        <v>45342</v>
      </c>
      <c r="U435" s="130"/>
      <c r="V435" s="136" t="s">
        <v>59</v>
      </c>
    </row>
    <row r="436" spans="1:22" ht="78" x14ac:dyDescent="0.3">
      <c r="A436" s="130">
        <v>433</v>
      </c>
      <c r="B436" s="136" t="s">
        <v>40</v>
      </c>
      <c r="C436" s="44" t="s">
        <v>41</v>
      </c>
      <c r="D436" s="130"/>
      <c r="E436" s="136" t="s">
        <v>88</v>
      </c>
      <c r="F436" s="44" t="s">
        <v>925</v>
      </c>
      <c r="G436" s="136" t="s">
        <v>184</v>
      </c>
      <c r="H436" s="589">
        <v>218.98410000000001</v>
      </c>
      <c r="I436" s="130">
        <v>1</v>
      </c>
      <c r="J436" s="589">
        <v>218.98410000000001</v>
      </c>
      <c r="K436" s="589">
        <v>218.98410000000001</v>
      </c>
      <c r="L436" s="136">
        <v>1</v>
      </c>
      <c r="M436" s="589">
        <v>218.98410000000001</v>
      </c>
      <c r="N436" s="6" t="s">
        <v>941</v>
      </c>
      <c r="O436" s="137">
        <v>45342</v>
      </c>
      <c r="P436" s="33" t="str">
        <f>HYPERLINK("https://my.zakupivli.pro/remote/dispatcher/state_purchase_view/49301487", "UA-2024-02-20-009792-a")</f>
        <v>UA-2024-02-20-009792-a</v>
      </c>
      <c r="Q436" s="136">
        <v>218.98410000000001</v>
      </c>
      <c r="R436" s="136">
        <v>1</v>
      </c>
      <c r="S436" s="136">
        <v>218.98410000000001</v>
      </c>
      <c r="T436" s="137">
        <v>45342</v>
      </c>
      <c r="U436" s="130"/>
      <c r="V436" s="136" t="s">
        <v>59</v>
      </c>
    </row>
    <row r="437" spans="1:22" ht="78" x14ac:dyDescent="0.3">
      <c r="A437" s="130">
        <v>434</v>
      </c>
      <c r="B437" s="136" t="s">
        <v>40</v>
      </c>
      <c r="C437" s="44" t="s">
        <v>41</v>
      </c>
      <c r="D437" s="130"/>
      <c r="E437" s="136" t="s">
        <v>88</v>
      </c>
      <c r="F437" s="44" t="s">
        <v>926</v>
      </c>
      <c r="G437" s="136" t="s">
        <v>184</v>
      </c>
      <c r="H437" s="589">
        <v>676.91264000000001</v>
      </c>
      <c r="I437" s="130">
        <v>1</v>
      </c>
      <c r="J437" s="589">
        <v>676.91264000000001</v>
      </c>
      <c r="K437" s="589">
        <v>676.91264000000001</v>
      </c>
      <c r="L437" s="136">
        <v>1</v>
      </c>
      <c r="M437" s="589">
        <v>676.91264000000001</v>
      </c>
      <c r="N437" s="6" t="s">
        <v>942</v>
      </c>
      <c r="O437" s="137">
        <v>45342</v>
      </c>
      <c r="P437" s="33" t="str">
        <f>HYPERLINK("https://my.zakupivli.pro/remote/dispatcher/state_purchase_view/49300786", "UA-2024-02-20-009499-a")</f>
        <v>UA-2024-02-20-009499-a</v>
      </c>
      <c r="Q437" s="136">
        <v>676.91264000000001</v>
      </c>
      <c r="R437" s="136">
        <v>1</v>
      </c>
      <c r="S437" s="136">
        <v>676.91264000000001</v>
      </c>
      <c r="T437" s="137">
        <v>45342</v>
      </c>
      <c r="U437" s="130"/>
      <c r="V437" s="136" t="s">
        <v>59</v>
      </c>
    </row>
    <row r="438" spans="1:22" ht="78" x14ac:dyDescent="0.3">
      <c r="A438" s="130">
        <v>435</v>
      </c>
      <c r="B438" s="136" t="s">
        <v>40</v>
      </c>
      <c r="C438" s="44" t="s">
        <v>41</v>
      </c>
      <c r="D438" s="130"/>
      <c r="E438" s="136" t="s">
        <v>88</v>
      </c>
      <c r="F438" s="44" t="s">
        <v>927</v>
      </c>
      <c r="G438" s="136" t="s">
        <v>184</v>
      </c>
      <c r="H438" s="589">
        <v>48.8902</v>
      </c>
      <c r="I438" s="130">
        <v>1</v>
      </c>
      <c r="J438" s="589">
        <v>48.8902</v>
      </c>
      <c r="K438" s="589">
        <v>48.8902</v>
      </c>
      <c r="L438" s="136">
        <v>1</v>
      </c>
      <c r="M438" s="589">
        <v>48.8902</v>
      </c>
      <c r="N438" s="6" t="s">
        <v>943</v>
      </c>
      <c r="O438" s="137">
        <v>45342</v>
      </c>
      <c r="P438" s="33" t="str">
        <f>HYPERLINK("https://my.zakupivli.pro/remote/dispatcher/state_purchase_view/49300201", "UA-2024-02-20-009222-a")</f>
        <v>UA-2024-02-20-009222-a</v>
      </c>
      <c r="Q438" s="136">
        <v>48.8902</v>
      </c>
      <c r="R438" s="136">
        <v>1</v>
      </c>
      <c r="S438" s="136">
        <v>48.8902</v>
      </c>
      <c r="T438" s="137">
        <v>45342</v>
      </c>
      <c r="U438" s="130"/>
      <c r="V438" s="136" t="s">
        <v>59</v>
      </c>
    </row>
    <row r="439" spans="1:22" ht="78" x14ac:dyDescent="0.3">
      <c r="A439" s="130">
        <v>436</v>
      </c>
      <c r="B439" s="136" t="s">
        <v>40</v>
      </c>
      <c r="C439" s="44" t="s">
        <v>41</v>
      </c>
      <c r="D439" s="130"/>
      <c r="E439" s="136" t="s">
        <v>88</v>
      </c>
      <c r="F439" s="44" t="s">
        <v>928</v>
      </c>
      <c r="G439" s="136" t="s">
        <v>184</v>
      </c>
      <c r="H439" s="589">
        <v>87.01397</v>
      </c>
      <c r="I439" s="130">
        <v>1</v>
      </c>
      <c r="J439" s="589">
        <v>87.01397</v>
      </c>
      <c r="K439" s="589">
        <v>87.01397</v>
      </c>
      <c r="L439" s="136">
        <v>1</v>
      </c>
      <c r="M439" s="589">
        <v>87.01397</v>
      </c>
      <c r="N439" s="6" t="s">
        <v>944</v>
      </c>
      <c r="O439" s="137">
        <v>45342</v>
      </c>
      <c r="P439" s="33" t="str">
        <f>HYPERLINK("https://my.zakupivli.pro/remote/dispatcher/state_purchase_view/49299714", "UA-2024-02-20-008982-a")</f>
        <v>UA-2024-02-20-008982-a</v>
      </c>
      <c r="Q439" s="136">
        <v>87.01397</v>
      </c>
      <c r="R439" s="136">
        <v>1</v>
      </c>
      <c r="S439" s="136">
        <v>87.01397</v>
      </c>
      <c r="T439" s="137">
        <v>45342</v>
      </c>
      <c r="U439" s="130"/>
      <c r="V439" s="136" t="s">
        <v>59</v>
      </c>
    </row>
    <row r="440" spans="1:22" ht="78" x14ac:dyDescent="0.3">
      <c r="A440" s="130">
        <v>437</v>
      </c>
      <c r="B440" s="136" t="s">
        <v>40</v>
      </c>
      <c r="C440" s="44" t="s">
        <v>41</v>
      </c>
      <c r="D440" s="130"/>
      <c r="E440" s="136" t="s">
        <v>88</v>
      </c>
      <c r="F440" s="44" t="s">
        <v>929</v>
      </c>
      <c r="G440" s="136" t="s">
        <v>184</v>
      </c>
      <c r="H440" s="589">
        <v>81.598889999999997</v>
      </c>
      <c r="I440" s="130">
        <v>1</v>
      </c>
      <c r="J440" s="589">
        <v>81.598889999999997</v>
      </c>
      <c r="K440" s="589">
        <v>81.598889999999997</v>
      </c>
      <c r="L440" s="136">
        <v>1</v>
      </c>
      <c r="M440" s="589">
        <v>81.598889999999997</v>
      </c>
      <c r="N440" s="6" t="s">
        <v>945</v>
      </c>
      <c r="O440" s="137">
        <v>45342</v>
      </c>
      <c r="P440" s="33" t="str">
        <f>HYPERLINK("https://my.zakupivli.pro/remote/dispatcher/state_purchase_view/49299258", "UA-2024-02-20-008891-a")</f>
        <v>UA-2024-02-20-008891-a</v>
      </c>
      <c r="Q440" s="136">
        <v>81.598889999999997</v>
      </c>
      <c r="R440" s="136">
        <v>1</v>
      </c>
      <c r="S440" s="136">
        <v>81.598889999999997</v>
      </c>
      <c r="T440" s="137">
        <v>45342</v>
      </c>
      <c r="U440" s="130"/>
      <c r="V440" s="136" t="s">
        <v>59</v>
      </c>
    </row>
    <row r="441" spans="1:22" ht="78" x14ac:dyDescent="0.3">
      <c r="A441" s="130">
        <v>438</v>
      </c>
      <c r="B441" s="136" t="s">
        <v>40</v>
      </c>
      <c r="C441" s="44" t="s">
        <v>41</v>
      </c>
      <c r="D441" s="130"/>
      <c r="E441" s="136" t="s">
        <v>88</v>
      </c>
      <c r="F441" s="44" t="s">
        <v>930</v>
      </c>
      <c r="G441" s="136" t="s">
        <v>184</v>
      </c>
      <c r="H441" s="589">
        <v>141.41246000000001</v>
      </c>
      <c r="I441" s="130">
        <v>1</v>
      </c>
      <c r="J441" s="589">
        <v>141.41246000000001</v>
      </c>
      <c r="K441" s="589">
        <v>141.41246000000001</v>
      </c>
      <c r="L441" s="136">
        <v>1</v>
      </c>
      <c r="M441" s="589">
        <v>141.41246000000001</v>
      </c>
      <c r="N441" s="6" t="s">
        <v>946</v>
      </c>
      <c r="O441" s="137">
        <v>45342</v>
      </c>
      <c r="P441" s="33" t="str">
        <f>HYPERLINK("https://my.zakupivli.pro/remote/dispatcher/state_purchase_view/49298239", "UA-2024-02-20-008382-a")</f>
        <v>UA-2024-02-20-008382-a</v>
      </c>
      <c r="Q441" s="136">
        <v>141.41246000000001</v>
      </c>
      <c r="R441" s="136">
        <v>1</v>
      </c>
      <c r="S441" s="136">
        <v>141.41246000000001</v>
      </c>
      <c r="T441" s="137">
        <v>45342</v>
      </c>
      <c r="U441" s="130"/>
      <c r="V441" s="136" t="s">
        <v>59</v>
      </c>
    </row>
    <row r="442" spans="1:22" ht="46.8" x14ac:dyDescent="0.3">
      <c r="A442" s="130">
        <v>439</v>
      </c>
      <c r="B442" s="136" t="s">
        <v>21</v>
      </c>
      <c r="C442" s="44" t="s">
        <v>36</v>
      </c>
      <c r="D442" s="136" t="s">
        <v>58</v>
      </c>
      <c r="E442" s="136" t="s">
        <v>75</v>
      </c>
      <c r="F442" s="44" t="s">
        <v>931</v>
      </c>
      <c r="G442" s="130" t="s">
        <v>185</v>
      </c>
      <c r="H442" s="589"/>
      <c r="I442" s="130">
        <v>12</v>
      </c>
      <c r="J442" s="589">
        <v>1343.433</v>
      </c>
      <c r="K442" s="589"/>
      <c r="L442" s="136">
        <v>12</v>
      </c>
      <c r="M442" s="589">
        <v>1343.433</v>
      </c>
      <c r="N442" s="6" t="s">
        <v>947</v>
      </c>
      <c r="O442" s="137">
        <v>45342</v>
      </c>
      <c r="P442" s="33" t="str">
        <f>HYPERLINK("https://my.zakupivli.pro/remote/dispatcher/state_purchase_view/49296397", "UA-2024-02-20-007571-a")</f>
        <v>UA-2024-02-20-007571-a</v>
      </c>
      <c r="Q442" s="130"/>
      <c r="R442" s="136">
        <v>12</v>
      </c>
      <c r="S442" s="136">
        <v>1303.8366699999999</v>
      </c>
      <c r="T442" s="131">
        <v>45362</v>
      </c>
      <c r="U442" s="130"/>
      <c r="V442" s="130"/>
    </row>
    <row r="443" spans="1:22" ht="62.4" x14ac:dyDescent="0.3">
      <c r="A443" s="130">
        <v>440</v>
      </c>
      <c r="B443" s="138" t="s">
        <v>40</v>
      </c>
      <c r="C443" s="44" t="s">
        <v>41</v>
      </c>
      <c r="D443" s="130"/>
      <c r="E443" s="446" t="s">
        <v>20</v>
      </c>
      <c r="F443" s="44" t="s">
        <v>948</v>
      </c>
      <c r="G443" s="130" t="s">
        <v>184</v>
      </c>
      <c r="H443" s="589">
        <v>58.664209999999997</v>
      </c>
      <c r="I443" s="130">
        <v>1</v>
      </c>
      <c r="J443" s="589">
        <v>58.664209999999997</v>
      </c>
      <c r="K443" s="589">
        <v>58.664209999999997</v>
      </c>
      <c r="L443" s="138">
        <v>1</v>
      </c>
      <c r="M443" s="589">
        <v>58.664209999999997</v>
      </c>
      <c r="N443" s="6" t="s">
        <v>951</v>
      </c>
      <c r="O443" s="131">
        <v>45343</v>
      </c>
      <c r="P443" s="33" t="str">
        <f>HYPERLINK("https://my.zakupivli.pro/remote/dispatcher/state_purchase_view/49312970", "UA-2024-02-21-000550-a")</f>
        <v>UA-2024-02-21-000550-a</v>
      </c>
      <c r="Q443" s="138">
        <v>58.664209999999997</v>
      </c>
      <c r="R443" s="138">
        <v>1</v>
      </c>
      <c r="S443" s="138">
        <v>58.664209999999997</v>
      </c>
      <c r="T443" s="139">
        <v>45343</v>
      </c>
      <c r="U443" s="130"/>
      <c r="V443" s="138" t="s">
        <v>59</v>
      </c>
    </row>
    <row r="444" spans="1:22" ht="62.4" x14ac:dyDescent="0.3">
      <c r="A444" s="130">
        <v>441</v>
      </c>
      <c r="B444" s="138" t="s">
        <v>40</v>
      </c>
      <c r="C444" s="44" t="s">
        <v>41</v>
      </c>
      <c r="D444" s="130"/>
      <c r="E444" s="446" t="s">
        <v>20</v>
      </c>
      <c r="F444" s="44" t="s">
        <v>949</v>
      </c>
      <c r="G444" s="130" t="s">
        <v>184</v>
      </c>
      <c r="H444" s="589">
        <v>248.74084999999999</v>
      </c>
      <c r="I444" s="130">
        <v>1</v>
      </c>
      <c r="J444" s="589">
        <v>248.74084999999999</v>
      </c>
      <c r="K444" s="589">
        <v>248.74084999999999</v>
      </c>
      <c r="L444" s="138">
        <v>1</v>
      </c>
      <c r="M444" s="589">
        <v>248.74084999999999</v>
      </c>
      <c r="N444" s="6" t="s">
        <v>952</v>
      </c>
      <c r="O444" s="139">
        <v>45343</v>
      </c>
      <c r="P444" s="33" t="str">
        <f>HYPERLINK("https://my.zakupivli.pro/remote/dispatcher/state_purchase_view/49312594", "UA-2024-02-21-000366-a")</f>
        <v>UA-2024-02-21-000366-a</v>
      </c>
      <c r="Q444" s="138">
        <v>248.74084999999999</v>
      </c>
      <c r="R444" s="138">
        <v>1</v>
      </c>
      <c r="S444" s="138">
        <v>248.74084999999999</v>
      </c>
      <c r="T444" s="139">
        <v>45343</v>
      </c>
      <c r="U444" s="130"/>
      <c r="V444" s="138" t="s">
        <v>59</v>
      </c>
    </row>
    <row r="445" spans="1:22" ht="62.4" x14ac:dyDescent="0.3">
      <c r="A445" s="130">
        <v>442</v>
      </c>
      <c r="B445" s="138" t="s">
        <v>40</v>
      </c>
      <c r="C445" s="44" t="s">
        <v>41</v>
      </c>
      <c r="D445" s="130"/>
      <c r="E445" s="446" t="s">
        <v>20</v>
      </c>
      <c r="F445" s="44" t="s">
        <v>950</v>
      </c>
      <c r="G445" s="130" t="s">
        <v>184</v>
      </c>
      <c r="H445" s="589">
        <v>614.07236999999998</v>
      </c>
      <c r="I445" s="130">
        <v>1</v>
      </c>
      <c r="J445" s="589">
        <v>614.07236999999998</v>
      </c>
      <c r="K445" s="589">
        <v>614.07236999999998</v>
      </c>
      <c r="L445" s="138">
        <v>1</v>
      </c>
      <c r="M445" s="589">
        <v>614.07236999999998</v>
      </c>
      <c r="N445" s="6" t="s">
        <v>953</v>
      </c>
      <c r="O445" s="139">
        <v>45343</v>
      </c>
      <c r="P445" s="33" t="str">
        <f>HYPERLINK("https://my.zakupivli.pro/remote/dispatcher/state_purchase_view/49312342", "UA-2024-02-21-000270-a")</f>
        <v>UA-2024-02-21-000270-a</v>
      </c>
      <c r="Q445" s="138">
        <v>614.07236999999998</v>
      </c>
      <c r="R445" s="138">
        <v>1</v>
      </c>
      <c r="S445" s="138">
        <v>614.07236999999998</v>
      </c>
      <c r="T445" s="139">
        <v>45343</v>
      </c>
      <c r="U445" s="130"/>
      <c r="V445" s="138" t="s">
        <v>59</v>
      </c>
    </row>
    <row r="446" spans="1:22" ht="62.4" x14ac:dyDescent="0.3">
      <c r="A446" s="130">
        <v>443</v>
      </c>
      <c r="B446" s="140" t="s">
        <v>40</v>
      </c>
      <c r="C446" s="44" t="s">
        <v>41</v>
      </c>
      <c r="D446" s="130"/>
      <c r="E446" s="446" t="s">
        <v>20</v>
      </c>
      <c r="F446" s="44" t="s">
        <v>954</v>
      </c>
      <c r="G446" s="140" t="s">
        <v>184</v>
      </c>
      <c r="H446" s="589">
        <v>381.84183000000002</v>
      </c>
      <c r="I446" s="140">
        <v>1</v>
      </c>
      <c r="J446" s="589">
        <v>381.84183000000002</v>
      </c>
      <c r="K446" s="589">
        <v>381.84183000000002</v>
      </c>
      <c r="L446" s="140">
        <v>1</v>
      </c>
      <c r="M446" s="589">
        <v>381.84183000000002</v>
      </c>
      <c r="N446" s="6" t="s">
        <v>959</v>
      </c>
      <c r="O446" s="131">
        <v>45344</v>
      </c>
      <c r="P446" s="33" t="str">
        <f>HYPERLINK("https://my.zakupivli.pro/remote/dispatcher/state_purchase_view/49350980", "UA-2024-02-22-002895-a")</f>
        <v>UA-2024-02-22-002895-a</v>
      </c>
      <c r="Q446" s="140">
        <v>381.84183000000002</v>
      </c>
      <c r="R446" s="140">
        <v>1</v>
      </c>
      <c r="S446" s="140">
        <v>381.84183000000002</v>
      </c>
      <c r="T446" s="141">
        <v>45344</v>
      </c>
      <c r="U446" s="130"/>
      <c r="V446" s="140" t="s">
        <v>59</v>
      </c>
    </row>
    <row r="447" spans="1:22" ht="62.4" x14ac:dyDescent="0.3">
      <c r="A447" s="130">
        <v>444</v>
      </c>
      <c r="B447" s="140" t="s">
        <v>40</v>
      </c>
      <c r="C447" s="44" t="s">
        <v>41</v>
      </c>
      <c r="D447" s="130"/>
      <c r="E447" s="446" t="s">
        <v>20</v>
      </c>
      <c r="F447" s="44" t="s">
        <v>955</v>
      </c>
      <c r="G447" s="140" t="s">
        <v>184</v>
      </c>
      <c r="H447" s="589">
        <v>238.40684999999999</v>
      </c>
      <c r="I447" s="140">
        <v>1</v>
      </c>
      <c r="J447" s="589">
        <v>238.40684999999999</v>
      </c>
      <c r="K447" s="589">
        <v>238.40684999999999</v>
      </c>
      <c r="L447" s="140">
        <v>1</v>
      </c>
      <c r="M447" s="589">
        <v>238.40684999999999</v>
      </c>
      <c r="N447" s="6" t="s">
        <v>960</v>
      </c>
      <c r="O447" s="141">
        <v>45344</v>
      </c>
      <c r="P447" s="33" t="str">
        <f>HYPERLINK("https://my.zakupivli.pro/remote/dispatcher/state_purchase_view/49348727", "UA-2024-02-22-001885-a")</f>
        <v>UA-2024-02-22-001885-a</v>
      </c>
      <c r="Q447" s="140">
        <v>238.40684999999999</v>
      </c>
      <c r="R447" s="140">
        <v>1</v>
      </c>
      <c r="S447" s="140">
        <v>238.40684999999999</v>
      </c>
      <c r="T447" s="141">
        <v>45344</v>
      </c>
      <c r="U447" s="130"/>
      <c r="V447" s="140" t="s">
        <v>59</v>
      </c>
    </row>
    <row r="448" spans="1:22" ht="62.4" x14ac:dyDescent="0.3">
      <c r="A448" s="130">
        <v>445</v>
      </c>
      <c r="B448" s="140" t="s">
        <v>40</v>
      </c>
      <c r="C448" s="44" t="s">
        <v>41</v>
      </c>
      <c r="D448" s="130"/>
      <c r="E448" s="446" t="s">
        <v>20</v>
      </c>
      <c r="F448" s="44" t="s">
        <v>956</v>
      </c>
      <c r="G448" s="140" t="s">
        <v>184</v>
      </c>
      <c r="H448" s="589">
        <v>288.66127</v>
      </c>
      <c r="I448" s="140">
        <v>1</v>
      </c>
      <c r="J448" s="589">
        <v>288.66127</v>
      </c>
      <c r="K448" s="589">
        <v>288.66127</v>
      </c>
      <c r="L448" s="140">
        <v>1</v>
      </c>
      <c r="M448" s="589">
        <v>288.66127</v>
      </c>
      <c r="N448" s="6" t="s">
        <v>961</v>
      </c>
      <c r="O448" s="141">
        <v>45344</v>
      </c>
      <c r="P448" s="33" t="str">
        <f>HYPERLINK("https://my.zakupivli.pro/remote/dispatcher/state_purchase_view/49347008", "UA-2024-02-22-001148-a")</f>
        <v>UA-2024-02-22-001148-a</v>
      </c>
      <c r="Q448" s="140">
        <v>288.66127</v>
      </c>
      <c r="R448" s="140">
        <v>1</v>
      </c>
      <c r="S448" s="140">
        <v>288.66127</v>
      </c>
      <c r="T448" s="141">
        <v>45344</v>
      </c>
      <c r="U448" s="130"/>
      <c r="V448" s="140" t="s">
        <v>59</v>
      </c>
    </row>
    <row r="449" spans="1:22" ht="62.4" x14ac:dyDescent="0.3">
      <c r="A449" s="130">
        <v>446</v>
      </c>
      <c r="B449" s="140" t="s">
        <v>40</v>
      </c>
      <c r="C449" s="44" t="s">
        <v>73</v>
      </c>
      <c r="D449" s="130"/>
      <c r="E449" s="140" t="s">
        <v>75</v>
      </c>
      <c r="F449" s="44" t="s">
        <v>957</v>
      </c>
      <c r="G449" s="140" t="s">
        <v>184</v>
      </c>
      <c r="H449" s="589">
        <v>409.11955999999998</v>
      </c>
      <c r="I449" s="140">
        <v>1</v>
      </c>
      <c r="J449" s="589">
        <v>409.11955999999998</v>
      </c>
      <c r="K449" s="589">
        <v>409.11955999999998</v>
      </c>
      <c r="L449" s="140">
        <v>1</v>
      </c>
      <c r="M449" s="589">
        <v>409.11955999999998</v>
      </c>
      <c r="N449" s="6" t="s">
        <v>962</v>
      </c>
      <c r="O449" s="141">
        <v>45344</v>
      </c>
      <c r="P449" s="33" t="str">
        <f>HYPERLINK("https://my.zakupivli.pro/remote/dispatcher/state_purchase_view/49345061", "UA-2024-02-22-000344-a")</f>
        <v>UA-2024-02-22-000344-a</v>
      </c>
      <c r="Q449" s="140">
        <v>409.11955999999998</v>
      </c>
      <c r="R449" s="140">
        <v>1</v>
      </c>
      <c r="S449" s="140">
        <v>409.11955999999998</v>
      </c>
      <c r="T449" s="141">
        <v>45344</v>
      </c>
      <c r="U449" s="130"/>
      <c r="V449" s="140" t="s">
        <v>59</v>
      </c>
    </row>
    <row r="450" spans="1:22" ht="62.4" x14ac:dyDescent="0.3">
      <c r="A450" s="130">
        <v>447</v>
      </c>
      <c r="B450" s="140" t="s">
        <v>40</v>
      </c>
      <c r="C450" s="44" t="s">
        <v>73</v>
      </c>
      <c r="D450" s="130"/>
      <c r="E450" s="140" t="s">
        <v>75</v>
      </c>
      <c r="F450" s="44" t="s">
        <v>958</v>
      </c>
      <c r="G450" s="140" t="s">
        <v>184</v>
      </c>
      <c r="H450" s="589">
        <v>817.76594999999998</v>
      </c>
      <c r="I450" s="140">
        <v>1</v>
      </c>
      <c r="J450" s="589">
        <v>817.76594999999998</v>
      </c>
      <c r="K450" s="589">
        <v>817.76594999999998</v>
      </c>
      <c r="L450" s="140">
        <v>1</v>
      </c>
      <c r="M450" s="589">
        <v>817.76594999999998</v>
      </c>
      <c r="N450" s="6" t="s">
        <v>963</v>
      </c>
      <c r="O450" s="141">
        <v>45344</v>
      </c>
      <c r="P450" s="33" t="str">
        <f>HYPERLINK("https://my.zakupivli.pro/remote/dispatcher/state_purchase_view/49344568", "UA-2024-02-22-000149-a")</f>
        <v>UA-2024-02-22-000149-a</v>
      </c>
      <c r="Q450" s="140">
        <v>817.76594999999998</v>
      </c>
      <c r="R450" s="140">
        <v>1</v>
      </c>
      <c r="S450" s="140">
        <v>817.76594999999998</v>
      </c>
      <c r="T450" s="141">
        <v>45344</v>
      </c>
      <c r="U450" s="130"/>
      <c r="V450" s="140" t="s">
        <v>59</v>
      </c>
    </row>
    <row r="451" spans="1:22" ht="62.4" x14ac:dyDescent="0.3">
      <c r="A451" s="130">
        <v>448</v>
      </c>
      <c r="B451" s="140" t="s">
        <v>40</v>
      </c>
      <c r="C451" s="44" t="s">
        <v>41</v>
      </c>
      <c r="D451" s="130"/>
      <c r="E451" s="446" t="s">
        <v>20</v>
      </c>
      <c r="F451" s="44" t="s">
        <v>964</v>
      </c>
      <c r="G451" s="140" t="s">
        <v>184</v>
      </c>
      <c r="H451" s="589">
        <v>454.31464</v>
      </c>
      <c r="I451" s="130">
        <v>1</v>
      </c>
      <c r="J451" s="589">
        <v>454.31464</v>
      </c>
      <c r="K451" s="589">
        <v>454.31464</v>
      </c>
      <c r="L451" s="140">
        <v>1</v>
      </c>
      <c r="M451" s="589">
        <v>454.31464</v>
      </c>
      <c r="N451" s="6" t="s">
        <v>966</v>
      </c>
      <c r="O451" s="141">
        <v>45344</v>
      </c>
      <c r="P451" s="33" t="str">
        <f>HYPERLINK("https://my.zakupivli.pro/remote/dispatcher/state_purchase_view/49369718", "UA-2024-02-22-011155-a")</f>
        <v>UA-2024-02-22-011155-a</v>
      </c>
      <c r="Q451" s="140">
        <v>454.31464</v>
      </c>
      <c r="R451" s="140">
        <v>1</v>
      </c>
      <c r="S451" s="140">
        <v>454.31464</v>
      </c>
      <c r="T451" s="141">
        <v>45344</v>
      </c>
      <c r="U451" s="130"/>
      <c r="V451" s="140" t="s">
        <v>59</v>
      </c>
    </row>
    <row r="452" spans="1:22" ht="62.4" x14ac:dyDescent="0.3">
      <c r="A452" s="130">
        <v>449</v>
      </c>
      <c r="B452" s="140" t="s">
        <v>40</v>
      </c>
      <c r="C452" s="44" t="s">
        <v>41</v>
      </c>
      <c r="D452" s="130"/>
      <c r="E452" s="446" t="s">
        <v>20</v>
      </c>
      <c r="F452" s="44" t="s">
        <v>965</v>
      </c>
      <c r="G452" s="140" t="s">
        <v>184</v>
      </c>
      <c r="H452" s="589">
        <v>82.526830000000004</v>
      </c>
      <c r="I452" s="130">
        <v>1</v>
      </c>
      <c r="J452" s="589">
        <v>82.526830000000004</v>
      </c>
      <c r="K452" s="589">
        <v>82.526830000000004</v>
      </c>
      <c r="L452" s="140">
        <v>1</v>
      </c>
      <c r="M452" s="589">
        <v>82.526830000000004</v>
      </c>
      <c r="N452" s="6" t="s">
        <v>967</v>
      </c>
      <c r="O452" s="141">
        <v>45344</v>
      </c>
      <c r="P452" s="33" t="str">
        <f>HYPERLINK("https://my.zakupivli.pro/remote/dispatcher/state_purchase_view/49369192", "UA-2024-02-22-011040-a")</f>
        <v>UA-2024-02-22-011040-a</v>
      </c>
      <c r="Q452" s="140">
        <v>82.526830000000004</v>
      </c>
      <c r="R452" s="140">
        <v>1</v>
      </c>
      <c r="S452" s="140">
        <v>82.526830000000004</v>
      </c>
      <c r="T452" s="141">
        <v>45344</v>
      </c>
      <c r="U452" s="130"/>
      <c r="V452" s="140" t="s">
        <v>59</v>
      </c>
    </row>
    <row r="453" spans="1:22" ht="46.8" x14ac:dyDescent="0.3">
      <c r="A453" s="130">
        <v>450</v>
      </c>
      <c r="B453" s="130" t="s">
        <v>21</v>
      </c>
      <c r="C453" s="44" t="s">
        <v>969</v>
      </c>
      <c r="D453" s="130"/>
      <c r="E453" s="142" t="s">
        <v>75</v>
      </c>
      <c r="F453" s="44" t="s">
        <v>968</v>
      </c>
      <c r="G453" s="130" t="s">
        <v>186</v>
      </c>
      <c r="H453" s="589"/>
      <c r="I453" s="130">
        <v>39</v>
      </c>
      <c r="J453" s="589">
        <v>162.77915999999999</v>
      </c>
      <c r="K453" s="589"/>
      <c r="L453" s="142">
        <v>39</v>
      </c>
      <c r="M453" s="589">
        <v>162.77915999999999</v>
      </c>
      <c r="N453" s="6" t="s">
        <v>970</v>
      </c>
      <c r="O453" s="143">
        <v>45344</v>
      </c>
      <c r="P453" s="33" t="str">
        <f>HYPERLINK("https://my.zakupivli.pro/remote/dispatcher/state_purchase_view/49362827", "UA-2024-02-22-008123-a")</f>
        <v>UA-2024-02-22-008123-a</v>
      </c>
      <c r="Q453" s="130"/>
      <c r="R453" s="130">
        <v>39</v>
      </c>
      <c r="S453" s="130">
        <v>162.73124000000001</v>
      </c>
      <c r="T453" s="131">
        <v>45364</v>
      </c>
      <c r="U453" s="130"/>
      <c r="V453" s="130"/>
    </row>
    <row r="454" spans="1:22" ht="62.4" x14ac:dyDescent="0.3">
      <c r="A454" s="130">
        <v>451</v>
      </c>
      <c r="B454" s="144" t="s">
        <v>40</v>
      </c>
      <c r="C454" s="44" t="s">
        <v>884</v>
      </c>
      <c r="D454" s="130"/>
      <c r="E454" s="144" t="s">
        <v>88</v>
      </c>
      <c r="F454" s="44" t="s">
        <v>972</v>
      </c>
      <c r="G454" s="130" t="s">
        <v>184</v>
      </c>
      <c r="H454" s="589">
        <v>524.18587000000002</v>
      </c>
      <c r="I454" s="130">
        <v>1</v>
      </c>
      <c r="J454" s="589">
        <v>524.18587000000002</v>
      </c>
      <c r="K454" s="589">
        <v>524.18587000000002</v>
      </c>
      <c r="L454" s="144">
        <v>1</v>
      </c>
      <c r="M454" s="589">
        <v>524.18587000000002</v>
      </c>
      <c r="N454" s="6" t="s">
        <v>973</v>
      </c>
      <c r="O454" s="131">
        <v>45345</v>
      </c>
      <c r="P454" s="33" t="str">
        <f>HYPERLINK("https://my.zakupivli.pro/remote/dispatcher/state_purchase_view/49381942", "UA-2024-02-23-002262-a")</f>
        <v>UA-2024-02-23-002262-a</v>
      </c>
      <c r="Q454" s="144">
        <v>524.18587000000002</v>
      </c>
      <c r="R454" s="144">
        <v>1</v>
      </c>
      <c r="S454" s="144">
        <v>524.18587000000002</v>
      </c>
      <c r="T454" s="145">
        <v>45345</v>
      </c>
      <c r="U454" s="130"/>
      <c r="V454" s="144" t="s">
        <v>59</v>
      </c>
    </row>
    <row r="455" spans="1:22" ht="62.4" x14ac:dyDescent="0.3">
      <c r="A455" s="130">
        <v>452</v>
      </c>
      <c r="B455" s="144" t="s">
        <v>40</v>
      </c>
      <c r="C455" s="44" t="s">
        <v>884</v>
      </c>
      <c r="D455" s="130"/>
      <c r="E455" s="144" t="s">
        <v>88</v>
      </c>
      <c r="F455" s="44" t="s">
        <v>971</v>
      </c>
      <c r="G455" s="130" t="s">
        <v>184</v>
      </c>
      <c r="H455" s="589">
        <v>433.81254999999999</v>
      </c>
      <c r="I455" s="130">
        <v>1</v>
      </c>
      <c r="J455" s="589">
        <v>433.81254999999999</v>
      </c>
      <c r="K455" s="589">
        <v>433.81254999999999</v>
      </c>
      <c r="L455" s="144">
        <v>1</v>
      </c>
      <c r="M455" s="589">
        <v>433.81254999999999</v>
      </c>
      <c r="N455" s="6" t="s">
        <v>974</v>
      </c>
      <c r="O455" s="145">
        <v>45345</v>
      </c>
      <c r="P455" s="33" t="str">
        <f>HYPERLINK("https://my.zakupivli.pro/remote/dispatcher/state_purchase_view/49380309", "UA-2024-02-23-001573-a")</f>
        <v>UA-2024-02-23-001573-a</v>
      </c>
      <c r="Q455" s="144">
        <v>433.81254999999999</v>
      </c>
      <c r="R455" s="144">
        <v>1</v>
      </c>
      <c r="S455" s="144">
        <v>433.81254999999999</v>
      </c>
      <c r="T455" s="145">
        <v>45345</v>
      </c>
      <c r="U455" s="130"/>
      <c r="V455" s="144" t="s">
        <v>59</v>
      </c>
    </row>
    <row r="456" spans="1:22" ht="62.4" x14ac:dyDescent="0.3">
      <c r="A456" s="130">
        <v>453</v>
      </c>
      <c r="B456" s="147" t="s">
        <v>40</v>
      </c>
      <c r="C456" s="44" t="s">
        <v>41</v>
      </c>
      <c r="D456" s="130"/>
      <c r="E456" s="147" t="s">
        <v>75</v>
      </c>
      <c r="F456" s="44" t="s">
        <v>975</v>
      </c>
      <c r="G456" s="147" t="s">
        <v>184</v>
      </c>
      <c r="H456" s="589">
        <v>295.57825000000003</v>
      </c>
      <c r="I456" s="130">
        <v>1</v>
      </c>
      <c r="J456" s="589">
        <v>295.57825000000003</v>
      </c>
      <c r="K456" s="589">
        <v>295.57825000000003</v>
      </c>
      <c r="L456" s="147">
        <v>1</v>
      </c>
      <c r="M456" s="589">
        <v>295.57825000000003</v>
      </c>
      <c r="N456" s="6" t="s">
        <v>977</v>
      </c>
      <c r="O456" s="131">
        <v>45348</v>
      </c>
      <c r="P456" s="33" t="str">
        <f>HYPERLINK("https://my.zakupivli.pro/remote/dispatcher/state_purchase_view/49407849", "UA-2024-02-26-000121-a")</f>
        <v>UA-2024-02-26-000121-a</v>
      </c>
      <c r="Q456" s="147">
        <v>295.57825000000003</v>
      </c>
      <c r="R456" s="147">
        <v>1</v>
      </c>
      <c r="S456" s="147">
        <v>295.57825000000003</v>
      </c>
      <c r="T456" s="146">
        <v>45348</v>
      </c>
      <c r="U456" s="130"/>
      <c r="V456" s="147" t="s">
        <v>59</v>
      </c>
    </row>
    <row r="457" spans="1:22" ht="62.4" x14ac:dyDescent="0.3">
      <c r="A457" s="130">
        <v>454</v>
      </c>
      <c r="B457" s="147" t="s">
        <v>40</v>
      </c>
      <c r="C457" s="44" t="s">
        <v>517</v>
      </c>
      <c r="D457" s="130"/>
      <c r="E457" s="147" t="s">
        <v>75</v>
      </c>
      <c r="F457" s="44" t="s">
        <v>976</v>
      </c>
      <c r="G457" s="147" t="s">
        <v>184</v>
      </c>
      <c r="H457" s="589">
        <v>75.334800000000001</v>
      </c>
      <c r="I457" s="130">
        <v>1</v>
      </c>
      <c r="J457" s="589">
        <v>75.334800000000001</v>
      </c>
      <c r="K457" s="589">
        <v>75.334800000000001</v>
      </c>
      <c r="L457" s="147">
        <v>1</v>
      </c>
      <c r="M457" s="589">
        <v>75.334800000000001</v>
      </c>
      <c r="N457" s="6" t="s">
        <v>978</v>
      </c>
      <c r="O457" s="146">
        <v>45348</v>
      </c>
      <c r="P457" s="42" t="str">
        <f>HYPERLINK("https://my.zakupivli.pro/remote/dispatcher/state_purchase_view/49407682", "UA-2024-02-26-000066-a")</f>
        <v>UA-2024-02-26-000066-a</v>
      </c>
      <c r="Q457" s="147">
        <v>75.334800000000001</v>
      </c>
      <c r="R457" s="147">
        <v>1</v>
      </c>
      <c r="S457" s="147">
        <v>75.334800000000001</v>
      </c>
      <c r="T457" s="146">
        <v>45348</v>
      </c>
      <c r="U457" s="130"/>
      <c r="V457" s="147" t="s">
        <v>59</v>
      </c>
    </row>
    <row r="458" spans="1:22" ht="46.8" x14ac:dyDescent="0.3">
      <c r="A458" s="130">
        <v>455</v>
      </c>
      <c r="B458" s="148" t="s">
        <v>21</v>
      </c>
      <c r="C458" s="41" t="s">
        <v>180</v>
      </c>
      <c r="D458" s="148" t="s">
        <v>58</v>
      </c>
      <c r="E458" s="148" t="s">
        <v>75</v>
      </c>
      <c r="F458" s="41" t="s">
        <v>979</v>
      </c>
      <c r="G458" s="130" t="s">
        <v>186</v>
      </c>
      <c r="H458" s="589"/>
      <c r="I458" s="130">
        <v>5</v>
      </c>
      <c r="J458" s="589">
        <v>372.96</v>
      </c>
      <c r="K458" s="589"/>
      <c r="L458" s="148">
        <v>5</v>
      </c>
      <c r="M458" s="589">
        <v>372.96</v>
      </c>
      <c r="N458" s="6" t="s">
        <v>980</v>
      </c>
      <c r="O458" s="131">
        <v>45349</v>
      </c>
      <c r="P458" s="33" t="str">
        <f>HYPERLINK("https://my.zakupivli.pro/remote/dispatcher/state_purchase_view/49447825", "UA-2024-02-27-004245-a")</f>
        <v>UA-2024-02-27-004245-a</v>
      </c>
      <c r="Q458" s="130"/>
      <c r="R458" s="130">
        <v>5</v>
      </c>
      <c r="S458" s="130">
        <v>332.6234</v>
      </c>
      <c r="T458" s="131">
        <v>45364</v>
      </c>
      <c r="U458" s="130"/>
      <c r="V458" s="130"/>
    </row>
    <row r="459" spans="1:22" ht="43.2" x14ac:dyDescent="0.3">
      <c r="A459" s="130">
        <v>456</v>
      </c>
      <c r="B459" s="150" t="s">
        <v>21</v>
      </c>
      <c r="C459" s="154" t="s">
        <v>32</v>
      </c>
      <c r="D459" s="150" t="s">
        <v>58</v>
      </c>
      <c r="E459" s="150" t="s">
        <v>75</v>
      </c>
      <c r="F459" s="154" t="s">
        <v>981</v>
      </c>
      <c r="G459" s="130" t="s">
        <v>186</v>
      </c>
      <c r="H459" s="589"/>
      <c r="I459" s="130">
        <v>3</v>
      </c>
      <c r="J459" s="589">
        <v>367.5</v>
      </c>
      <c r="K459" s="589"/>
      <c r="L459" s="150">
        <v>3</v>
      </c>
      <c r="M459" s="589">
        <v>367.5</v>
      </c>
      <c r="N459" s="6" t="s">
        <v>985</v>
      </c>
      <c r="O459" s="131">
        <v>45350</v>
      </c>
      <c r="P459" s="33" t="str">
        <f>HYPERLINK("https://my.zakupivli.pro/remote/dispatcher/state_purchase_view/49472296", "UA-2024-02-28-002778-a")</f>
        <v>UA-2024-02-28-002778-a</v>
      </c>
      <c r="Q459" s="130"/>
      <c r="R459" s="130">
        <v>3</v>
      </c>
      <c r="S459" s="117">
        <v>285</v>
      </c>
      <c r="T459" s="131">
        <v>45392</v>
      </c>
      <c r="U459" s="130"/>
      <c r="V459" s="130"/>
    </row>
    <row r="460" spans="1:22" ht="43.2" x14ac:dyDescent="0.3">
      <c r="A460" s="130">
        <v>457</v>
      </c>
      <c r="B460" s="150" t="s">
        <v>21</v>
      </c>
      <c r="C460" s="154" t="s">
        <v>32</v>
      </c>
      <c r="D460" s="150" t="s">
        <v>58</v>
      </c>
      <c r="E460" s="150" t="s">
        <v>75</v>
      </c>
      <c r="F460" s="154" t="s">
        <v>982</v>
      </c>
      <c r="G460" s="130" t="s">
        <v>186</v>
      </c>
      <c r="H460" s="589"/>
      <c r="I460" s="130">
        <v>2</v>
      </c>
      <c r="J460" s="589">
        <v>440.1</v>
      </c>
      <c r="K460" s="589"/>
      <c r="L460" s="150">
        <v>2</v>
      </c>
      <c r="M460" s="589">
        <v>440.1</v>
      </c>
      <c r="N460" s="6" t="s">
        <v>986</v>
      </c>
      <c r="O460" s="151">
        <v>45350</v>
      </c>
      <c r="P460" s="33" t="str">
        <f>HYPERLINK("https://my.zakupivli.pro/remote/dispatcher/state_purchase_view/49472296", "UA-2024-02-28-002778-a")</f>
        <v>UA-2024-02-28-002778-a</v>
      </c>
      <c r="Q460" s="130"/>
      <c r="R460" s="130">
        <v>2</v>
      </c>
      <c r="S460" s="117">
        <v>264.89999999999998</v>
      </c>
      <c r="T460" s="131">
        <v>45394</v>
      </c>
      <c r="U460" s="130"/>
      <c r="V460" s="130"/>
    </row>
    <row r="461" spans="1:22" ht="43.2" x14ac:dyDescent="0.3">
      <c r="A461" s="130">
        <v>458</v>
      </c>
      <c r="B461" s="150" t="s">
        <v>21</v>
      </c>
      <c r="C461" s="154" t="s">
        <v>32</v>
      </c>
      <c r="D461" s="150" t="s">
        <v>58</v>
      </c>
      <c r="E461" s="150" t="s">
        <v>75</v>
      </c>
      <c r="F461" s="154" t="s">
        <v>983</v>
      </c>
      <c r="G461" s="130" t="s">
        <v>186</v>
      </c>
      <c r="H461" s="589"/>
      <c r="I461" s="130">
        <v>7</v>
      </c>
      <c r="J461" s="589">
        <v>136.666</v>
      </c>
      <c r="K461" s="589"/>
      <c r="L461" s="150">
        <v>7</v>
      </c>
      <c r="M461" s="589">
        <v>136.666</v>
      </c>
      <c r="N461" s="6" t="s">
        <v>987</v>
      </c>
      <c r="O461" s="151">
        <v>45350</v>
      </c>
      <c r="P461" s="33" t="str">
        <f>HYPERLINK("https://my.zakupivli.pro/remote/dispatcher/state_purchase_view/49472296", "UA-2024-02-28-002778-a")</f>
        <v>UA-2024-02-28-002778-a</v>
      </c>
      <c r="Q461" s="130"/>
      <c r="R461" s="130">
        <v>7</v>
      </c>
      <c r="S461" s="87">
        <v>100.26</v>
      </c>
      <c r="T461" s="131">
        <v>45392</v>
      </c>
      <c r="U461" s="130"/>
      <c r="V461" s="130"/>
    </row>
    <row r="462" spans="1:22" ht="43.2" x14ac:dyDescent="0.3">
      <c r="A462" s="130">
        <v>459</v>
      </c>
      <c r="B462" s="150" t="s">
        <v>21</v>
      </c>
      <c r="C462" s="154" t="s">
        <v>32</v>
      </c>
      <c r="D462" s="150" t="s">
        <v>58</v>
      </c>
      <c r="E462" s="150" t="s">
        <v>75</v>
      </c>
      <c r="F462" s="154" t="s">
        <v>984</v>
      </c>
      <c r="G462" s="130" t="s">
        <v>186</v>
      </c>
      <c r="H462" s="589"/>
      <c r="I462" s="130">
        <v>1</v>
      </c>
      <c r="J462" s="589">
        <v>450</v>
      </c>
      <c r="K462" s="589"/>
      <c r="L462" s="150">
        <v>1</v>
      </c>
      <c r="M462" s="589">
        <v>450</v>
      </c>
      <c r="N462" s="6" t="s">
        <v>988</v>
      </c>
      <c r="O462" s="151">
        <v>45350</v>
      </c>
      <c r="P462" s="33" t="str">
        <f>HYPERLINK("https://my.zakupivli.pro/remote/dispatcher/state_purchase_view/49472296", "UA-2024-02-28-002778-a")</f>
        <v>UA-2024-02-28-002778-a</v>
      </c>
      <c r="Q462" s="130"/>
      <c r="R462" s="130">
        <v>1</v>
      </c>
      <c r="S462" s="117">
        <v>174.58</v>
      </c>
      <c r="T462" s="131">
        <v>45392</v>
      </c>
      <c r="U462" s="130"/>
      <c r="V462" s="130"/>
    </row>
    <row r="463" spans="1:22" ht="46.8" x14ac:dyDescent="0.3">
      <c r="A463" s="130">
        <v>460</v>
      </c>
      <c r="B463" s="152" t="s">
        <v>21</v>
      </c>
      <c r="C463" s="44" t="s">
        <v>991</v>
      </c>
      <c r="D463" s="152" t="s">
        <v>58</v>
      </c>
      <c r="E463" s="152" t="s">
        <v>75</v>
      </c>
      <c r="F463" s="44" t="s">
        <v>989</v>
      </c>
      <c r="G463" s="130" t="s">
        <v>185</v>
      </c>
      <c r="H463" s="589">
        <v>9.4499999999999993</v>
      </c>
      <c r="I463" s="130">
        <v>67</v>
      </c>
      <c r="J463" s="589">
        <v>633.15</v>
      </c>
      <c r="K463" s="589">
        <v>9.4499999999999993</v>
      </c>
      <c r="L463" s="152">
        <v>67</v>
      </c>
      <c r="M463" s="589">
        <v>633.15</v>
      </c>
      <c r="N463" s="6" t="s">
        <v>990</v>
      </c>
      <c r="O463" s="131">
        <v>45351</v>
      </c>
      <c r="P463" s="33" t="str">
        <f>HYPERLINK("https://my.zakupivli.pro/remote/dispatcher/state_purchase_view/49508019", "UA-2024-02-29-006630-a")</f>
        <v>UA-2024-02-29-006630-a</v>
      </c>
      <c r="Q463" s="130">
        <v>9.1880000000000006</v>
      </c>
      <c r="R463" s="130">
        <v>67</v>
      </c>
      <c r="S463" s="130">
        <v>615.596</v>
      </c>
      <c r="T463" s="131">
        <v>45366</v>
      </c>
      <c r="U463" s="130"/>
      <c r="V463" s="130"/>
    </row>
    <row r="464" spans="1:22" ht="202.8" x14ac:dyDescent="0.3">
      <c r="A464" s="130">
        <v>461</v>
      </c>
      <c r="B464" s="156" t="s">
        <v>40</v>
      </c>
      <c r="C464" s="44" t="s">
        <v>41</v>
      </c>
      <c r="D464" s="156" t="s">
        <v>58</v>
      </c>
      <c r="E464" s="156" t="s">
        <v>88</v>
      </c>
      <c r="F464" s="44" t="s">
        <v>992</v>
      </c>
      <c r="G464" s="130" t="s">
        <v>184</v>
      </c>
      <c r="H464" s="589">
        <v>8349.8189399999992</v>
      </c>
      <c r="I464" s="130">
        <v>1</v>
      </c>
      <c r="J464" s="589">
        <v>8349.8189399999992</v>
      </c>
      <c r="K464" s="589">
        <v>8349.8189399999992</v>
      </c>
      <c r="L464" s="156">
        <v>1</v>
      </c>
      <c r="M464" s="589">
        <v>8349.8189399999992</v>
      </c>
      <c r="N464" s="6" t="s">
        <v>994</v>
      </c>
      <c r="O464" s="131">
        <v>45352</v>
      </c>
      <c r="P464" s="33" t="str">
        <f>HYPERLINK("https://my.zakupivli.pro/remote/dispatcher/state_purchase_view/49535400", "UA-2024-03-01-007913-a")</f>
        <v>UA-2024-03-01-007913-a</v>
      </c>
      <c r="Q464" s="130"/>
      <c r="R464" s="130"/>
      <c r="S464" s="130"/>
      <c r="T464" s="131"/>
      <c r="U464" s="166" t="s">
        <v>93</v>
      </c>
      <c r="V464" s="130"/>
    </row>
    <row r="465" spans="1:22" ht="218.4" x14ac:dyDescent="0.3">
      <c r="A465" s="130">
        <v>462</v>
      </c>
      <c r="B465" s="156" t="s">
        <v>40</v>
      </c>
      <c r="C465" s="44" t="s">
        <v>41</v>
      </c>
      <c r="D465" s="156" t="s">
        <v>58</v>
      </c>
      <c r="E465" s="156" t="s">
        <v>88</v>
      </c>
      <c r="F465" s="44" t="s">
        <v>993</v>
      </c>
      <c r="G465" s="130" t="s">
        <v>184</v>
      </c>
      <c r="H465" s="589">
        <v>6432.3817900000004</v>
      </c>
      <c r="I465" s="130">
        <v>1</v>
      </c>
      <c r="J465" s="589">
        <v>6432.3817900000004</v>
      </c>
      <c r="K465" s="589">
        <v>6432.3817900000004</v>
      </c>
      <c r="L465" s="156">
        <v>1</v>
      </c>
      <c r="M465" s="589">
        <v>6432.3817900000004</v>
      </c>
      <c r="N465" s="6" t="s">
        <v>995</v>
      </c>
      <c r="O465" s="157">
        <v>45352</v>
      </c>
      <c r="P465" s="33" t="str">
        <f>HYPERLINK("https://my.zakupivli.pro/remote/dispatcher/state_purchase_view/49535400", "UA-2024-03-01-007913-a")</f>
        <v>UA-2024-03-01-007913-a</v>
      </c>
      <c r="Q465" s="130"/>
      <c r="R465" s="130"/>
      <c r="S465" s="130"/>
      <c r="T465" s="131"/>
      <c r="U465" s="166" t="s">
        <v>93</v>
      </c>
      <c r="V465" s="130"/>
    </row>
    <row r="466" spans="1:22" ht="140.4" x14ac:dyDescent="0.3">
      <c r="A466" s="130">
        <v>463</v>
      </c>
      <c r="B466" s="158" t="s">
        <v>21</v>
      </c>
      <c r="C466" s="44" t="s">
        <v>804</v>
      </c>
      <c r="D466" s="130"/>
      <c r="E466" s="158" t="s">
        <v>75</v>
      </c>
      <c r="F466" s="44" t="s">
        <v>996</v>
      </c>
      <c r="G466" s="130" t="s">
        <v>186</v>
      </c>
      <c r="H466" s="589"/>
      <c r="I466" s="130">
        <v>9</v>
      </c>
      <c r="J466" s="589">
        <v>111.223</v>
      </c>
      <c r="K466" s="589"/>
      <c r="L466" s="158">
        <v>9</v>
      </c>
      <c r="M466" s="589">
        <v>111.223</v>
      </c>
      <c r="N466" s="6" t="s">
        <v>1003</v>
      </c>
      <c r="O466" s="131">
        <v>45355</v>
      </c>
      <c r="P466" s="33" t="str">
        <f>HYPERLINK("https://my.zakupivli.pro/remote/dispatcher/state_purchase_view/49571696", "UA-2024-03-04-011178-a")</f>
        <v>UA-2024-03-04-011178-a</v>
      </c>
      <c r="Q466" s="130"/>
      <c r="R466" s="158">
        <v>9</v>
      </c>
      <c r="S466" s="158">
        <v>111.223</v>
      </c>
      <c r="T466" s="131">
        <v>45355</v>
      </c>
      <c r="U466" s="130"/>
      <c r="V466" s="158" t="s">
        <v>59</v>
      </c>
    </row>
    <row r="467" spans="1:22" ht="171.6" x14ac:dyDescent="0.3">
      <c r="A467" s="130">
        <v>464</v>
      </c>
      <c r="B467" s="158" t="s">
        <v>40</v>
      </c>
      <c r="C467" s="44" t="s">
        <v>41</v>
      </c>
      <c r="D467" s="158" t="s">
        <v>58</v>
      </c>
      <c r="E467" s="158" t="s">
        <v>88</v>
      </c>
      <c r="F467" s="44" t="s">
        <v>997</v>
      </c>
      <c r="G467" s="130" t="s">
        <v>184</v>
      </c>
      <c r="H467" s="589">
        <v>1050.5</v>
      </c>
      <c r="I467" s="130">
        <v>1</v>
      </c>
      <c r="J467" s="589">
        <v>1050.5</v>
      </c>
      <c r="K467" s="589">
        <v>1050.5</v>
      </c>
      <c r="L467" s="158">
        <v>1</v>
      </c>
      <c r="M467" s="589">
        <v>1050.5</v>
      </c>
      <c r="N467" s="6" t="s">
        <v>1004</v>
      </c>
      <c r="O467" s="159">
        <v>45355</v>
      </c>
      <c r="P467" s="33" t="str">
        <f>HYPERLINK("https://my.zakupivli.pro/remote/dispatcher/state_purchase_view/49571405", "UA-2024-03-04-011096-a")</f>
        <v>UA-2024-03-04-011096-a</v>
      </c>
      <c r="Q467" s="130">
        <v>1041.8113599999999</v>
      </c>
      <c r="R467" s="130">
        <v>1</v>
      </c>
      <c r="S467" s="183">
        <v>1041.8113599999999</v>
      </c>
      <c r="T467" s="131">
        <v>45380</v>
      </c>
      <c r="U467" s="130"/>
      <c r="V467" s="130"/>
    </row>
    <row r="468" spans="1:22" ht="171.6" x14ac:dyDescent="0.3">
      <c r="A468" s="130">
        <v>465</v>
      </c>
      <c r="B468" s="158" t="s">
        <v>40</v>
      </c>
      <c r="C468" s="44" t="s">
        <v>41</v>
      </c>
      <c r="D468" s="158" t="s">
        <v>58</v>
      </c>
      <c r="E468" s="158" t="s">
        <v>88</v>
      </c>
      <c r="F468" s="44" t="s">
        <v>998</v>
      </c>
      <c r="G468" s="130" t="s">
        <v>184</v>
      </c>
      <c r="H468" s="589">
        <v>806.16314</v>
      </c>
      <c r="I468" s="130">
        <v>1</v>
      </c>
      <c r="J468" s="589">
        <v>806.16314</v>
      </c>
      <c r="K468" s="589">
        <v>806.16314</v>
      </c>
      <c r="L468" s="158">
        <v>1</v>
      </c>
      <c r="M468" s="589">
        <v>806.16314</v>
      </c>
      <c r="N468" s="6" t="s">
        <v>1005</v>
      </c>
      <c r="O468" s="159">
        <v>45355</v>
      </c>
      <c r="P468" s="33" t="str">
        <f>HYPERLINK("https://my.zakupivli.pro/remote/dispatcher/state_purchase_view/49571405", "UA-2024-03-04-011096-a")</f>
        <v>UA-2024-03-04-011096-a</v>
      </c>
      <c r="Q468" s="130"/>
      <c r="R468" s="130"/>
      <c r="S468" s="130"/>
      <c r="T468" s="131"/>
      <c r="U468" s="175" t="s">
        <v>93</v>
      </c>
      <c r="V468" s="130"/>
    </row>
    <row r="469" spans="1:22" ht="171.6" x14ac:dyDescent="0.3">
      <c r="A469" s="130">
        <v>466</v>
      </c>
      <c r="B469" s="158" t="s">
        <v>40</v>
      </c>
      <c r="C469" s="44" t="s">
        <v>41</v>
      </c>
      <c r="D469" s="158" t="s">
        <v>58</v>
      </c>
      <c r="E469" s="158" t="s">
        <v>88</v>
      </c>
      <c r="F469" s="44" t="s">
        <v>999</v>
      </c>
      <c r="G469" s="130" t="s">
        <v>184</v>
      </c>
      <c r="H469" s="589">
        <v>840.49570000000006</v>
      </c>
      <c r="I469" s="130">
        <v>1</v>
      </c>
      <c r="J469" s="589">
        <v>840.49570000000006</v>
      </c>
      <c r="K469" s="589">
        <v>840.49570000000006</v>
      </c>
      <c r="L469" s="158">
        <v>1</v>
      </c>
      <c r="M469" s="589">
        <v>840.49570000000006</v>
      </c>
      <c r="N469" s="6" t="s">
        <v>1006</v>
      </c>
      <c r="O469" s="159">
        <v>45355</v>
      </c>
      <c r="P469" s="33" t="str">
        <f>HYPERLINK("https://my.zakupivli.pro/remote/dispatcher/state_purchase_view/49571405", "UA-2024-03-04-011096-a")</f>
        <v>UA-2024-03-04-011096-a</v>
      </c>
      <c r="Q469" s="130"/>
      <c r="R469" s="130"/>
      <c r="S469" s="130"/>
      <c r="T469" s="131"/>
      <c r="U469" s="175" t="s">
        <v>93</v>
      </c>
      <c r="V469" s="130"/>
    </row>
    <row r="470" spans="1:22" ht="62.4" x14ac:dyDescent="0.3">
      <c r="A470" s="130">
        <v>467</v>
      </c>
      <c r="B470" s="158" t="s">
        <v>40</v>
      </c>
      <c r="C470" s="44" t="s">
        <v>73</v>
      </c>
      <c r="D470" s="130"/>
      <c r="E470" s="158" t="s">
        <v>75</v>
      </c>
      <c r="F470" s="44" t="s">
        <v>1000</v>
      </c>
      <c r="G470" s="130" t="s">
        <v>184</v>
      </c>
      <c r="H470" s="589">
        <v>90.677120000000002</v>
      </c>
      <c r="I470" s="130">
        <v>1</v>
      </c>
      <c r="J470" s="589">
        <v>90.677120000000002</v>
      </c>
      <c r="K470" s="589">
        <v>90.677120000000002</v>
      </c>
      <c r="L470" s="158">
        <v>1</v>
      </c>
      <c r="M470" s="589">
        <v>90.677120000000002</v>
      </c>
      <c r="N470" s="6" t="s">
        <v>1007</v>
      </c>
      <c r="O470" s="159">
        <v>45355</v>
      </c>
      <c r="P470" s="33" t="str">
        <f>HYPERLINK("https://my.zakupivli.pro/remote/dispatcher/state_purchase_view/49563835", "UA-2024-03-04-007678-a")</f>
        <v>UA-2024-03-04-007678-a</v>
      </c>
      <c r="Q470" s="158">
        <v>90.677120000000002</v>
      </c>
      <c r="R470" s="158">
        <v>1</v>
      </c>
      <c r="S470" s="158">
        <v>90.677120000000002</v>
      </c>
      <c r="T470" s="159">
        <v>45355</v>
      </c>
      <c r="U470" s="130"/>
      <c r="V470" s="158" t="s">
        <v>59</v>
      </c>
    </row>
    <row r="471" spans="1:22" ht="62.4" x14ac:dyDescent="0.3">
      <c r="A471" s="130">
        <v>468</v>
      </c>
      <c r="B471" s="130" t="s">
        <v>21</v>
      </c>
      <c r="C471" s="44" t="s">
        <v>894</v>
      </c>
      <c r="D471" s="130"/>
      <c r="E471" s="158" t="s">
        <v>75</v>
      </c>
      <c r="F471" s="44" t="s">
        <v>1001</v>
      </c>
      <c r="G471" s="130" t="s">
        <v>186</v>
      </c>
      <c r="H471" s="589"/>
      <c r="I471" s="130">
        <v>5</v>
      </c>
      <c r="J471" s="589">
        <v>68.75</v>
      </c>
      <c r="K471" s="589"/>
      <c r="L471" s="158">
        <v>5</v>
      </c>
      <c r="M471" s="589">
        <v>68.75</v>
      </c>
      <c r="N471" s="6" t="s">
        <v>1008</v>
      </c>
      <c r="O471" s="159">
        <v>45355</v>
      </c>
      <c r="P471" s="33" t="str">
        <f>HYPERLINK("https://my.zakupivli.pro/remote/dispatcher/state_purchase_view/49553110", "UA-2024-03-04-003068-a")</f>
        <v>UA-2024-03-04-003068-a</v>
      </c>
      <c r="Q471" s="130"/>
      <c r="R471" s="158">
        <v>5</v>
      </c>
      <c r="S471" s="117">
        <v>68.75</v>
      </c>
      <c r="T471" s="159">
        <v>45355</v>
      </c>
      <c r="U471" s="130"/>
      <c r="V471" s="158" t="s">
        <v>59</v>
      </c>
    </row>
    <row r="472" spans="1:22" ht="62.4" x14ac:dyDescent="0.3">
      <c r="A472" s="130">
        <v>469</v>
      </c>
      <c r="B472" s="158" t="s">
        <v>40</v>
      </c>
      <c r="C472" s="44" t="s">
        <v>41</v>
      </c>
      <c r="D472" s="130"/>
      <c r="E472" s="158" t="s">
        <v>75</v>
      </c>
      <c r="F472" s="44" t="s">
        <v>1002</v>
      </c>
      <c r="G472" s="130" t="s">
        <v>184</v>
      </c>
      <c r="H472" s="589">
        <v>272.93687499999999</v>
      </c>
      <c r="I472" s="130">
        <v>1</v>
      </c>
      <c r="J472" s="589">
        <v>272.93687499999999</v>
      </c>
      <c r="K472" s="589">
        <v>272.93687499999999</v>
      </c>
      <c r="L472" s="158">
        <v>1</v>
      </c>
      <c r="M472" s="589">
        <v>272.93687499999999</v>
      </c>
      <c r="N472" s="6" t="s">
        <v>1009</v>
      </c>
      <c r="O472" s="159">
        <v>45355</v>
      </c>
      <c r="P472" s="33" t="str">
        <f>HYPERLINK("https://my.zakupivli.pro/remote/dispatcher/state_purchase_view/49550686", "UA-2024-03-04-002146-a")</f>
        <v>UA-2024-03-04-002146-a</v>
      </c>
      <c r="Q472" s="158">
        <v>272.93687499999999</v>
      </c>
      <c r="R472" s="158">
        <v>1</v>
      </c>
      <c r="S472" s="158">
        <v>272.93687499999999</v>
      </c>
      <c r="T472" s="159">
        <v>45355</v>
      </c>
      <c r="U472" s="130"/>
      <c r="V472" s="158" t="s">
        <v>59</v>
      </c>
    </row>
    <row r="473" spans="1:22" ht="78" x14ac:dyDescent="0.3">
      <c r="A473" s="130">
        <v>467</v>
      </c>
      <c r="B473" s="160" t="s">
        <v>40</v>
      </c>
      <c r="C473" s="44" t="s">
        <v>41</v>
      </c>
      <c r="D473" s="130"/>
      <c r="E473" s="446" t="s">
        <v>20</v>
      </c>
      <c r="F473" s="44" t="s">
        <v>1010</v>
      </c>
      <c r="G473" s="160" t="s">
        <v>184</v>
      </c>
      <c r="H473" s="589">
        <v>217.82105999999999</v>
      </c>
      <c r="I473" s="130">
        <v>1</v>
      </c>
      <c r="J473" s="589">
        <v>217.82105999999999</v>
      </c>
      <c r="K473" s="589">
        <v>217.82105999999999</v>
      </c>
      <c r="L473" s="160">
        <v>1</v>
      </c>
      <c r="M473" s="589">
        <v>217.82105999999999</v>
      </c>
      <c r="N473" s="6" t="s">
        <v>1013</v>
      </c>
      <c r="O473" s="131">
        <v>45356</v>
      </c>
      <c r="P473" s="33" t="str">
        <f>HYPERLINK("https://my.zakupivli.pro/remote/dispatcher/state_purchase_view/49603204", "UA-2024-03-05-012187-a")</f>
        <v>UA-2024-03-05-012187-a</v>
      </c>
      <c r="Q473" s="160">
        <v>217.82105999999999</v>
      </c>
      <c r="R473" s="160">
        <v>1</v>
      </c>
      <c r="S473" s="160">
        <v>217.82105999999999</v>
      </c>
      <c r="T473" s="161">
        <v>45356</v>
      </c>
      <c r="U473" s="130"/>
      <c r="V473" s="160" t="s">
        <v>59</v>
      </c>
    </row>
    <row r="474" spans="1:22" ht="62.4" x14ac:dyDescent="0.3">
      <c r="A474" s="130">
        <v>468</v>
      </c>
      <c r="B474" s="160" t="s">
        <v>40</v>
      </c>
      <c r="C474" s="44" t="s">
        <v>41</v>
      </c>
      <c r="D474" s="130"/>
      <c r="E474" s="446" t="s">
        <v>20</v>
      </c>
      <c r="F474" s="44" t="s">
        <v>1011</v>
      </c>
      <c r="G474" s="160" t="s">
        <v>184</v>
      </c>
      <c r="H474" s="589">
        <v>87.995450000000005</v>
      </c>
      <c r="I474" s="130">
        <v>1</v>
      </c>
      <c r="J474" s="589">
        <v>87.995450000000005</v>
      </c>
      <c r="K474" s="589">
        <v>87.995450000000005</v>
      </c>
      <c r="L474" s="160">
        <v>1</v>
      </c>
      <c r="M474" s="589">
        <v>87.995450000000005</v>
      </c>
      <c r="N474" s="6" t="s">
        <v>1014</v>
      </c>
      <c r="O474" s="161">
        <v>45356</v>
      </c>
      <c r="P474" s="33" t="str">
        <f>HYPERLINK("https://my.zakupivli.pro/remote/dispatcher/state_purchase_view/49602717", "UA-2024-03-05-011904-a")</f>
        <v>UA-2024-03-05-011904-a</v>
      </c>
      <c r="Q474" s="160">
        <v>87.995450000000005</v>
      </c>
      <c r="R474" s="160">
        <v>1</v>
      </c>
      <c r="S474" s="160">
        <v>87.995450000000005</v>
      </c>
      <c r="T474" s="161">
        <v>45356</v>
      </c>
      <c r="U474" s="130"/>
      <c r="V474" s="160" t="s">
        <v>59</v>
      </c>
    </row>
    <row r="475" spans="1:22" ht="62.4" x14ac:dyDescent="0.3">
      <c r="A475" s="130">
        <v>469</v>
      </c>
      <c r="B475" s="160" t="s">
        <v>40</v>
      </c>
      <c r="C475" s="44" t="s">
        <v>41</v>
      </c>
      <c r="D475" s="130"/>
      <c r="E475" s="446" t="s">
        <v>20</v>
      </c>
      <c r="F475" s="44" t="s">
        <v>1012</v>
      </c>
      <c r="G475" s="160" t="s">
        <v>184</v>
      </c>
      <c r="H475" s="589">
        <v>285.24131999999997</v>
      </c>
      <c r="I475" s="130">
        <v>1</v>
      </c>
      <c r="J475" s="589">
        <v>285.24131999999997</v>
      </c>
      <c r="K475" s="589">
        <v>285.24131999999997</v>
      </c>
      <c r="L475" s="160">
        <v>1</v>
      </c>
      <c r="M475" s="589">
        <v>285.24131999999997</v>
      </c>
      <c r="N475" s="6" t="s">
        <v>1015</v>
      </c>
      <c r="O475" s="161">
        <v>45356</v>
      </c>
      <c r="P475" s="33" t="str">
        <f>HYPERLINK("https://my.zakupivli.pro/remote/dispatcher/state_purchase_view/49581286", "UA-2024-03-05-002444-a")</f>
        <v>UA-2024-03-05-002444-a</v>
      </c>
      <c r="Q475" s="160">
        <v>285.24131999999997</v>
      </c>
      <c r="R475" s="160">
        <v>1</v>
      </c>
      <c r="S475" s="160">
        <v>285.24131999999997</v>
      </c>
      <c r="T475" s="161">
        <v>45356</v>
      </c>
      <c r="U475" s="130"/>
      <c r="V475" s="160" t="s">
        <v>59</v>
      </c>
    </row>
    <row r="476" spans="1:22" ht="171.6" x14ac:dyDescent="0.3">
      <c r="A476" s="130">
        <v>470</v>
      </c>
      <c r="B476" s="162" t="s">
        <v>40</v>
      </c>
      <c r="C476" s="44" t="s">
        <v>41</v>
      </c>
      <c r="D476" s="130"/>
      <c r="E476" s="162" t="s">
        <v>88</v>
      </c>
      <c r="F476" s="44" t="s">
        <v>1016</v>
      </c>
      <c r="G476" s="162" t="s">
        <v>184</v>
      </c>
      <c r="H476" s="589">
        <v>1517.33807</v>
      </c>
      <c r="I476" s="130">
        <v>1</v>
      </c>
      <c r="J476" s="589">
        <v>1517.33807</v>
      </c>
      <c r="K476" s="589">
        <v>1517.33807</v>
      </c>
      <c r="L476" s="162">
        <v>1</v>
      </c>
      <c r="M476" s="589">
        <v>1517.33807</v>
      </c>
      <c r="N476" s="6" t="s">
        <v>1018</v>
      </c>
      <c r="O476" s="131">
        <v>45357</v>
      </c>
      <c r="P476" s="33" t="str">
        <f>HYPERLINK("https://my.zakupivli.pro/remote/dispatcher/state_purchase_view/49613449", "UA-2024-03-06-001796-a")</f>
        <v>UA-2024-03-06-001796-a</v>
      </c>
      <c r="Q476" s="162">
        <v>1517.33807</v>
      </c>
      <c r="R476" s="162">
        <v>1</v>
      </c>
      <c r="S476" s="162">
        <v>1517.33807</v>
      </c>
      <c r="T476" s="163">
        <v>45357</v>
      </c>
      <c r="U476" s="130"/>
      <c r="V476" s="162" t="s">
        <v>59</v>
      </c>
    </row>
    <row r="477" spans="1:22" ht="171.6" x14ac:dyDescent="0.3">
      <c r="A477" s="130">
        <v>471</v>
      </c>
      <c r="B477" s="162" t="s">
        <v>40</v>
      </c>
      <c r="C477" s="44" t="s">
        <v>41</v>
      </c>
      <c r="D477" s="130"/>
      <c r="E477" s="162" t="s">
        <v>88</v>
      </c>
      <c r="F477" s="44" t="s">
        <v>1017</v>
      </c>
      <c r="G477" s="162" t="s">
        <v>184</v>
      </c>
      <c r="H477" s="589">
        <v>2673.0005700000002</v>
      </c>
      <c r="I477" s="130">
        <v>1</v>
      </c>
      <c r="J477" s="589">
        <v>2673.0005700000002</v>
      </c>
      <c r="K477" s="589">
        <v>2673.0005700000002</v>
      </c>
      <c r="L477" s="162">
        <v>1</v>
      </c>
      <c r="M477" s="589">
        <v>2673.0005700000002</v>
      </c>
      <c r="N477" s="6" t="s">
        <v>1019</v>
      </c>
      <c r="O477" s="163">
        <v>45357</v>
      </c>
      <c r="P477" s="33" t="str">
        <f>HYPERLINK("https://my.zakupivli.pro/remote/dispatcher/state_purchase_view/49612800", "UA-2024-03-06-001512-a")</f>
        <v>UA-2024-03-06-001512-a</v>
      </c>
      <c r="Q477" s="162">
        <v>2673.0005700000002</v>
      </c>
      <c r="R477" s="162">
        <v>1</v>
      </c>
      <c r="S477" s="162">
        <v>2673.0005700000002</v>
      </c>
      <c r="T477" s="163">
        <v>45357</v>
      </c>
      <c r="U477" s="130"/>
      <c r="V477" s="162" t="s">
        <v>59</v>
      </c>
    </row>
    <row r="478" spans="1:22" ht="62.4" x14ac:dyDescent="0.3">
      <c r="A478" s="130">
        <v>472</v>
      </c>
      <c r="B478" s="130" t="s">
        <v>40</v>
      </c>
      <c r="C478" s="44" t="s">
        <v>73</v>
      </c>
      <c r="D478" s="130"/>
      <c r="E478" s="164" t="s">
        <v>75</v>
      </c>
      <c r="F478" s="44" t="s">
        <v>1020</v>
      </c>
      <c r="G478" s="130" t="s">
        <v>184</v>
      </c>
      <c r="H478" s="589">
        <v>132.31666999999999</v>
      </c>
      <c r="I478" s="130">
        <v>1</v>
      </c>
      <c r="J478" s="589">
        <v>132.31666999999999</v>
      </c>
      <c r="K478" s="589">
        <v>132.31666999999999</v>
      </c>
      <c r="L478" s="164">
        <v>1</v>
      </c>
      <c r="M478" s="589">
        <v>132.31666999999999</v>
      </c>
      <c r="N478" s="6" t="s">
        <v>1022</v>
      </c>
      <c r="O478" s="165">
        <v>45358</v>
      </c>
      <c r="P478" s="33" t="str">
        <f>HYPERLINK("https://my.zakupivli.pro/remote/dispatcher/state_purchase_view/49656895", "UA-2024-03-07-006789-a")</f>
        <v>UA-2024-03-07-006789-a</v>
      </c>
      <c r="Q478" s="164">
        <v>132.31666999999999</v>
      </c>
      <c r="R478" s="164">
        <v>1</v>
      </c>
      <c r="S478" s="164">
        <v>132.31666999999999</v>
      </c>
      <c r="T478" s="131">
        <v>45358</v>
      </c>
      <c r="U478" s="130"/>
      <c r="V478" s="164" t="s">
        <v>59</v>
      </c>
    </row>
    <row r="479" spans="1:22" ht="62.4" x14ac:dyDescent="0.3">
      <c r="A479" s="130">
        <v>473</v>
      </c>
      <c r="B479" s="130" t="s">
        <v>21</v>
      </c>
      <c r="C479" s="44" t="s">
        <v>515</v>
      </c>
      <c r="D479" s="164" t="s">
        <v>58</v>
      </c>
      <c r="E479" s="164" t="s">
        <v>88</v>
      </c>
      <c r="F479" s="44" t="s">
        <v>1021</v>
      </c>
      <c r="G479" s="130" t="s">
        <v>185</v>
      </c>
      <c r="H479" s="589"/>
      <c r="I479" s="130">
        <v>2</v>
      </c>
      <c r="J479" s="589">
        <v>1232</v>
      </c>
      <c r="K479" s="589"/>
      <c r="L479" s="164">
        <v>2</v>
      </c>
      <c r="M479" s="589">
        <v>1232</v>
      </c>
      <c r="N479" s="6" t="s">
        <v>1023</v>
      </c>
      <c r="O479" s="165">
        <v>45358</v>
      </c>
      <c r="P479" s="33" t="str">
        <f>HYPERLINK("https://my.zakupivli.pro/remote/dispatcher/state_purchase_view/49647930", "UA-2024-03-07-003046-a")</f>
        <v>UA-2024-03-07-003046-a</v>
      </c>
      <c r="Q479" s="130"/>
      <c r="R479" s="164">
        <v>2</v>
      </c>
      <c r="S479" s="117">
        <v>1226.25</v>
      </c>
      <c r="T479" s="131">
        <v>45376</v>
      </c>
      <c r="U479" s="130"/>
      <c r="V479" s="130"/>
    </row>
    <row r="480" spans="1:22" ht="62.4" x14ac:dyDescent="0.3">
      <c r="A480" s="130">
        <v>474</v>
      </c>
      <c r="B480" s="166" t="s">
        <v>40</v>
      </c>
      <c r="C480" s="44" t="s">
        <v>884</v>
      </c>
      <c r="D480" s="130"/>
      <c r="E480" s="166" t="s">
        <v>88</v>
      </c>
      <c r="F480" s="44" t="s">
        <v>1026</v>
      </c>
      <c r="G480" s="166" t="s">
        <v>184</v>
      </c>
      <c r="H480" s="589">
        <v>1006.16373</v>
      </c>
      <c r="I480" s="130">
        <v>1</v>
      </c>
      <c r="J480" s="589">
        <v>1006.16373</v>
      </c>
      <c r="K480" s="589">
        <v>1006.16373</v>
      </c>
      <c r="L480" s="166">
        <v>1</v>
      </c>
      <c r="M480" s="589">
        <v>1006.16373</v>
      </c>
      <c r="N480" s="6" t="s">
        <v>1024</v>
      </c>
      <c r="O480" s="131">
        <v>45362</v>
      </c>
      <c r="P480" s="33" t="str">
        <f>HYPERLINK("https://my.zakupivli.pro/remote/dispatcher/state_purchase_view/49691053", "UA-2024-03-11-000863-a")</f>
        <v>UA-2024-03-11-000863-a</v>
      </c>
      <c r="Q480" s="166">
        <v>1006.16373</v>
      </c>
      <c r="R480" s="166">
        <v>1</v>
      </c>
      <c r="S480" s="166">
        <v>1006.16373</v>
      </c>
      <c r="T480" s="167">
        <v>45358</v>
      </c>
      <c r="U480" s="130"/>
      <c r="V480" s="166" t="s">
        <v>59</v>
      </c>
    </row>
    <row r="481" spans="1:22" ht="62.4" x14ac:dyDescent="0.3">
      <c r="A481" s="130">
        <v>475</v>
      </c>
      <c r="B481" s="166" t="s">
        <v>40</v>
      </c>
      <c r="C481" s="44" t="s">
        <v>884</v>
      </c>
      <c r="D481" s="130"/>
      <c r="E481" s="166" t="s">
        <v>88</v>
      </c>
      <c r="F481" s="44" t="s">
        <v>1027</v>
      </c>
      <c r="G481" s="166" t="s">
        <v>184</v>
      </c>
      <c r="H481" s="589">
        <v>509.66741999999999</v>
      </c>
      <c r="I481" s="130">
        <v>1</v>
      </c>
      <c r="J481" s="589">
        <v>509.66741999999999</v>
      </c>
      <c r="K481" s="589">
        <v>509.66741999999999</v>
      </c>
      <c r="L481" s="166">
        <v>1</v>
      </c>
      <c r="M481" s="589">
        <v>509.66741999999999</v>
      </c>
      <c r="N481" s="6" t="s">
        <v>1025</v>
      </c>
      <c r="O481" s="167">
        <v>45362</v>
      </c>
      <c r="P481" s="33" t="str">
        <f>HYPERLINK("https://my.zakupivli.pro/remote/dispatcher/state_purchase_view/49690092", "UA-2024-03-11-000483-a")</f>
        <v>UA-2024-03-11-000483-a</v>
      </c>
      <c r="Q481" s="166">
        <v>509.66741999999999</v>
      </c>
      <c r="R481" s="166">
        <v>1</v>
      </c>
      <c r="S481" s="166">
        <v>509.66741999999999</v>
      </c>
      <c r="T481" s="167">
        <v>45358</v>
      </c>
      <c r="U481" s="130"/>
      <c r="V481" s="166" t="s">
        <v>59</v>
      </c>
    </row>
    <row r="482" spans="1:22" ht="93.6" x14ac:dyDescent="0.3">
      <c r="A482" s="130">
        <v>476</v>
      </c>
      <c r="B482" s="166" t="s">
        <v>40</v>
      </c>
      <c r="C482" s="44" t="s">
        <v>884</v>
      </c>
      <c r="D482" s="130"/>
      <c r="E482" s="166" t="s">
        <v>88</v>
      </c>
      <c r="F482" s="44" t="s">
        <v>1029</v>
      </c>
      <c r="G482" s="166" t="s">
        <v>184</v>
      </c>
      <c r="H482" s="589">
        <v>604.14</v>
      </c>
      <c r="I482" s="130">
        <v>1</v>
      </c>
      <c r="J482" s="589">
        <v>604.14</v>
      </c>
      <c r="K482" s="589">
        <v>604.14</v>
      </c>
      <c r="L482" s="166">
        <v>1</v>
      </c>
      <c r="M482" s="589">
        <v>604.14</v>
      </c>
      <c r="N482" s="6" t="s">
        <v>1028</v>
      </c>
      <c r="O482" s="167">
        <v>45362</v>
      </c>
      <c r="P482" s="33" t="str">
        <f>HYPERLINK("https://my.zakupivli.pro/remote/dispatcher/state_purchase_view/49689165", "UA-2024-03-11-000147-a")</f>
        <v>UA-2024-03-11-000147-a</v>
      </c>
      <c r="Q482" s="117">
        <v>604.14</v>
      </c>
      <c r="R482" s="166">
        <v>1</v>
      </c>
      <c r="S482" s="117">
        <v>604.14</v>
      </c>
      <c r="T482" s="167">
        <v>45358</v>
      </c>
      <c r="U482" s="130"/>
      <c r="V482" s="166" t="s">
        <v>59</v>
      </c>
    </row>
    <row r="483" spans="1:22" ht="62.4" x14ac:dyDescent="0.3">
      <c r="A483" s="130">
        <v>477</v>
      </c>
      <c r="B483" s="166" t="s">
        <v>40</v>
      </c>
      <c r="C483" s="44" t="s">
        <v>884</v>
      </c>
      <c r="D483" s="130"/>
      <c r="E483" s="166" t="s">
        <v>88</v>
      </c>
      <c r="F483" s="44" t="s">
        <v>1031</v>
      </c>
      <c r="G483" s="166" t="s">
        <v>184</v>
      </c>
      <c r="H483" s="589">
        <v>949.34464000000003</v>
      </c>
      <c r="I483" s="130">
        <v>1</v>
      </c>
      <c r="J483" s="589">
        <v>949.34464000000003</v>
      </c>
      <c r="K483" s="589">
        <v>949.34464000000003</v>
      </c>
      <c r="L483" s="166">
        <v>1</v>
      </c>
      <c r="M483" s="589">
        <v>949.34464000000003</v>
      </c>
      <c r="N483" s="6" t="s">
        <v>1030</v>
      </c>
      <c r="O483" s="167">
        <v>45362</v>
      </c>
      <c r="P483" s="33" t="str">
        <f>HYPERLINK("https://my.zakupivli.pro/remote/dispatcher/state_purchase_view/49688999", "UA-2024-03-11-000098-a")</f>
        <v>UA-2024-03-11-000098-a</v>
      </c>
      <c r="Q483" s="166">
        <v>949.34464000000003</v>
      </c>
      <c r="R483" s="166">
        <v>1</v>
      </c>
      <c r="S483" s="166">
        <v>949.34464000000003</v>
      </c>
      <c r="T483" s="167">
        <v>45358</v>
      </c>
      <c r="U483" s="130"/>
      <c r="V483" s="166" t="s">
        <v>59</v>
      </c>
    </row>
    <row r="484" spans="1:22" ht="202.8" x14ac:dyDescent="0.3">
      <c r="A484" s="130">
        <v>478</v>
      </c>
      <c r="B484" s="169" t="s">
        <v>40</v>
      </c>
      <c r="C484" s="44" t="s">
        <v>41</v>
      </c>
      <c r="D484" s="130"/>
      <c r="E484" s="169" t="s">
        <v>88</v>
      </c>
      <c r="F484" s="44" t="s">
        <v>1032</v>
      </c>
      <c r="G484" s="169" t="s">
        <v>184</v>
      </c>
      <c r="H484" s="589">
        <v>8349.8189399999992</v>
      </c>
      <c r="I484" s="169">
        <v>1</v>
      </c>
      <c r="J484" s="589">
        <v>8349.8189399999992</v>
      </c>
      <c r="K484" s="589">
        <v>8349.8189399999992</v>
      </c>
      <c r="L484" s="169">
        <v>1</v>
      </c>
      <c r="M484" s="589">
        <v>8349.8189399999992</v>
      </c>
      <c r="N484" s="6" t="s">
        <v>1038</v>
      </c>
      <c r="O484" s="131">
        <v>45363</v>
      </c>
      <c r="P484" s="33" t="str">
        <f>HYPERLINK("https://my.zakupivli.pro/remote/dispatcher/state_purchase_view/49743496", "UA-2024-03-12-011359-a")</f>
        <v>UA-2024-03-12-011359-a</v>
      </c>
      <c r="Q484" s="130"/>
      <c r="R484" s="130"/>
      <c r="S484" s="130"/>
      <c r="T484" s="131"/>
      <c r="U484" s="177" t="s">
        <v>93</v>
      </c>
      <c r="V484" s="130"/>
    </row>
    <row r="485" spans="1:22" ht="202.8" x14ac:dyDescent="0.3">
      <c r="A485" s="130">
        <v>479</v>
      </c>
      <c r="B485" s="169" t="s">
        <v>40</v>
      </c>
      <c r="C485" s="44" t="s">
        <v>41</v>
      </c>
      <c r="D485" s="130"/>
      <c r="E485" s="169" t="s">
        <v>88</v>
      </c>
      <c r="F485" s="44" t="s">
        <v>1033</v>
      </c>
      <c r="G485" s="169" t="s">
        <v>184</v>
      </c>
      <c r="H485" s="589">
        <v>6432.3817900000004</v>
      </c>
      <c r="I485" s="169">
        <v>1</v>
      </c>
      <c r="J485" s="589">
        <v>6432.3817900000004</v>
      </c>
      <c r="K485" s="589">
        <v>6432.3817900000004</v>
      </c>
      <c r="L485" s="169">
        <v>1</v>
      </c>
      <c r="M485" s="589">
        <v>6432.3817900000004</v>
      </c>
      <c r="N485" s="6" t="s">
        <v>1038</v>
      </c>
      <c r="O485" s="168">
        <v>45363</v>
      </c>
      <c r="P485" s="33" t="str">
        <f>HYPERLINK("https://my.zakupivli.pro/remote/dispatcher/state_purchase_view/49743496", "UA-2024-03-12-011359-a")</f>
        <v>UA-2024-03-12-011359-a</v>
      </c>
      <c r="Q485" s="130"/>
      <c r="R485" s="130"/>
      <c r="S485" s="130"/>
      <c r="T485" s="131"/>
      <c r="U485" s="177" t="s">
        <v>93</v>
      </c>
      <c r="V485" s="130"/>
    </row>
    <row r="486" spans="1:22" ht="62.4" x14ac:dyDescent="0.3">
      <c r="A486" s="130">
        <v>480</v>
      </c>
      <c r="B486" s="169" t="s">
        <v>40</v>
      </c>
      <c r="C486" s="44" t="s">
        <v>884</v>
      </c>
      <c r="D486" s="130"/>
      <c r="E486" s="169" t="s">
        <v>88</v>
      </c>
      <c r="F486" s="44" t="s">
        <v>1034</v>
      </c>
      <c r="G486" s="169" t="s">
        <v>184</v>
      </c>
      <c r="H486" s="589">
        <v>580.86604999999997</v>
      </c>
      <c r="I486" s="130">
        <v>1</v>
      </c>
      <c r="J486" s="589">
        <v>580.86604999999997</v>
      </c>
      <c r="K486" s="589">
        <v>580.86604999999997</v>
      </c>
      <c r="L486" s="169">
        <v>1</v>
      </c>
      <c r="M486" s="589">
        <v>580.86604999999997</v>
      </c>
      <c r="N486" s="6" t="s">
        <v>1039</v>
      </c>
      <c r="O486" s="168">
        <v>45363</v>
      </c>
      <c r="P486" s="33" t="str">
        <f>HYPERLINK("https://my.zakupivli.pro/remote/dispatcher/state_purchase_view/49737240", "UA-2024-03-12-008558-a")</f>
        <v>UA-2024-03-12-008558-a</v>
      </c>
      <c r="Q486" s="169">
        <v>580.86604999999997</v>
      </c>
      <c r="R486" s="169">
        <v>1</v>
      </c>
      <c r="S486" s="169">
        <v>580.86604999999997</v>
      </c>
      <c r="T486" s="131">
        <v>45362</v>
      </c>
      <c r="U486" s="130"/>
      <c r="V486" s="169" t="s">
        <v>59</v>
      </c>
    </row>
    <row r="487" spans="1:22" ht="62.4" x14ac:dyDescent="0.3">
      <c r="A487" s="130">
        <v>481</v>
      </c>
      <c r="B487" s="169" t="s">
        <v>40</v>
      </c>
      <c r="C487" s="44" t="s">
        <v>884</v>
      </c>
      <c r="D487" s="130"/>
      <c r="E487" s="169" t="s">
        <v>88</v>
      </c>
      <c r="F487" s="44" t="s">
        <v>1035</v>
      </c>
      <c r="G487" s="169" t="s">
        <v>184</v>
      </c>
      <c r="H487" s="589">
        <v>124.41112</v>
      </c>
      <c r="I487" s="130">
        <v>1</v>
      </c>
      <c r="J487" s="589">
        <v>124.41112</v>
      </c>
      <c r="K487" s="589">
        <v>124.41112</v>
      </c>
      <c r="L487" s="169">
        <v>1</v>
      </c>
      <c r="M487" s="589">
        <v>124.41112</v>
      </c>
      <c r="N487" s="6" t="s">
        <v>1040</v>
      </c>
      <c r="O487" s="168">
        <v>45363</v>
      </c>
      <c r="P487" s="33" t="str">
        <f>HYPERLINK("https://my.zakupivli.pro/remote/dispatcher/state_purchase_view/49736995", "UA-2024-03-12-008416-a")</f>
        <v>UA-2024-03-12-008416-a</v>
      </c>
      <c r="Q487" s="169">
        <v>124.41112</v>
      </c>
      <c r="R487" s="169">
        <v>1</v>
      </c>
      <c r="S487" s="169">
        <v>124.41112</v>
      </c>
      <c r="T487" s="168">
        <v>45362</v>
      </c>
      <c r="U487" s="130"/>
      <c r="V487" s="169" t="s">
        <v>59</v>
      </c>
    </row>
    <row r="488" spans="1:22" ht="62.4" x14ac:dyDescent="0.3">
      <c r="A488" s="130">
        <v>482</v>
      </c>
      <c r="B488" s="169" t="s">
        <v>40</v>
      </c>
      <c r="C488" s="44" t="s">
        <v>884</v>
      </c>
      <c r="D488" s="130"/>
      <c r="E488" s="169" t="s">
        <v>88</v>
      </c>
      <c r="F488" s="44" t="s">
        <v>1036</v>
      </c>
      <c r="G488" s="169" t="s">
        <v>184</v>
      </c>
      <c r="H488" s="589">
        <v>359.96701000000002</v>
      </c>
      <c r="I488" s="130">
        <v>1</v>
      </c>
      <c r="J488" s="589">
        <v>359.96701000000002</v>
      </c>
      <c r="K488" s="589">
        <v>359.96701000000002</v>
      </c>
      <c r="L488" s="169">
        <v>1</v>
      </c>
      <c r="M488" s="589">
        <v>359.96701000000002</v>
      </c>
      <c r="N488" s="6" t="s">
        <v>1041</v>
      </c>
      <c r="O488" s="168">
        <v>45363</v>
      </c>
      <c r="P488" s="33" t="str">
        <f>HYPERLINK("https://my.zakupivli.pro/remote/dispatcher/state_purchase_view/49736304", "UA-2024-03-12-008106-a")</f>
        <v>UA-2024-03-12-008106-a</v>
      </c>
      <c r="Q488" s="169">
        <v>359.96701000000002</v>
      </c>
      <c r="R488" s="169">
        <v>1</v>
      </c>
      <c r="S488" s="169">
        <v>359.96701000000002</v>
      </c>
      <c r="T488" s="168">
        <v>45362</v>
      </c>
      <c r="U488" s="130"/>
      <c r="V488" s="169" t="s">
        <v>59</v>
      </c>
    </row>
    <row r="489" spans="1:22" ht="62.4" x14ac:dyDescent="0.3">
      <c r="A489" s="130">
        <v>483</v>
      </c>
      <c r="B489" s="169" t="s">
        <v>40</v>
      </c>
      <c r="C489" s="44" t="s">
        <v>884</v>
      </c>
      <c r="D489" s="130"/>
      <c r="E489" s="169" t="s">
        <v>88</v>
      </c>
      <c r="F489" s="44" t="s">
        <v>1037</v>
      </c>
      <c r="G489" s="169" t="s">
        <v>184</v>
      </c>
      <c r="H489" s="589">
        <v>596.19745</v>
      </c>
      <c r="I489" s="130">
        <v>1</v>
      </c>
      <c r="J489" s="589">
        <v>596.19745</v>
      </c>
      <c r="K489" s="589">
        <v>596.19745</v>
      </c>
      <c r="L489" s="169">
        <v>1</v>
      </c>
      <c r="M489" s="589">
        <v>596.19745</v>
      </c>
      <c r="N489" s="6" t="s">
        <v>1042</v>
      </c>
      <c r="O489" s="168">
        <v>45363</v>
      </c>
      <c r="P489" s="33" t="str">
        <f>HYPERLINK("https://my.zakupivli.pro/remote/dispatcher/state_purchase_view/49735637", "UA-2024-03-12-007781-a")</f>
        <v>UA-2024-03-12-007781-a</v>
      </c>
      <c r="Q489" s="169">
        <v>596.19745</v>
      </c>
      <c r="R489" s="169">
        <v>1</v>
      </c>
      <c r="S489" s="169">
        <v>596.19745</v>
      </c>
      <c r="T489" s="168">
        <v>45362</v>
      </c>
      <c r="U489" s="130"/>
      <c r="V489" s="169" t="s">
        <v>59</v>
      </c>
    </row>
    <row r="490" spans="1:22" ht="62.4" x14ac:dyDescent="0.3">
      <c r="A490" s="130">
        <v>484</v>
      </c>
      <c r="B490" s="169" t="s">
        <v>21</v>
      </c>
      <c r="C490" s="44" t="s">
        <v>30</v>
      </c>
      <c r="D490" s="130"/>
      <c r="E490" s="169" t="s">
        <v>75</v>
      </c>
      <c r="F490" s="44" t="s">
        <v>908</v>
      </c>
      <c r="G490" s="130" t="s">
        <v>21</v>
      </c>
      <c r="H490" s="589"/>
      <c r="I490" s="130">
        <v>15</v>
      </c>
      <c r="J490" s="589">
        <v>76.08</v>
      </c>
      <c r="K490" s="589"/>
      <c r="L490" s="169">
        <v>15</v>
      </c>
      <c r="M490" s="589">
        <v>76.08</v>
      </c>
      <c r="N490" s="6" t="s">
        <v>1043</v>
      </c>
      <c r="O490" s="168">
        <v>45363</v>
      </c>
      <c r="P490" s="33" t="str">
        <f>HYPERLINK("https://my.zakupivli.pro/remote/dispatcher/state_purchase_view/49733918", "UA-2024-03-12-007076-a")</f>
        <v>UA-2024-03-12-007076-a</v>
      </c>
      <c r="Q490" s="130"/>
      <c r="R490" s="169">
        <v>15</v>
      </c>
      <c r="S490" s="169">
        <v>76.08</v>
      </c>
      <c r="T490" s="131">
        <v>45363</v>
      </c>
      <c r="U490" s="130"/>
      <c r="V490" s="169" t="s">
        <v>59</v>
      </c>
    </row>
    <row r="491" spans="1:22" ht="124.8" x14ac:dyDescent="0.3">
      <c r="A491" s="130">
        <v>485</v>
      </c>
      <c r="B491" s="170" t="s">
        <v>40</v>
      </c>
      <c r="C491" s="44" t="s">
        <v>41</v>
      </c>
      <c r="D491" s="130"/>
      <c r="E491" s="170" t="s">
        <v>88</v>
      </c>
      <c r="F491" s="154" t="s">
        <v>853</v>
      </c>
      <c r="G491" s="130" t="s">
        <v>184</v>
      </c>
      <c r="H491" s="589">
        <v>46627.971120000002</v>
      </c>
      <c r="I491" s="130">
        <v>1</v>
      </c>
      <c r="J491" s="589">
        <v>46627.971120000002</v>
      </c>
      <c r="K491" s="589">
        <v>46627.971120000002</v>
      </c>
      <c r="L491" s="170">
        <v>1</v>
      </c>
      <c r="M491" s="589">
        <v>46627.971120000002</v>
      </c>
      <c r="N491" s="6" t="s">
        <v>1044</v>
      </c>
      <c r="O491" s="131">
        <v>45364</v>
      </c>
      <c r="P491" s="33" t="str">
        <f>HYPERLINK("https://my.zakupivli.pro/remote/dispatcher/state_purchase_view/49754998", "UA-2024-03-13-002658-a")</f>
        <v>UA-2024-03-13-002658-a</v>
      </c>
      <c r="Q491" s="130"/>
      <c r="R491" s="130"/>
      <c r="S491" s="130"/>
      <c r="T491" s="131"/>
      <c r="U491" s="183" t="s">
        <v>93</v>
      </c>
      <c r="V491" s="130"/>
    </row>
    <row r="492" spans="1:22" ht="62.4" x14ac:dyDescent="0.3">
      <c r="A492" s="130">
        <v>486</v>
      </c>
      <c r="B492" s="171" t="s">
        <v>21</v>
      </c>
      <c r="C492" s="44" t="s">
        <v>177</v>
      </c>
      <c r="D492" s="130"/>
      <c r="E492" s="171" t="s">
        <v>75</v>
      </c>
      <c r="F492" s="44" t="s">
        <v>1045</v>
      </c>
      <c r="G492" s="171" t="s">
        <v>185</v>
      </c>
      <c r="H492" s="589"/>
      <c r="I492" s="130">
        <v>25</v>
      </c>
      <c r="J492" s="589">
        <v>62.424999999999997</v>
      </c>
      <c r="K492" s="589"/>
      <c r="L492" s="171">
        <v>25</v>
      </c>
      <c r="M492" s="589">
        <v>62.424999999999997</v>
      </c>
      <c r="N492" s="6" t="s">
        <v>1049</v>
      </c>
      <c r="O492" s="131">
        <v>45365</v>
      </c>
      <c r="P492" s="33" t="str">
        <f>HYPERLINK("https://my.zakupivli.pro/remote/dispatcher/state_purchase_view/49800155", "UA-2024-03-14-009075-a")</f>
        <v>UA-2024-03-14-009075-a</v>
      </c>
      <c r="Q492" s="130"/>
      <c r="R492" s="171">
        <v>25</v>
      </c>
      <c r="S492" s="171">
        <v>62.424999999999997</v>
      </c>
      <c r="T492" s="172">
        <v>45365</v>
      </c>
      <c r="U492" s="130"/>
      <c r="V492" s="171" t="s">
        <v>59</v>
      </c>
    </row>
    <row r="493" spans="1:22" ht="62.4" x14ac:dyDescent="0.3">
      <c r="A493" s="130">
        <v>487</v>
      </c>
      <c r="B493" s="171" t="s">
        <v>21</v>
      </c>
      <c r="C493" s="44" t="s">
        <v>733</v>
      </c>
      <c r="D493" s="130"/>
      <c r="E493" s="171" t="s">
        <v>75</v>
      </c>
      <c r="F493" s="44" t="s">
        <v>1046</v>
      </c>
      <c r="G493" s="171" t="s">
        <v>186</v>
      </c>
      <c r="H493" s="589"/>
      <c r="I493" s="130">
        <v>37</v>
      </c>
      <c r="J493" s="589">
        <v>567.5</v>
      </c>
      <c r="K493" s="589"/>
      <c r="L493" s="171">
        <v>37</v>
      </c>
      <c r="M493" s="589">
        <v>567.5</v>
      </c>
      <c r="N493" s="6" t="s">
        <v>1050</v>
      </c>
      <c r="O493" s="172">
        <v>45365</v>
      </c>
      <c r="P493" s="33" t="str">
        <f>HYPERLINK("https://my.zakupivli.pro/remote/dispatcher/state_purchase_view/49788870", "UA-2024-03-14-004029-a")</f>
        <v>UA-2024-03-14-004029-a</v>
      </c>
      <c r="Q493" s="130"/>
      <c r="R493" s="171">
        <v>37</v>
      </c>
      <c r="S493" s="117">
        <v>567.5</v>
      </c>
      <c r="T493" s="172">
        <v>45365</v>
      </c>
      <c r="U493" s="130"/>
      <c r="V493" s="171" t="s">
        <v>59</v>
      </c>
    </row>
    <row r="494" spans="1:22" ht="62.4" x14ac:dyDescent="0.3">
      <c r="A494" s="130">
        <v>488</v>
      </c>
      <c r="B494" s="171" t="s">
        <v>21</v>
      </c>
      <c r="C494" s="44" t="s">
        <v>36</v>
      </c>
      <c r="D494" s="130"/>
      <c r="E494" s="171" t="s">
        <v>75</v>
      </c>
      <c r="F494" s="44" t="s">
        <v>1047</v>
      </c>
      <c r="G494" s="171" t="s">
        <v>186</v>
      </c>
      <c r="H494" s="589"/>
      <c r="I494" s="130">
        <v>6</v>
      </c>
      <c r="J494" s="589">
        <v>917.08334000000002</v>
      </c>
      <c r="K494" s="589"/>
      <c r="L494" s="171">
        <v>6</v>
      </c>
      <c r="M494" s="589">
        <v>917.08334000000002</v>
      </c>
      <c r="N494" s="6" t="s">
        <v>1051</v>
      </c>
      <c r="O494" s="172">
        <v>45365</v>
      </c>
      <c r="P494" s="33" t="str">
        <f>HYPERLINK("https://my.zakupivli.pro/remote/dispatcher/state_purchase_view/49783236", "UA-2024-03-14-001638-a")</f>
        <v>UA-2024-03-14-001638-a</v>
      </c>
      <c r="Q494" s="130"/>
      <c r="R494" s="171">
        <v>6</v>
      </c>
      <c r="S494" s="171">
        <v>917.08334000000002</v>
      </c>
      <c r="T494" s="172">
        <v>45365</v>
      </c>
      <c r="U494" s="130"/>
      <c r="V494" s="171" t="s">
        <v>59</v>
      </c>
    </row>
    <row r="495" spans="1:22" ht="62.4" x14ac:dyDescent="0.3">
      <c r="A495" s="130">
        <v>489</v>
      </c>
      <c r="B495" s="171" t="s">
        <v>21</v>
      </c>
      <c r="C495" s="44" t="s">
        <v>36</v>
      </c>
      <c r="D495" s="130"/>
      <c r="E495" s="171" t="s">
        <v>75</v>
      </c>
      <c r="F495" s="44" t="s">
        <v>1048</v>
      </c>
      <c r="G495" s="171" t="s">
        <v>186</v>
      </c>
      <c r="H495" s="589"/>
      <c r="I495" s="130">
        <v>8</v>
      </c>
      <c r="J495" s="589">
        <v>804.06665999999996</v>
      </c>
      <c r="K495" s="589"/>
      <c r="L495" s="171">
        <v>8</v>
      </c>
      <c r="M495" s="589">
        <v>804.06665999999996</v>
      </c>
      <c r="N495" s="6" t="s">
        <v>1052</v>
      </c>
      <c r="O495" s="172">
        <v>45365</v>
      </c>
      <c r="P495" s="33" t="str">
        <f>HYPERLINK("https://my.zakupivli.pro/remote/dispatcher/state_purchase_view/49783236", "UA-2024-03-14-001638-a")</f>
        <v>UA-2024-03-14-001638-a</v>
      </c>
      <c r="Q495" s="130"/>
      <c r="R495" s="171">
        <v>8</v>
      </c>
      <c r="S495" s="171">
        <v>804.06665999999996</v>
      </c>
      <c r="T495" s="172">
        <v>45365</v>
      </c>
      <c r="U495" s="130"/>
      <c r="V495" s="171" t="s">
        <v>59</v>
      </c>
    </row>
    <row r="496" spans="1:22" ht="124.8" x14ac:dyDescent="0.3">
      <c r="A496" s="130">
        <v>490</v>
      </c>
      <c r="B496" s="173" t="s">
        <v>40</v>
      </c>
      <c r="C496" s="44" t="s">
        <v>41</v>
      </c>
      <c r="D496" s="130"/>
      <c r="E496" s="173" t="s">
        <v>88</v>
      </c>
      <c r="F496" s="44" t="s">
        <v>1053</v>
      </c>
      <c r="G496" s="130" t="s">
        <v>184</v>
      </c>
      <c r="H496" s="589">
        <v>806.16314</v>
      </c>
      <c r="I496" s="130">
        <v>1</v>
      </c>
      <c r="J496" s="589">
        <v>806.16314</v>
      </c>
      <c r="K496" s="589">
        <v>806.16314</v>
      </c>
      <c r="L496" s="173">
        <v>1</v>
      </c>
      <c r="M496" s="589">
        <v>806.16314</v>
      </c>
      <c r="N496" s="6" t="s">
        <v>1056</v>
      </c>
      <c r="O496" s="131">
        <v>45366</v>
      </c>
      <c r="P496" s="33" t="str">
        <f>HYPERLINK("https://my.zakupivli.pro/remote/dispatcher/state_purchase_view/49830616", "UA-2024-03-15-009363-a")</f>
        <v>UA-2024-03-15-009363-a</v>
      </c>
      <c r="Q496" s="173"/>
      <c r="R496" s="173"/>
      <c r="S496" s="173"/>
      <c r="T496" s="131"/>
      <c r="U496" s="183" t="s">
        <v>93</v>
      </c>
      <c r="V496" s="130"/>
    </row>
    <row r="497" spans="1:22" ht="124.8" x14ac:dyDescent="0.3">
      <c r="A497" s="130">
        <v>491</v>
      </c>
      <c r="B497" s="173" t="s">
        <v>40</v>
      </c>
      <c r="C497" s="44" t="s">
        <v>41</v>
      </c>
      <c r="D497" s="130"/>
      <c r="E497" s="173" t="s">
        <v>88</v>
      </c>
      <c r="F497" s="44" t="s">
        <v>1054</v>
      </c>
      <c r="G497" s="130" t="s">
        <v>184</v>
      </c>
      <c r="H497" s="589">
        <v>840.49570000000006</v>
      </c>
      <c r="I497" s="130">
        <v>1</v>
      </c>
      <c r="J497" s="589">
        <v>840.49570000000006</v>
      </c>
      <c r="K497" s="589">
        <v>840.49570000000006</v>
      </c>
      <c r="L497" s="173">
        <v>1</v>
      </c>
      <c r="M497" s="589">
        <v>840.49570000000006</v>
      </c>
      <c r="N497" s="6" t="s">
        <v>1057</v>
      </c>
      <c r="O497" s="174">
        <v>45366</v>
      </c>
      <c r="P497" s="33" t="str">
        <f>HYPERLINK("https://my.zakupivli.pro/remote/dispatcher/state_purchase_view/49830616", "UA-2024-03-15-009363-a")</f>
        <v>UA-2024-03-15-009363-a</v>
      </c>
      <c r="Q497" s="130"/>
      <c r="R497" s="130"/>
      <c r="S497" s="130"/>
      <c r="T497" s="131"/>
      <c r="U497" s="183" t="s">
        <v>93</v>
      </c>
      <c r="V497" s="130"/>
    </row>
    <row r="498" spans="1:22" ht="140.4" x14ac:dyDescent="0.3">
      <c r="A498" s="130">
        <v>492</v>
      </c>
      <c r="B498" s="173" t="s">
        <v>21</v>
      </c>
      <c r="C498" s="44" t="s">
        <v>405</v>
      </c>
      <c r="D498" s="130"/>
      <c r="E498" s="173" t="s">
        <v>75</v>
      </c>
      <c r="F498" s="44" t="s">
        <v>1055</v>
      </c>
      <c r="G498" s="130" t="s">
        <v>186</v>
      </c>
      <c r="H498" s="589"/>
      <c r="I498" s="130">
        <v>24</v>
      </c>
      <c r="J498" s="589">
        <v>2135.6806999999999</v>
      </c>
      <c r="K498" s="589"/>
      <c r="L498" s="173">
        <v>24</v>
      </c>
      <c r="M498" s="589">
        <v>2135.6806999999999</v>
      </c>
      <c r="N498" s="6" t="s">
        <v>1058</v>
      </c>
      <c r="O498" s="174">
        <v>45366</v>
      </c>
      <c r="P498" s="33" t="str">
        <f>HYPERLINK("https://my.zakupivli.pro/remote/dispatcher/state_purchase_view/49814380", "UA-2024-03-15-002037-a")</f>
        <v>UA-2024-03-15-002037-a</v>
      </c>
      <c r="Q498" s="130"/>
      <c r="R498" s="173">
        <v>24</v>
      </c>
      <c r="S498" s="173">
        <v>2135.6806999999999</v>
      </c>
      <c r="T498" s="174">
        <v>45366</v>
      </c>
      <c r="U498" s="130"/>
      <c r="V498" s="173" t="s">
        <v>59</v>
      </c>
    </row>
    <row r="499" spans="1:22" ht="62.4" x14ac:dyDescent="0.3">
      <c r="A499" s="130">
        <v>493</v>
      </c>
      <c r="B499" s="175" t="s">
        <v>21</v>
      </c>
      <c r="C499" s="44" t="s">
        <v>412</v>
      </c>
      <c r="D499" s="130"/>
      <c r="E499" s="175" t="s">
        <v>88</v>
      </c>
      <c r="F499" s="44" t="s">
        <v>1059</v>
      </c>
      <c r="G499" s="130" t="s">
        <v>185</v>
      </c>
      <c r="H499" s="589">
        <v>16.745000000000001</v>
      </c>
      <c r="I499" s="130">
        <v>3</v>
      </c>
      <c r="J499" s="589">
        <v>50.234999999999999</v>
      </c>
      <c r="K499" s="589">
        <v>16.745000000000001</v>
      </c>
      <c r="L499" s="175">
        <v>3</v>
      </c>
      <c r="M499" s="589">
        <v>50.234999999999999</v>
      </c>
      <c r="N499" s="6" t="s">
        <v>1060</v>
      </c>
      <c r="O499" s="131">
        <v>45369</v>
      </c>
      <c r="P499" s="33" t="str">
        <f>HYPERLINK("https://my.zakupivli.pro/remote/dispatcher/state_purchase_view/49855542", "UA-2024-03-18-007381-a")</f>
        <v>UA-2024-03-18-007381-a</v>
      </c>
      <c r="Q499" s="175">
        <v>16.745000000000001</v>
      </c>
      <c r="R499" s="175">
        <v>3</v>
      </c>
      <c r="S499" s="175">
        <v>50.234999999999999</v>
      </c>
      <c r="T499" s="176">
        <v>45369</v>
      </c>
      <c r="U499" s="130"/>
      <c r="V499" s="175" t="s">
        <v>59</v>
      </c>
    </row>
    <row r="500" spans="1:22" ht="62.4" x14ac:dyDescent="0.3">
      <c r="A500" s="130">
        <v>494</v>
      </c>
      <c r="B500" s="130" t="s">
        <v>21</v>
      </c>
      <c r="C500" s="41" t="s">
        <v>372</v>
      </c>
      <c r="D500" s="130"/>
      <c r="E500" s="177" t="s">
        <v>75</v>
      </c>
      <c r="F500" s="41" t="s">
        <v>1061</v>
      </c>
      <c r="G500" s="130" t="s">
        <v>186</v>
      </c>
      <c r="I500" s="130">
        <v>52</v>
      </c>
      <c r="J500" s="589">
        <v>1075</v>
      </c>
      <c r="K500" s="589"/>
      <c r="L500" s="177">
        <v>52</v>
      </c>
      <c r="M500" s="589">
        <v>1075</v>
      </c>
      <c r="N500" s="6" t="s">
        <v>1062</v>
      </c>
      <c r="O500" s="131">
        <v>45371</v>
      </c>
      <c r="P500" s="33" t="str">
        <f>HYPERLINK("https://my.zakupivli.pro/remote/dispatcher/state_purchase_view/49910924", "UA-2024-03-20-005051-a")</f>
        <v>UA-2024-03-20-005051-a</v>
      </c>
      <c r="Q500" s="130"/>
      <c r="R500" s="130">
        <v>52</v>
      </c>
      <c r="S500" s="130">
        <v>1025.93885</v>
      </c>
      <c r="T500" s="131" t="s">
        <v>1172</v>
      </c>
      <c r="U500" s="130"/>
      <c r="V500" s="130"/>
    </row>
    <row r="501" spans="1:22" ht="62.4" x14ac:dyDescent="0.3">
      <c r="A501" s="130">
        <v>495</v>
      </c>
      <c r="B501" s="178" t="s">
        <v>21</v>
      </c>
      <c r="C501" s="44" t="s">
        <v>1064</v>
      </c>
      <c r="D501" s="130"/>
      <c r="E501" s="178" t="s">
        <v>75</v>
      </c>
      <c r="F501" s="44" t="s">
        <v>1063</v>
      </c>
      <c r="G501" s="130" t="s">
        <v>185</v>
      </c>
      <c r="H501" s="589"/>
      <c r="I501" s="130">
        <v>25</v>
      </c>
      <c r="J501" s="589">
        <v>54.563330000000001</v>
      </c>
      <c r="K501" s="589"/>
      <c r="L501" s="178">
        <v>25</v>
      </c>
      <c r="M501" s="589">
        <v>54.563330000000001</v>
      </c>
      <c r="N501" s="6" t="s">
        <v>1065</v>
      </c>
      <c r="O501" s="131">
        <v>45372</v>
      </c>
      <c r="P501" s="120" t="str">
        <f>HYPERLINK("https://my.zakupivli.pro/remote/dispatcher/state_purchase_view/49949189", "UA-2024-03-21-008100-a")</f>
        <v>UA-2024-03-21-008100-a</v>
      </c>
      <c r="Q501" s="130"/>
      <c r="R501" s="178">
        <v>25</v>
      </c>
      <c r="S501" s="178">
        <v>54.563330000000001</v>
      </c>
      <c r="T501" s="131">
        <v>45372</v>
      </c>
      <c r="U501" s="130"/>
      <c r="V501" s="178" t="s">
        <v>59</v>
      </c>
    </row>
    <row r="502" spans="1:22" ht="62.4" x14ac:dyDescent="0.3">
      <c r="A502" s="130">
        <v>496</v>
      </c>
      <c r="B502" s="179" t="s">
        <v>21</v>
      </c>
      <c r="C502" s="44" t="s">
        <v>1068</v>
      </c>
      <c r="D502" s="130"/>
      <c r="E502" s="179" t="s">
        <v>75</v>
      </c>
      <c r="F502" s="44" t="s">
        <v>1066</v>
      </c>
      <c r="G502" s="130" t="s">
        <v>186</v>
      </c>
      <c r="H502" s="589"/>
      <c r="I502" s="130">
        <v>3</v>
      </c>
      <c r="J502" s="589">
        <v>82.216300000000004</v>
      </c>
      <c r="K502" s="589"/>
      <c r="L502" s="179">
        <v>3</v>
      </c>
      <c r="M502" s="589">
        <v>82.216300000000004</v>
      </c>
      <c r="N502" s="6" t="s">
        <v>1070</v>
      </c>
      <c r="O502" s="131">
        <v>45376</v>
      </c>
      <c r="P502" s="33" t="str">
        <f>HYPERLINK("https://my.zakupivli.pro/remote/dispatcher/state_purchase_view/50009434", "UA-2024-03-25-008603-a")</f>
        <v>UA-2024-03-25-008603-a</v>
      </c>
      <c r="Q502" s="130"/>
      <c r="R502" s="179">
        <v>3</v>
      </c>
      <c r="S502" s="179">
        <v>82.216300000000004</v>
      </c>
      <c r="T502" s="180">
        <v>45376</v>
      </c>
      <c r="U502" s="130"/>
      <c r="V502" s="179" t="s">
        <v>59</v>
      </c>
    </row>
    <row r="503" spans="1:22" ht="62.4" x14ac:dyDescent="0.3">
      <c r="A503" s="130">
        <v>497</v>
      </c>
      <c r="B503" s="179" t="s">
        <v>21</v>
      </c>
      <c r="C503" s="44" t="s">
        <v>1069</v>
      </c>
      <c r="D503" s="130"/>
      <c r="E503" s="179" t="s">
        <v>75</v>
      </c>
      <c r="F503" s="44" t="s">
        <v>1067</v>
      </c>
      <c r="G503" s="130" t="s">
        <v>186</v>
      </c>
      <c r="H503" s="589"/>
      <c r="I503" s="130">
        <v>9</v>
      </c>
      <c r="J503" s="589">
        <v>81.835599999999999</v>
      </c>
      <c r="K503" s="589"/>
      <c r="L503" s="179">
        <v>9</v>
      </c>
      <c r="M503" s="589">
        <v>81.835599999999999</v>
      </c>
      <c r="N503" s="6" t="s">
        <v>1071</v>
      </c>
      <c r="O503" s="180">
        <v>45376</v>
      </c>
      <c r="P503" s="33" t="str">
        <f>HYPERLINK("https://my.zakupivli.pro/remote/dispatcher/state_purchase_view/50008319", "UA-2024-03-25-008156-a")</f>
        <v>UA-2024-03-25-008156-a</v>
      </c>
      <c r="Q503" s="130"/>
      <c r="R503" s="179">
        <v>9</v>
      </c>
      <c r="S503" s="179">
        <v>81.835599999999999</v>
      </c>
      <c r="T503" s="180">
        <v>45376</v>
      </c>
      <c r="U503" s="130"/>
      <c r="V503" s="179" t="s">
        <v>59</v>
      </c>
    </row>
    <row r="504" spans="1:22" ht="62.4" x14ac:dyDescent="0.3">
      <c r="A504" s="130">
        <v>498</v>
      </c>
      <c r="B504" s="130" t="s">
        <v>40</v>
      </c>
      <c r="C504" s="44" t="s">
        <v>41</v>
      </c>
      <c r="D504" s="130"/>
      <c r="E504" s="179" t="s">
        <v>88</v>
      </c>
      <c r="F504" s="44" t="s">
        <v>1072</v>
      </c>
      <c r="G504" s="130" t="s">
        <v>184</v>
      </c>
      <c r="H504" s="589">
        <v>338.43669</v>
      </c>
      <c r="I504" s="130">
        <v>1</v>
      </c>
      <c r="J504" s="589">
        <v>338.43669</v>
      </c>
      <c r="K504" s="589">
        <v>338.43669</v>
      </c>
      <c r="L504" s="179">
        <v>1</v>
      </c>
      <c r="M504" s="589">
        <v>338.43669</v>
      </c>
      <c r="N504" s="6" t="s">
        <v>1075</v>
      </c>
      <c r="O504" s="180">
        <v>45376</v>
      </c>
      <c r="P504" s="33" t="str">
        <f>HYPERLINK("https://my.zakupivli.pro/remote/dispatcher/state_purchase_view/49993551", "UA-2024-03-25-001536-a")</f>
        <v>UA-2024-03-25-001536-a</v>
      </c>
      <c r="Q504" s="179">
        <v>338.43669</v>
      </c>
      <c r="R504" s="179">
        <v>1</v>
      </c>
      <c r="S504" s="179">
        <v>338.43669</v>
      </c>
      <c r="T504" s="180">
        <v>45373</v>
      </c>
      <c r="U504" s="130"/>
      <c r="V504" s="179" t="s">
        <v>59</v>
      </c>
    </row>
    <row r="505" spans="1:22" ht="62.4" x14ac:dyDescent="0.3">
      <c r="A505" s="130">
        <v>499</v>
      </c>
      <c r="B505" s="179" t="s">
        <v>40</v>
      </c>
      <c r="C505" s="44" t="s">
        <v>41</v>
      </c>
      <c r="D505" s="130"/>
      <c r="E505" s="179" t="s">
        <v>88</v>
      </c>
      <c r="F505" s="44" t="s">
        <v>1073</v>
      </c>
      <c r="G505" s="179" t="s">
        <v>184</v>
      </c>
      <c r="H505" s="589">
        <v>677.26585</v>
      </c>
      <c r="I505" s="179">
        <v>1</v>
      </c>
      <c r="J505" s="589">
        <v>677.26585</v>
      </c>
      <c r="K505" s="589">
        <v>677.26585</v>
      </c>
      <c r="L505" s="179">
        <v>1</v>
      </c>
      <c r="M505" s="589">
        <v>677.26585</v>
      </c>
      <c r="N505" s="6" t="s">
        <v>1076</v>
      </c>
      <c r="O505" s="180">
        <v>45376</v>
      </c>
      <c r="P505" s="33" t="str">
        <f>HYPERLINK("https://my.zakupivli.pro/remote/dispatcher/state_purchase_view/49993454", "UA-2024-03-25-001472-a")</f>
        <v>UA-2024-03-25-001472-a</v>
      </c>
      <c r="Q505" s="179">
        <v>677.26585</v>
      </c>
      <c r="R505" s="179">
        <v>1</v>
      </c>
      <c r="S505" s="179">
        <v>677.26585</v>
      </c>
      <c r="T505" s="180">
        <v>45373</v>
      </c>
      <c r="U505" s="130"/>
      <c r="V505" s="179" t="s">
        <v>59</v>
      </c>
    </row>
    <row r="506" spans="1:22" ht="62.4" x14ac:dyDescent="0.3">
      <c r="A506" s="130">
        <v>500</v>
      </c>
      <c r="B506" s="179" t="s">
        <v>40</v>
      </c>
      <c r="C506" s="44" t="s">
        <v>41</v>
      </c>
      <c r="D506" s="130"/>
      <c r="E506" s="179" t="s">
        <v>88</v>
      </c>
      <c r="F506" s="44" t="s">
        <v>1074</v>
      </c>
      <c r="G506" s="179" t="s">
        <v>184</v>
      </c>
      <c r="H506" s="589">
        <v>440.17205000000001</v>
      </c>
      <c r="I506" s="179">
        <v>1</v>
      </c>
      <c r="J506" s="589">
        <v>440.17205000000001</v>
      </c>
      <c r="K506" s="589">
        <v>440.17205000000001</v>
      </c>
      <c r="L506" s="179">
        <v>1</v>
      </c>
      <c r="M506" s="589">
        <v>440.17205000000001</v>
      </c>
      <c r="N506" s="6" t="s">
        <v>1077</v>
      </c>
      <c r="O506" s="180">
        <v>45376</v>
      </c>
      <c r="P506" s="33" t="str">
        <f>HYPERLINK("https://my.zakupivli.pro/remote/dispatcher/state_purchase_view/49993314", "UA-2024-03-25-001382-a")</f>
        <v>UA-2024-03-25-001382-a</v>
      </c>
      <c r="Q506" s="179">
        <v>440.17205000000001</v>
      </c>
      <c r="R506" s="179">
        <v>1</v>
      </c>
      <c r="S506" s="179">
        <v>440.17205000000001</v>
      </c>
      <c r="T506" s="180">
        <v>45373</v>
      </c>
      <c r="U506" s="130"/>
      <c r="V506" s="179" t="s">
        <v>59</v>
      </c>
    </row>
    <row r="507" spans="1:22" ht="62.4" x14ac:dyDescent="0.3">
      <c r="A507" s="130">
        <v>501</v>
      </c>
      <c r="B507" s="179" t="s">
        <v>40</v>
      </c>
      <c r="C507" s="44" t="s">
        <v>41</v>
      </c>
      <c r="D507" s="130"/>
      <c r="E507" s="179" t="s">
        <v>88</v>
      </c>
      <c r="F507" s="44" t="s">
        <v>1078</v>
      </c>
      <c r="G507" s="179" t="s">
        <v>184</v>
      </c>
      <c r="H507" s="589">
        <v>423.59964000000002</v>
      </c>
      <c r="I507" s="179">
        <v>1</v>
      </c>
      <c r="J507" s="589">
        <v>423.59964000000002</v>
      </c>
      <c r="K507" s="589">
        <v>423.59964000000002</v>
      </c>
      <c r="L507" s="179">
        <v>1</v>
      </c>
      <c r="M507" s="589">
        <v>423.59964000000002</v>
      </c>
      <c r="N507" s="6" t="s">
        <v>1083</v>
      </c>
      <c r="O507" s="180">
        <v>45376</v>
      </c>
      <c r="P507" s="33" t="str">
        <f>HYPERLINK("https://my.zakupivli.pro/remote/dispatcher/state_purchase_view/49992857", "UA-2024-03-25-001186-a")</f>
        <v>UA-2024-03-25-001186-a</v>
      </c>
      <c r="Q507" s="179">
        <v>423.59964000000002</v>
      </c>
      <c r="R507" s="179">
        <v>1</v>
      </c>
      <c r="S507" s="179">
        <v>423.59964000000002</v>
      </c>
      <c r="T507" s="180">
        <v>45373</v>
      </c>
      <c r="U507" s="130"/>
      <c r="V507" s="179" t="s">
        <v>59</v>
      </c>
    </row>
    <row r="508" spans="1:22" ht="62.4" x14ac:dyDescent="0.3">
      <c r="A508" s="130">
        <v>502</v>
      </c>
      <c r="B508" s="179" t="s">
        <v>40</v>
      </c>
      <c r="C508" s="44" t="s">
        <v>41</v>
      </c>
      <c r="D508" s="130"/>
      <c r="E508" s="179" t="s">
        <v>88</v>
      </c>
      <c r="F508" s="44" t="s">
        <v>1079</v>
      </c>
      <c r="G508" s="179" t="s">
        <v>184</v>
      </c>
      <c r="H508" s="589">
        <v>567010.35</v>
      </c>
      <c r="I508" s="179">
        <v>1</v>
      </c>
      <c r="J508" s="589">
        <v>567010.35</v>
      </c>
      <c r="K508" s="589">
        <v>567010.35</v>
      </c>
      <c r="L508" s="179">
        <v>1</v>
      </c>
      <c r="M508" s="589">
        <v>567010.35</v>
      </c>
      <c r="N508" s="6" t="s">
        <v>1084</v>
      </c>
      <c r="O508" s="180">
        <v>45376</v>
      </c>
      <c r="P508" s="33" t="str">
        <f>HYPERLINK("https://my.zakupivli.pro/remote/dispatcher/state_purchase_view/49992163", "UA-2024-03-25-000945-a")</f>
        <v>UA-2024-03-25-000945-a</v>
      </c>
      <c r="Q508" s="179">
        <v>567010.35</v>
      </c>
      <c r="R508" s="179">
        <v>1</v>
      </c>
      <c r="S508" s="179">
        <v>567010.35</v>
      </c>
      <c r="T508" s="180">
        <v>45373</v>
      </c>
      <c r="U508" s="130"/>
      <c r="V508" s="179" t="s">
        <v>59</v>
      </c>
    </row>
    <row r="509" spans="1:22" ht="62.4" x14ac:dyDescent="0.3">
      <c r="A509" s="130">
        <v>503</v>
      </c>
      <c r="B509" s="179" t="s">
        <v>40</v>
      </c>
      <c r="C509" s="44" t="s">
        <v>41</v>
      </c>
      <c r="D509" s="130"/>
      <c r="E509" s="179" t="s">
        <v>88</v>
      </c>
      <c r="F509" s="44" t="s">
        <v>1080</v>
      </c>
      <c r="G509" s="179" t="s">
        <v>184</v>
      </c>
      <c r="H509" s="589">
        <v>1056.9045599999999</v>
      </c>
      <c r="I509" s="179">
        <v>1</v>
      </c>
      <c r="J509" s="589">
        <v>1056.9045599999999</v>
      </c>
      <c r="K509" s="589">
        <v>1056.9045599999999</v>
      </c>
      <c r="L509" s="179">
        <v>1</v>
      </c>
      <c r="M509" s="589">
        <v>1056.9045599999999</v>
      </c>
      <c r="N509" s="6" t="s">
        <v>1085</v>
      </c>
      <c r="O509" s="180">
        <v>45376</v>
      </c>
      <c r="P509" s="33" t="str">
        <f>HYPERLINK("https://my.zakupivli.pro/remote/dispatcher/state_purchase_view/49991885", "UA-2024-03-25-000827-a")</f>
        <v>UA-2024-03-25-000827-a</v>
      </c>
      <c r="Q509" s="179">
        <v>1056.9045599999999</v>
      </c>
      <c r="R509" s="179">
        <v>1</v>
      </c>
      <c r="S509" s="179">
        <v>1056.9045599999999</v>
      </c>
      <c r="T509" s="180">
        <v>45373</v>
      </c>
      <c r="U509" s="130"/>
      <c r="V509" s="179" t="s">
        <v>59</v>
      </c>
    </row>
    <row r="510" spans="1:22" ht="62.4" x14ac:dyDescent="0.3">
      <c r="A510" s="130">
        <v>504</v>
      </c>
      <c r="B510" s="179" t="s">
        <v>40</v>
      </c>
      <c r="C510" s="44" t="s">
        <v>41</v>
      </c>
      <c r="D510" s="130"/>
      <c r="E510" s="179" t="s">
        <v>88</v>
      </c>
      <c r="F510" s="44" t="s">
        <v>1081</v>
      </c>
      <c r="G510" s="179" t="s">
        <v>184</v>
      </c>
      <c r="H510" s="589">
        <v>442.95051000000001</v>
      </c>
      <c r="I510" s="179">
        <v>1</v>
      </c>
      <c r="J510" s="589">
        <v>442.95051000000001</v>
      </c>
      <c r="K510" s="589">
        <v>442.95051000000001</v>
      </c>
      <c r="L510" s="179">
        <v>1</v>
      </c>
      <c r="M510" s="589">
        <v>442.95051000000001</v>
      </c>
      <c r="N510" s="6" t="s">
        <v>1086</v>
      </c>
      <c r="O510" s="180">
        <v>45376</v>
      </c>
      <c r="P510" s="33" t="str">
        <f>HYPERLINK("https://my.zakupivli.pro/remote/dispatcher/state_purchase_view/49991401", "UA-2024-03-25-000641-a")</f>
        <v>UA-2024-03-25-000641-a</v>
      </c>
      <c r="Q510" s="179">
        <v>442.95051000000001</v>
      </c>
      <c r="R510" s="179">
        <v>1</v>
      </c>
      <c r="S510" s="179">
        <v>442.95051000000001</v>
      </c>
      <c r="T510" s="180">
        <v>45373</v>
      </c>
      <c r="U510" s="130"/>
      <c r="V510" s="179" t="s">
        <v>59</v>
      </c>
    </row>
    <row r="511" spans="1:22" ht="62.4" x14ac:dyDescent="0.3">
      <c r="A511" s="130">
        <v>505</v>
      </c>
      <c r="B511" s="179" t="s">
        <v>40</v>
      </c>
      <c r="C511" s="44" t="s">
        <v>41</v>
      </c>
      <c r="D511" s="130"/>
      <c r="E511" s="179" t="s">
        <v>88</v>
      </c>
      <c r="F511" s="44" t="s">
        <v>1082</v>
      </c>
      <c r="G511" s="179" t="s">
        <v>184</v>
      </c>
      <c r="H511" s="589">
        <v>667.58050000000003</v>
      </c>
      <c r="I511" s="179">
        <v>1</v>
      </c>
      <c r="J511" s="589">
        <v>667.58050000000003</v>
      </c>
      <c r="K511" s="589">
        <v>667.58050000000003</v>
      </c>
      <c r="L511" s="179">
        <v>1</v>
      </c>
      <c r="M511" s="589">
        <v>667.58050000000003</v>
      </c>
      <c r="N511" s="6" t="s">
        <v>1087</v>
      </c>
      <c r="O511" s="180">
        <v>45376</v>
      </c>
      <c r="P511" s="33" t="str">
        <f>HYPERLINK("https://my.zakupivli.pro/remote/dispatcher/state_purchase_view/49991359", "UA-2024-03-25-000613-a")</f>
        <v>UA-2024-03-25-000613-a</v>
      </c>
      <c r="Q511" s="179">
        <v>667.58050000000003</v>
      </c>
      <c r="R511" s="179">
        <v>1</v>
      </c>
      <c r="S511" s="179">
        <v>667.58050000000003</v>
      </c>
      <c r="T511" s="180">
        <v>45373</v>
      </c>
      <c r="U511" s="130"/>
      <c r="V511" s="179" t="s">
        <v>59</v>
      </c>
    </row>
    <row r="512" spans="1:22" ht="62.4" x14ac:dyDescent="0.3">
      <c r="A512" s="130">
        <v>506</v>
      </c>
      <c r="B512" s="179" t="s">
        <v>40</v>
      </c>
      <c r="C512" s="44" t="s">
        <v>41</v>
      </c>
      <c r="D512" s="130"/>
      <c r="E512" s="179" t="s">
        <v>88</v>
      </c>
      <c r="F512" s="44" t="s">
        <v>1088</v>
      </c>
      <c r="G512" s="179" t="s">
        <v>184</v>
      </c>
      <c r="H512" s="589">
        <v>760.82086000000004</v>
      </c>
      <c r="I512" s="179">
        <v>1</v>
      </c>
      <c r="J512" s="589">
        <v>760.82086000000004</v>
      </c>
      <c r="K512" s="589">
        <v>760.82086000000004</v>
      </c>
      <c r="L512" s="179">
        <v>1</v>
      </c>
      <c r="M512" s="589">
        <v>760.82086000000004</v>
      </c>
      <c r="N512" s="6" t="s">
        <v>1093</v>
      </c>
      <c r="O512" s="180">
        <v>45376</v>
      </c>
      <c r="P512" s="33" t="str">
        <f>HYPERLINK("https://my.zakupivli.pro/remote/dispatcher/state_purchase_view/49991087", "UA-2024-03-25-000494-a")</f>
        <v>UA-2024-03-25-000494-a</v>
      </c>
      <c r="Q512" s="179">
        <v>760.82086000000004</v>
      </c>
      <c r="R512" s="179">
        <v>1</v>
      </c>
      <c r="S512" s="179">
        <v>760.82086000000004</v>
      </c>
      <c r="T512" s="180">
        <v>45373</v>
      </c>
      <c r="U512" s="130"/>
      <c r="V512" s="179" t="s">
        <v>59</v>
      </c>
    </row>
    <row r="513" spans="1:22" ht="62.4" x14ac:dyDescent="0.3">
      <c r="A513" s="130">
        <v>507</v>
      </c>
      <c r="B513" s="179" t="s">
        <v>40</v>
      </c>
      <c r="C513" s="44" t="s">
        <v>41</v>
      </c>
      <c r="D513" s="130"/>
      <c r="E513" s="179" t="s">
        <v>88</v>
      </c>
      <c r="F513" s="44" t="s">
        <v>1089</v>
      </c>
      <c r="G513" s="179" t="s">
        <v>184</v>
      </c>
      <c r="H513" s="589">
        <v>915.53321000000005</v>
      </c>
      <c r="I513" s="179">
        <v>1</v>
      </c>
      <c r="J513" s="589">
        <v>915.53321000000005</v>
      </c>
      <c r="K513" s="589">
        <v>915.53321000000005</v>
      </c>
      <c r="L513" s="179">
        <v>1</v>
      </c>
      <c r="M513" s="589">
        <v>915.53321000000005</v>
      </c>
      <c r="N513" s="6" t="s">
        <v>1094</v>
      </c>
      <c r="O513" s="180">
        <v>45376</v>
      </c>
      <c r="P513" s="33" t="str">
        <f>HYPERLINK("https://my.zakupivli.pro/remote/dispatcher/state_purchase_view/49990900", "UA-2024-03-25-000416-a")</f>
        <v>UA-2024-03-25-000416-a</v>
      </c>
      <c r="Q513" s="179">
        <v>915.53321000000005</v>
      </c>
      <c r="R513" s="179">
        <v>1</v>
      </c>
      <c r="S513" s="179">
        <v>915.53321000000005</v>
      </c>
      <c r="T513" s="180">
        <v>45373</v>
      </c>
      <c r="U513" s="130"/>
      <c r="V513" s="179" t="s">
        <v>59</v>
      </c>
    </row>
    <row r="514" spans="1:22" ht="62.4" x14ac:dyDescent="0.3">
      <c r="A514" s="130">
        <v>508</v>
      </c>
      <c r="B514" s="179" t="s">
        <v>40</v>
      </c>
      <c r="C514" s="44" t="s">
        <v>41</v>
      </c>
      <c r="D514" s="130"/>
      <c r="E514" s="179" t="s">
        <v>88</v>
      </c>
      <c r="F514" s="44" t="s">
        <v>1090</v>
      </c>
      <c r="G514" s="179" t="s">
        <v>184</v>
      </c>
      <c r="H514" s="589">
        <v>847.72888999999998</v>
      </c>
      <c r="I514" s="179">
        <v>1</v>
      </c>
      <c r="J514" s="589">
        <v>847.72888999999998</v>
      </c>
      <c r="K514" s="589">
        <v>847.72888999999998</v>
      </c>
      <c r="L514" s="179">
        <v>1</v>
      </c>
      <c r="M514" s="589">
        <v>847.72888999999998</v>
      </c>
      <c r="N514" s="6" t="s">
        <v>1095</v>
      </c>
      <c r="O514" s="180">
        <v>45376</v>
      </c>
      <c r="P514" s="33" t="str">
        <f>HYPERLINK("https://my.zakupivli.pro/remote/dispatcher/state_purchase_view/49990848", "UA-2024-03-25-000383-a")</f>
        <v>UA-2024-03-25-000383-a</v>
      </c>
      <c r="Q514" s="179">
        <v>847.72888999999998</v>
      </c>
      <c r="R514" s="179">
        <v>1</v>
      </c>
      <c r="S514" s="179">
        <v>847.72888999999998</v>
      </c>
      <c r="T514" s="180">
        <v>45373</v>
      </c>
      <c r="U514" s="130"/>
      <c r="V514" s="179" t="s">
        <v>59</v>
      </c>
    </row>
    <row r="515" spans="1:22" ht="62.4" x14ac:dyDescent="0.3">
      <c r="A515" s="130">
        <v>509</v>
      </c>
      <c r="B515" s="179" t="s">
        <v>40</v>
      </c>
      <c r="C515" s="44" t="s">
        <v>41</v>
      </c>
      <c r="D515" s="130"/>
      <c r="E515" s="179" t="s">
        <v>88</v>
      </c>
      <c r="F515" s="44" t="s">
        <v>1091</v>
      </c>
      <c r="G515" s="179" t="s">
        <v>184</v>
      </c>
      <c r="H515" s="589">
        <v>931.63234999999997</v>
      </c>
      <c r="I515" s="179">
        <v>1</v>
      </c>
      <c r="J515" s="589">
        <v>931.63234999999997</v>
      </c>
      <c r="K515" s="589">
        <v>931.63234999999997</v>
      </c>
      <c r="L515" s="179">
        <v>931.63234999999997</v>
      </c>
      <c r="M515" s="589">
        <v>931.63234999999997</v>
      </c>
      <c r="N515" s="6" t="s">
        <v>1096</v>
      </c>
      <c r="O515" s="180">
        <v>45376</v>
      </c>
      <c r="P515" s="33" t="str">
        <f>HYPERLINK("https://my.zakupivli.pro/remote/dispatcher/state_purchase_view/49990556", "UA-2024-03-25-000272-a")</f>
        <v>UA-2024-03-25-000272-a</v>
      </c>
      <c r="Q515" s="179">
        <v>931.63234999999997</v>
      </c>
      <c r="R515" s="179">
        <v>931.63234999999997</v>
      </c>
      <c r="S515" s="179">
        <v>931.63234999999997</v>
      </c>
      <c r="T515" s="180">
        <v>45373</v>
      </c>
      <c r="U515" s="130"/>
      <c r="V515" s="179" t="s">
        <v>59</v>
      </c>
    </row>
    <row r="516" spans="1:22" ht="62.4" x14ac:dyDescent="0.3">
      <c r="A516" s="130">
        <v>510</v>
      </c>
      <c r="B516" s="179" t="s">
        <v>40</v>
      </c>
      <c r="C516" s="44" t="s">
        <v>41</v>
      </c>
      <c r="D516" s="130"/>
      <c r="E516" s="179" t="s">
        <v>88</v>
      </c>
      <c r="F516" s="44" t="s">
        <v>1092</v>
      </c>
      <c r="G516" s="179" t="s">
        <v>184</v>
      </c>
      <c r="H516" s="589">
        <v>1096.11652</v>
      </c>
      <c r="I516" s="130">
        <v>1</v>
      </c>
      <c r="J516" s="589">
        <v>1096.11652</v>
      </c>
      <c r="K516" s="589">
        <v>1096.11652</v>
      </c>
      <c r="L516" s="179">
        <v>1</v>
      </c>
      <c r="M516" s="589">
        <v>1096.11652</v>
      </c>
      <c r="N516" s="6" t="s">
        <v>1097</v>
      </c>
      <c r="O516" s="180">
        <v>45376</v>
      </c>
      <c r="P516" s="33" t="str">
        <f>HYPERLINK("https://my.zakupivli.pro/remote/dispatcher/state_purchase_view/49990340", "UA-2024-03-25-000171-a")</f>
        <v>UA-2024-03-25-000171-a</v>
      </c>
      <c r="Q516" s="179">
        <v>1096.11652</v>
      </c>
      <c r="R516" s="179">
        <v>1</v>
      </c>
      <c r="S516" s="179">
        <v>1096.11652</v>
      </c>
      <c r="T516" s="180">
        <v>45373</v>
      </c>
      <c r="U516" s="130"/>
      <c r="V516" s="179" t="s">
        <v>59</v>
      </c>
    </row>
    <row r="517" spans="1:22" ht="156" x14ac:dyDescent="0.3">
      <c r="A517" s="130">
        <v>511</v>
      </c>
      <c r="B517" s="130" t="s">
        <v>21</v>
      </c>
      <c r="C517" s="41" t="s">
        <v>183</v>
      </c>
      <c r="D517" s="130"/>
      <c r="E517" s="181" t="s">
        <v>88</v>
      </c>
      <c r="F517" s="44" t="s">
        <v>1098</v>
      </c>
      <c r="G517" s="130" t="s">
        <v>21</v>
      </c>
      <c r="H517" s="589">
        <v>7694.4</v>
      </c>
      <c r="I517" s="130">
        <v>1</v>
      </c>
      <c r="J517" s="589">
        <v>7694.4</v>
      </c>
      <c r="K517" s="589">
        <v>7694.4</v>
      </c>
      <c r="L517" s="181">
        <v>1</v>
      </c>
      <c r="M517" s="589">
        <v>7694.4</v>
      </c>
      <c r="N517" s="6" t="s">
        <v>1099</v>
      </c>
      <c r="O517" s="180">
        <v>45379</v>
      </c>
      <c r="P517" s="33" t="str">
        <f>HYPERLINK("https://my.zakupivli.pro/remote/dispatcher/state_purchase_view/50096341", "UA-2024-03-28-009986-a")</f>
        <v>UA-2024-03-28-009986-a</v>
      </c>
      <c r="Q517" s="117">
        <v>7694.4</v>
      </c>
      <c r="R517" s="181">
        <v>1</v>
      </c>
      <c r="S517" s="117">
        <v>7694.4</v>
      </c>
      <c r="T517" s="182">
        <v>45379</v>
      </c>
      <c r="U517" s="130"/>
      <c r="V517" s="181" t="s">
        <v>59</v>
      </c>
    </row>
    <row r="518" spans="1:22" ht="62.4" x14ac:dyDescent="0.3">
      <c r="A518" s="130">
        <v>512</v>
      </c>
      <c r="B518" s="184" t="s">
        <v>40</v>
      </c>
      <c r="C518" s="44" t="s">
        <v>73</v>
      </c>
      <c r="D518" s="130"/>
      <c r="E518" s="184" t="s">
        <v>75</v>
      </c>
      <c r="F518" s="44" t="s">
        <v>1100</v>
      </c>
      <c r="G518" s="130" t="s">
        <v>184</v>
      </c>
      <c r="H518" s="589">
        <v>96.452979999999997</v>
      </c>
      <c r="I518" s="130">
        <v>1</v>
      </c>
      <c r="J518" s="589">
        <v>96.452979999999997</v>
      </c>
      <c r="K518" s="589">
        <v>96.452979999999997</v>
      </c>
      <c r="L518" s="184">
        <v>1</v>
      </c>
      <c r="M518" s="589">
        <v>96.452979999999997</v>
      </c>
      <c r="N518" s="6" t="s">
        <v>1106</v>
      </c>
      <c r="O518" s="131">
        <v>45383</v>
      </c>
      <c r="P518" s="33" t="str">
        <f>HYPERLINK("https://my.zakupivli.pro/remote/dispatcher/state_purchase_view/50133163", "UA-2024-04-01-005782-a")</f>
        <v>UA-2024-04-01-005782-a</v>
      </c>
      <c r="Q518" s="184">
        <v>96.452979999999997</v>
      </c>
      <c r="R518" s="184">
        <v>1</v>
      </c>
      <c r="S518" s="184">
        <v>96.452979999999997</v>
      </c>
      <c r="T518" s="185">
        <v>45383</v>
      </c>
      <c r="U518" s="130"/>
      <c r="V518" s="184" t="s">
        <v>59</v>
      </c>
    </row>
    <row r="519" spans="1:22" ht="62.4" x14ac:dyDescent="0.3">
      <c r="A519" s="130">
        <v>513</v>
      </c>
      <c r="B519" s="184" t="s">
        <v>40</v>
      </c>
      <c r="C519" s="44" t="s">
        <v>73</v>
      </c>
      <c r="D519" s="130"/>
      <c r="E519" s="184" t="s">
        <v>75</v>
      </c>
      <c r="F519" s="44" t="s">
        <v>1101</v>
      </c>
      <c r="G519" s="184" t="s">
        <v>184</v>
      </c>
      <c r="H519" s="589">
        <v>113.94756</v>
      </c>
      <c r="I519" s="130">
        <v>1</v>
      </c>
      <c r="J519" s="589">
        <v>113.94756</v>
      </c>
      <c r="K519" s="589">
        <v>113.94756</v>
      </c>
      <c r="L519" s="184">
        <v>1</v>
      </c>
      <c r="M519" s="589">
        <v>113.94756</v>
      </c>
      <c r="N519" s="6" t="s">
        <v>1107</v>
      </c>
      <c r="O519" s="185">
        <v>45383</v>
      </c>
      <c r="P519" s="33" t="str">
        <f>HYPERLINK("https://my.zakupivli.pro/remote/dispatcher/state_purchase_view/50132155", "UA-2024-04-01-005332-a")</f>
        <v>UA-2024-04-01-005332-a</v>
      </c>
      <c r="Q519" s="184">
        <v>113.94756</v>
      </c>
      <c r="R519" s="184">
        <v>1</v>
      </c>
      <c r="S519" s="184">
        <v>113.94756</v>
      </c>
      <c r="T519" s="185">
        <v>45383</v>
      </c>
      <c r="U519" s="130"/>
      <c r="V519" s="184" t="s">
        <v>59</v>
      </c>
    </row>
    <row r="520" spans="1:22" ht="62.4" x14ac:dyDescent="0.3">
      <c r="A520" s="130">
        <v>514</v>
      </c>
      <c r="B520" s="184" t="s">
        <v>40</v>
      </c>
      <c r="C520" s="44" t="s">
        <v>73</v>
      </c>
      <c r="D520" s="130"/>
      <c r="E520" s="184" t="s">
        <v>75</v>
      </c>
      <c r="F520" s="44" t="s">
        <v>1102</v>
      </c>
      <c r="G520" s="184" t="s">
        <v>184</v>
      </c>
      <c r="H520" s="589">
        <v>151.39293000000001</v>
      </c>
      <c r="I520" s="130">
        <v>1</v>
      </c>
      <c r="J520" s="589">
        <v>151.39293000000001</v>
      </c>
      <c r="K520" s="589">
        <v>151.39293000000001</v>
      </c>
      <c r="L520" s="184">
        <v>1</v>
      </c>
      <c r="M520" s="589">
        <v>151.39293000000001</v>
      </c>
      <c r="N520" s="6" t="s">
        <v>1108</v>
      </c>
      <c r="O520" s="185">
        <v>45383</v>
      </c>
      <c r="P520" s="33" t="str">
        <f>HYPERLINK("https://my.zakupivli.pro/remote/dispatcher/state_purchase_view/50131614", "UA-2024-04-01-005080-a")</f>
        <v>UA-2024-04-01-005080-a</v>
      </c>
      <c r="Q520" s="184">
        <v>151.39293000000001</v>
      </c>
      <c r="R520" s="184">
        <v>1</v>
      </c>
      <c r="S520" s="184">
        <v>151.39293000000001</v>
      </c>
      <c r="T520" s="185">
        <v>45383</v>
      </c>
      <c r="U520" s="130"/>
      <c r="V520" s="184" t="s">
        <v>59</v>
      </c>
    </row>
    <row r="521" spans="1:22" ht="62.4" x14ac:dyDescent="0.3">
      <c r="A521" s="130">
        <v>515</v>
      </c>
      <c r="B521" s="184" t="s">
        <v>40</v>
      </c>
      <c r="C521" s="44" t="s">
        <v>73</v>
      </c>
      <c r="D521" s="130"/>
      <c r="E521" s="184" t="s">
        <v>75</v>
      </c>
      <c r="F521" s="44" t="s">
        <v>1103</v>
      </c>
      <c r="G521" s="184" t="s">
        <v>184</v>
      </c>
      <c r="H521" s="589">
        <v>194.86904000000001</v>
      </c>
      <c r="I521" s="130">
        <v>1</v>
      </c>
      <c r="J521" s="589">
        <v>194.86904000000001</v>
      </c>
      <c r="K521" s="589">
        <v>194.86904000000001</v>
      </c>
      <c r="L521" s="184">
        <v>1</v>
      </c>
      <c r="M521" s="589">
        <v>194.86904000000001</v>
      </c>
      <c r="N521" s="6" t="s">
        <v>1109</v>
      </c>
      <c r="O521" s="185">
        <v>45383</v>
      </c>
      <c r="P521" s="33" t="str">
        <f>HYPERLINK("https://my.zakupivli.pro/remote/dispatcher/state_purchase_view/50128934", "UA-2024-04-01-003935-a")</f>
        <v>UA-2024-04-01-003935-a</v>
      </c>
      <c r="Q521" s="184">
        <v>194.86904000000001</v>
      </c>
      <c r="R521" s="184">
        <v>1</v>
      </c>
      <c r="S521" s="184">
        <v>194.86904000000001</v>
      </c>
      <c r="T521" s="185">
        <v>45383</v>
      </c>
      <c r="U521" s="130"/>
      <c r="V521" s="184" t="s">
        <v>59</v>
      </c>
    </row>
    <row r="522" spans="1:22" ht="62.4" x14ac:dyDescent="0.3">
      <c r="A522" s="130">
        <v>516</v>
      </c>
      <c r="B522" s="184" t="s">
        <v>40</v>
      </c>
      <c r="C522" s="44" t="s">
        <v>73</v>
      </c>
      <c r="D522" s="130"/>
      <c r="E522" s="184" t="s">
        <v>75</v>
      </c>
      <c r="F522" s="44" t="s">
        <v>1104</v>
      </c>
      <c r="G522" s="184" t="s">
        <v>184</v>
      </c>
      <c r="H522" s="589">
        <v>109.06793999999999</v>
      </c>
      <c r="I522" s="130">
        <v>1</v>
      </c>
      <c r="J522" s="589">
        <v>109.06793999999999</v>
      </c>
      <c r="K522" s="589">
        <v>109.06793999999999</v>
      </c>
      <c r="L522" s="184">
        <v>1</v>
      </c>
      <c r="M522" s="589">
        <v>109.06793999999999</v>
      </c>
      <c r="N522" s="6" t="s">
        <v>1110</v>
      </c>
      <c r="O522" s="185">
        <v>45383</v>
      </c>
      <c r="P522" s="33" t="str">
        <f>HYPERLINK("https://my.zakupivli.pro/remote/dispatcher/state_purchase_view/50128451", "UA-2024-04-01-003767-a")</f>
        <v>UA-2024-04-01-003767-a</v>
      </c>
      <c r="Q522" s="184">
        <v>109.06793999999999</v>
      </c>
      <c r="R522" s="184">
        <v>1</v>
      </c>
      <c r="S522" s="184">
        <v>109.06793999999999</v>
      </c>
      <c r="T522" s="185">
        <v>45383</v>
      </c>
      <c r="U522" s="130"/>
      <c r="V522" s="184" t="s">
        <v>59</v>
      </c>
    </row>
    <row r="523" spans="1:22" ht="62.4" x14ac:dyDescent="0.3">
      <c r="A523" s="130">
        <v>517</v>
      </c>
      <c r="B523" s="184" t="s">
        <v>40</v>
      </c>
      <c r="C523" s="44" t="s">
        <v>73</v>
      </c>
      <c r="D523" s="130"/>
      <c r="E523" s="184" t="s">
        <v>75</v>
      </c>
      <c r="F523" s="44" t="s">
        <v>1105</v>
      </c>
      <c r="G523" s="184" t="s">
        <v>184</v>
      </c>
      <c r="H523" s="589">
        <v>158.59383</v>
      </c>
      <c r="I523" s="130">
        <v>1</v>
      </c>
      <c r="J523" s="589">
        <v>158.59383</v>
      </c>
      <c r="K523" s="589">
        <v>158.59383</v>
      </c>
      <c r="L523" s="184">
        <v>1</v>
      </c>
      <c r="M523" s="589">
        <v>158.59383</v>
      </c>
      <c r="N523" s="6" t="s">
        <v>1111</v>
      </c>
      <c r="O523" s="185">
        <v>45383</v>
      </c>
      <c r="P523" s="33" t="str">
        <f>HYPERLINK("https://my.zakupivli.pro/remote/dispatcher/state_purchase_view/50127903", "UA-2024-04-01-003479-a")</f>
        <v>UA-2024-04-01-003479-a</v>
      </c>
      <c r="Q523" s="184">
        <v>158.59383</v>
      </c>
      <c r="R523" s="184">
        <v>1</v>
      </c>
      <c r="S523" s="184">
        <v>158.59383</v>
      </c>
      <c r="T523" s="185">
        <v>45383</v>
      </c>
      <c r="U523" s="130"/>
      <c r="V523" s="184" t="s">
        <v>59</v>
      </c>
    </row>
    <row r="524" spans="1:22" ht="62.4" x14ac:dyDescent="0.3">
      <c r="A524" s="130">
        <v>518</v>
      </c>
      <c r="B524" s="186" t="s">
        <v>40</v>
      </c>
      <c r="C524" s="44" t="s">
        <v>41</v>
      </c>
      <c r="D524" s="130"/>
      <c r="E524" s="446" t="s">
        <v>20</v>
      </c>
      <c r="F524" s="44" t="s">
        <v>1112</v>
      </c>
      <c r="G524" s="186" t="s">
        <v>184</v>
      </c>
      <c r="H524" s="589">
        <v>149.49813</v>
      </c>
      <c r="I524" s="130">
        <v>1</v>
      </c>
      <c r="J524" s="589">
        <v>149.49813</v>
      </c>
      <c r="K524" s="589">
        <v>149.49813</v>
      </c>
      <c r="L524" s="186">
        <v>1</v>
      </c>
      <c r="M524" s="589">
        <v>149.49813</v>
      </c>
      <c r="N524" s="6" t="s">
        <v>1118</v>
      </c>
      <c r="O524" s="131">
        <v>45385</v>
      </c>
      <c r="P524" s="33" t="str">
        <f>HYPERLINK("https://my.zakupivli.pro/remote/dispatcher/state_purchase_view/50192772", "UA-2024-04-03-008285-a")</f>
        <v>UA-2024-04-03-008285-a</v>
      </c>
      <c r="Q524" s="186">
        <v>149.49813</v>
      </c>
      <c r="R524" s="186">
        <v>1</v>
      </c>
      <c r="S524" s="186">
        <v>149.49813</v>
      </c>
      <c r="T524" s="187">
        <v>45385</v>
      </c>
      <c r="U524" s="130"/>
      <c r="V524" s="186" t="s">
        <v>59</v>
      </c>
    </row>
    <row r="525" spans="1:22" ht="62.4" x14ac:dyDescent="0.3">
      <c r="A525" s="130">
        <v>519</v>
      </c>
      <c r="B525" s="186" t="s">
        <v>40</v>
      </c>
      <c r="C525" s="44" t="s">
        <v>41</v>
      </c>
      <c r="D525" s="130"/>
      <c r="E525" s="446" t="s">
        <v>20</v>
      </c>
      <c r="F525" s="44" t="s">
        <v>1113</v>
      </c>
      <c r="G525" s="186" t="s">
        <v>184</v>
      </c>
      <c r="H525" s="589">
        <v>76818.37</v>
      </c>
      <c r="I525" s="130">
        <v>1</v>
      </c>
      <c r="J525" s="589">
        <v>76818.37</v>
      </c>
      <c r="K525" s="589">
        <v>76818.37</v>
      </c>
      <c r="L525" s="186">
        <v>1</v>
      </c>
      <c r="M525" s="589">
        <v>76818.37</v>
      </c>
      <c r="N525" s="6" t="s">
        <v>1119</v>
      </c>
      <c r="O525" s="187">
        <v>45385</v>
      </c>
      <c r="P525" s="33" t="str">
        <f>HYPERLINK("https://my.zakupivli.pro/remote/dispatcher/state_purchase_view/50192096", "UA-2024-04-03-008011-a")</f>
        <v>UA-2024-04-03-008011-a</v>
      </c>
      <c r="Q525" s="186">
        <v>76818.37</v>
      </c>
      <c r="R525" s="186">
        <v>1</v>
      </c>
      <c r="S525" s="186">
        <v>76818.37</v>
      </c>
      <c r="T525" s="187">
        <v>45385</v>
      </c>
      <c r="U525" s="130"/>
      <c r="V525" s="186" t="s">
        <v>59</v>
      </c>
    </row>
    <row r="526" spans="1:22" ht="62.4" x14ac:dyDescent="0.3">
      <c r="A526" s="130">
        <v>520</v>
      </c>
      <c r="B526" s="186" t="s">
        <v>40</v>
      </c>
      <c r="C526" s="44" t="s">
        <v>41</v>
      </c>
      <c r="D526" s="130"/>
      <c r="E526" s="446" t="s">
        <v>20</v>
      </c>
      <c r="F526" s="44" t="s">
        <v>1114</v>
      </c>
      <c r="G526" s="186" t="s">
        <v>184</v>
      </c>
      <c r="H526" s="589">
        <v>404.08514000000002</v>
      </c>
      <c r="I526" s="130">
        <v>1</v>
      </c>
      <c r="J526" s="589">
        <v>404.08514000000002</v>
      </c>
      <c r="K526" s="589">
        <v>404.08514000000002</v>
      </c>
      <c r="L526" s="186">
        <v>1</v>
      </c>
      <c r="M526" s="589">
        <v>404.08514000000002</v>
      </c>
      <c r="N526" s="6" t="s">
        <v>1120</v>
      </c>
      <c r="O526" s="187">
        <v>45385</v>
      </c>
      <c r="P526" s="33" t="str">
        <f>HYPERLINK("https://my.zakupivli.pro/remote/dispatcher/state_purchase_view/50191401", "UA-2024-04-03-007759-a")</f>
        <v>UA-2024-04-03-007759-a</v>
      </c>
      <c r="Q526" s="186">
        <v>404.08514000000002</v>
      </c>
      <c r="R526" s="186">
        <v>1</v>
      </c>
      <c r="S526" s="186">
        <v>404.08514000000002</v>
      </c>
      <c r="T526" s="187">
        <v>45385</v>
      </c>
      <c r="U526" s="130"/>
      <c r="V526" s="186" t="s">
        <v>59</v>
      </c>
    </row>
    <row r="527" spans="1:22" ht="62.4" x14ac:dyDescent="0.3">
      <c r="A527" s="130">
        <v>521</v>
      </c>
      <c r="B527" s="186" t="s">
        <v>40</v>
      </c>
      <c r="C527" s="44" t="s">
        <v>41</v>
      </c>
      <c r="D527" s="130"/>
      <c r="E527" s="446" t="s">
        <v>20</v>
      </c>
      <c r="F527" s="44" t="s">
        <v>1115</v>
      </c>
      <c r="G527" s="186" t="s">
        <v>184</v>
      </c>
      <c r="H527" s="589">
        <v>302.83715000000001</v>
      </c>
      <c r="I527" s="130">
        <v>1</v>
      </c>
      <c r="J527" s="589">
        <v>302.83715000000001</v>
      </c>
      <c r="K527" s="589">
        <v>302.83715000000001</v>
      </c>
      <c r="L527" s="186">
        <v>1</v>
      </c>
      <c r="M527" s="589">
        <v>302.83715000000001</v>
      </c>
      <c r="N527" s="6" t="s">
        <v>1121</v>
      </c>
      <c r="O527" s="187">
        <v>45385</v>
      </c>
      <c r="P527" s="33" t="str">
        <f>HYPERLINK("https://my.zakupivli.pro/remote/dispatcher/state_purchase_view/50191086", "UA-2024-04-03-007567-a")</f>
        <v>UA-2024-04-03-007567-a</v>
      </c>
      <c r="Q527" s="186">
        <v>302.83715000000001</v>
      </c>
      <c r="R527" s="186">
        <v>1</v>
      </c>
      <c r="S527" s="186">
        <v>302.83715000000001</v>
      </c>
      <c r="T527" s="187">
        <v>45385</v>
      </c>
      <c r="U527" s="130"/>
      <c r="V527" s="186" t="s">
        <v>59</v>
      </c>
    </row>
    <row r="528" spans="1:22" ht="62.4" x14ac:dyDescent="0.3">
      <c r="A528" s="130">
        <v>522</v>
      </c>
      <c r="B528" s="186" t="s">
        <v>21</v>
      </c>
      <c r="C528" s="44" t="s">
        <v>1117</v>
      </c>
      <c r="D528" s="130"/>
      <c r="E528" s="186" t="s">
        <v>75</v>
      </c>
      <c r="F528" s="44" t="s">
        <v>1116</v>
      </c>
      <c r="G528" s="186" t="s">
        <v>186</v>
      </c>
      <c r="H528" s="589"/>
      <c r="I528" s="130">
        <v>4</v>
      </c>
      <c r="J528" s="589">
        <v>337.51</v>
      </c>
      <c r="K528" s="589"/>
      <c r="L528" s="186">
        <v>4</v>
      </c>
      <c r="M528" s="589">
        <v>337.51</v>
      </c>
      <c r="N528" s="6" t="s">
        <v>1122</v>
      </c>
      <c r="O528" s="187">
        <v>45385</v>
      </c>
      <c r="P528" s="33" t="str">
        <f>HYPERLINK("https://my.zakupivli.pro/remote/dispatcher/state_purchase_view/50182890", "UA-2024-04-03-003922-a")</f>
        <v>UA-2024-04-03-003922-a</v>
      </c>
      <c r="Q528" s="130"/>
      <c r="R528" s="130">
        <v>4</v>
      </c>
      <c r="S528" s="130">
        <v>336.94499999999999</v>
      </c>
      <c r="T528" s="131">
        <v>45404</v>
      </c>
      <c r="U528" s="130"/>
      <c r="V528" s="130"/>
    </row>
    <row r="529" spans="1:22" ht="62.4" x14ac:dyDescent="0.3">
      <c r="A529" s="130">
        <v>523</v>
      </c>
      <c r="B529" s="186" t="s">
        <v>21</v>
      </c>
      <c r="C529" s="44" t="s">
        <v>30</v>
      </c>
      <c r="D529" s="130"/>
      <c r="E529" s="186" t="s">
        <v>75</v>
      </c>
      <c r="F529" s="44" t="s">
        <v>908</v>
      </c>
      <c r="G529" s="130" t="s">
        <v>185</v>
      </c>
      <c r="H529" s="589">
        <v>5.218</v>
      </c>
      <c r="I529" s="130">
        <v>8</v>
      </c>
      <c r="J529" s="589">
        <v>41.744</v>
      </c>
      <c r="K529" s="589">
        <v>5.218</v>
      </c>
      <c r="L529" s="186">
        <v>8</v>
      </c>
      <c r="M529" s="589">
        <v>41.744</v>
      </c>
      <c r="N529" s="6" t="s">
        <v>1125</v>
      </c>
      <c r="O529" s="187">
        <v>45385</v>
      </c>
      <c r="P529" s="33" t="str">
        <f>HYPERLINK("https://my.zakupivli.pro/remote/dispatcher/state_purchase_view/50200329", "UA-2024-04-03-011648-a")</f>
        <v>UA-2024-04-03-011648-a</v>
      </c>
      <c r="Q529" s="186">
        <v>5.218</v>
      </c>
      <c r="R529" s="186">
        <v>8</v>
      </c>
      <c r="S529" s="186">
        <v>41.744</v>
      </c>
      <c r="T529" s="187">
        <v>45385</v>
      </c>
      <c r="U529" s="130"/>
      <c r="V529" s="186" t="s">
        <v>59</v>
      </c>
    </row>
    <row r="530" spans="1:22" ht="62.4" x14ac:dyDescent="0.3">
      <c r="A530" s="130">
        <v>524</v>
      </c>
      <c r="B530" s="186" t="s">
        <v>40</v>
      </c>
      <c r="C530" s="44" t="s">
        <v>41</v>
      </c>
      <c r="D530" s="130"/>
      <c r="E530" s="446" t="s">
        <v>20</v>
      </c>
      <c r="F530" s="44" t="s">
        <v>1124</v>
      </c>
      <c r="G530" s="186" t="s">
        <v>184</v>
      </c>
      <c r="H530" s="589">
        <v>56.332160000000002</v>
      </c>
      <c r="I530" s="130">
        <v>1</v>
      </c>
      <c r="J530" s="589">
        <v>56.332160000000002</v>
      </c>
      <c r="K530" s="589">
        <v>56.332160000000002</v>
      </c>
      <c r="L530" s="186">
        <v>1</v>
      </c>
      <c r="M530" s="589">
        <v>56.332160000000002</v>
      </c>
      <c r="N530" s="6" t="s">
        <v>1126</v>
      </c>
      <c r="O530" s="187">
        <v>45385</v>
      </c>
      <c r="P530" s="33" t="str">
        <f>HYPERLINK("https://my.zakupivli.pro/remote/dispatcher/state_purchase_view/50200087", "UA-2024-04-03-011525-a")</f>
        <v>UA-2024-04-03-011525-a</v>
      </c>
      <c r="Q530" s="186">
        <v>56.332160000000002</v>
      </c>
      <c r="R530" s="186">
        <v>1</v>
      </c>
      <c r="S530" s="186">
        <v>56.332160000000002</v>
      </c>
      <c r="T530" s="187">
        <v>45385</v>
      </c>
      <c r="U530" s="130"/>
      <c r="V530" s="186" t="s">
        <v>59</v>
      </c>
    </row>
    <row r="531" spans="1:22" ht="62.4" x14ac:dyDescent="0.3">
      <c r="A531" s="130">
        <v>525</v>
      </c>
      <c r="B531" s="186" t="s">
        <v>40</v>
      </c>
      <c r="C531" s="44" t="s">
        <v>41</v>
      </c>
      <c r="D531" s="130"/>
      <c r="E531" s="446" t="s">
        <v>20</v>
      </c>
      <c r="F531" s="44" t="s">
        <v>1123</v>
      </c>
      <c r="G531" s="186" t="s">
        <v>184</v>
      </c>
      <c r="H531" s="589">
        <v>282.14161999999999</v>
      </c>
      <c r="I531" s="130">
        <v>1</v>
      </c>
      <c r="J531" s="589">
        <v>282.14161999999999</v>
      </c>
      <c r="K531" s="589">
        <v>282.14161999999999</v>
      </c>
      <c r="L531" s="186">
        <v>1</v>
      </c>
      <c r="M531" s="589">
        <v>282.14161999999999</v>
      </c>
      <c r="N531" s="6" t="s">
        <v>1127</v>
      </c>
      <c r="O531" s="187">
        <v>45385</v>
      </c>
      <c r="P531" s="33" t="str">
        <f>HYPERLINK("https://my.zakupivli.pro/remote/dispatcher/state_purchase_view/50199730", "UA-2024-04-03-011369-a")</f>
        <v>UA-2024-04-03-011369-a</v>
      </c>
      <c r="Q531" s="186">
        <v>282.14161999999999</v>
      </c>
      <c r="R531" s="186">
        <v>1</v>
      </c>
      <c r="S531" s="186">
        <v>282.14161999999999</v>
      </c>
      <c r="T531" s="187">
        <v>45385</v>
      </c>
      <c r="U531" s="130"/>
      <c r="V531" s="186" t="s">
        <v>59</v>
      </c>
    </row>
    <row r="532" spans="1:22" ht="62.4" x14ac:dyDescent="0.3">
      <c r="A532" s="130">
        <v>526</v>
      </c>
      <c r="B532" s="186" t="s">
        <v>21</v>
      </c>
      <c r="C532" s="44" t="s">
        <v>516</v>
      </c>
      <c r="D532" s="130"/>
      <c r="E532" s="186" t="s">
        <v>75</v>
      </c>
      <c r="F532" s="44" t="s">
        <v>1128</v>
      </c>
      <c r="G532" s="130" t="s">
        <v>185</v>
      </c>
      <c r="H532" s="589">
        <v>5.79</v>
      </c>
      <c r="I532" s="130">
        <v>13</v>
      </c>
      <c r="J532" s="589">
        <v>75.27</v>
      </c>
      <c r="K532" s="589">
        <v>5.79</v>
      </c>
      <c r="L532" s="186">
        <v>13</v>
      </c>
      <c r="M532" s="589">
        <v>75.27</v>
      </c>
      <c r="N532" s="6" t="s">
        <v>1129</v>
      </c>
      <c r="O532" s="187">
        <v>45385</v>
      </c>
      <c r="P532" s="33" t="str">
        <f>HYPERLINK("https://my.zakupivli.pro/remote/dispatcher/state_purchase_view/50200587", "UA-2024-04-03-011788-a")</f>
        <v>UA-2024-04-03-011788-a</v>
      </c>
      <c r="Q532" s="117">
        <v>5.79</v>
      </c>
      <c r="R532" s="186">
        <v>13</v>
      </c>
      <c r="S532" s="117">
        <v>75.27</v>
      </c>
      <c r="T532" s="187">
        <v>45385</v>
      </c>
      <c r="U532" s="130"/>
      <c r="V532" s="186" t="s">
        <v>59</v>
      </c>
    </row>
    <row r="533" spans="1:22" ht="124.8" x14ac:dyDescent="0.3">
      <c r="A533" s="130">
        <v>527</v>
      </c>
      <c r="B533" s="190" t="s">
        <v>21</v>
      </c>
      <c r="C533" s="44" t="s">
        <v>175</v>
      </c>
      <c r="D533" s="130"/>
      <c r="E533" s="190" t="s">
        <v>75</v>
      </c>
      <c r="F533" s="44" t="s">
        <v>1130</v>
      </c>
      <c r="G533" s="130" t="s">
        <v>186</v>
      </c>
      <c r="H533" s="589"/>
      <c r="I533" s="130">
        <v>10</v>
      </c>
      <c r="J533" s="589">
        <v>208.57570000000001</v>
      </c>
      <c r="K533" s="589"/>
      <c r="L533" s="190">
        <v>10</v>
      </c>
      <c r="M533" s="589">
        <v>208.57570000000001</v>
      </c>
      <c r="N533" s="6" t="s">
        <v>1131</v>
      </c>
      <c r="O533" s="131">
        <v>45386</v>
      </c>
      <c r="P533" s="120" t="str">
        <f>HYPERLINK("https://my.zakupivli.pro/remote/dispatcher/state_purchase_view/50221480", "UA-2024-04-04-007798-a")</f>
        <v>UA-2024-04-04-007798-a</v>
      </c>
      <c r="Q533" s="130"/>
      <c r="R533" s="190">
        <v>10</v>
      </c>
      <c r="S533" s="190">
        <v>208.57570000000001</v>
      </c>
      <c r="T533" s="191">
        <v>45386</v>
      </c>
      <c r="U533" s="130"/>
      <c r="V533" s="190" t="s">
        <v>59</v>
      </c>
    </row>
    <row r="534" spans="1:22" ht="46.8" x14ac:dyDescent="0.3">
      <c r="A534" s="130">
        <v>528</v>
      </c>
      <c r="B534" s="192" t="s">
        <v>21</v>
      </c>
      <c r="C534" s="44" t="s">
        <v>1133</v>
      </c>
      <c r="D534" s="130"/>
      <c r="E534" s="192" t="s">
        <v>75</v>
      </c>
      <c r="F534" s="44" t="s">
        <v>1132</v>
      </c>
      <c r="G534" s="130" t="s">
        <v>185</v>
      </c>
      <c r="H534" s="589"/>
      <c r="I534" s="130">
        <v>53</v>
      </c>
      <c r="J534" s="589">
        <v>157.46275</v>
      </c>
      <c r="K534" s="589"/>
      <c r="L534" s="192">
        <v>53</v>
      </c>
      <c r="M534" s="589">
        <v>157.46275</v>
      </c>
      <c r="N534" s="6" t="s">
        <v>1134</v>
      </c>
      <c r="O534" s="131">
        <v>45386</v>
      </c>
      <c r="P534" s="42" t="str">
        <f>HYPERLINK("https://my.zakupivli.pro/remote/dispatcher/state_purchase_view/50227478", "UA-2024-04-04-010434-a")</f>
        <v>UA-2024-04-04-010434-a</v>
      </c>
      <c r="Q534" s="130"/>
      <c r="R534" s="130">
        <v>53</v>
      </c>
      <c r="S534" s="130">
        <v>136.929</v>
      </c>
      <c r="T534" s="131">
        <v>45406</v>
      </c>
      <c r="U534" s="130"/>
      <c r="V534" s="130"/>
    </row>
    <row r="535" spans="1:22" ht="62.4" x14ac:dyDescent="0.3">
      <c r="A535" s="130">
        <v>529</v>
      </c>
      <c r="B535" s="193" t="s">
        <v>21</v>
      </c>
      <c r="C535" s="44" t="s">
        <v>1136</v>
      </c>
      <c r="D535" s="130"/>
      <c r="E535" s="193" t="s">
        <v>75</v>
      </c>
      <c r="F535" s="44" t="s">
        <v>1135</v>
      </c>
      <c r="G535" s="130" t="s">
        <v>186</v>
      </c>
      <c r="H535" s="589"/>
      <c r="I535" s="130">
        <v>2</v>
      </c>
      <c r="J535" s="589">
        <v>83.304000000000002</v>
      </c>
      <c r="K535" s="589"/>
      <c r="L535" s="193">
        <v>2</v>
      </c>
      <c r="M535" s="589">
        <v>83.304000000000002</v>
      </c>
      <c r="N535" s="6" t="s">
        <v>1137</v>
      </c>
      <c r="O535" s="131">
        <v>45390</v>
      </c>
      <c r="P535" s="120" t="str">
        <f>HYPERLINK("https://my.zakupivli.pro/remote/dispatcher/state_purchase_view/50272627", "UA-2024-04-08-004905-a")</f>
        <v>UA-2024-04-08-004905-a</v>
      </c>
      <c r="Q535" s="130"/>
      <c r="R535" s="193">
        <v>2</v>
      </c>
      <c r="S535" s="193">
        <v>83.304000000000002</v>
      </c>
      <c r="T535" s="194">
        <v>45390</v>
      </c>
      <c r="U535" s="130"/>
      <c r="V535" s="193" t="s">
        <v>59</v>
      </c>
    </row>
    <row r="536" spans="1:22" ht="62.4" x14ac:dyDescent="0.3">
      <c r="A536" s="130">
        <v>530</v>
      </c>
      <c r="B536" s="195" t="s">
        <v>40</v>
      </c>
      <c r="C536" s="44" t="s">
        <v>541</v>
      </c>
      <c r="D536" s="130"/>
      <c r="E536" s="195" t="s">
        <v>75</v>
      </c>
      <c r="F536" s="44" t="s">
        <v>1138</v>
      </c>
      <c r="G536" s="130" t="s">
        <v>184</v>
      </c>
      <c r="H536" s="589">
        <v>161.09611000000001</v>
      </c>
      <c r="I536" s="130">
        <v>1</v>
      </c>
      <c r="J536" s="589">
        <v>161.09611000000001</v>
      </c>
      <c r="K536" s="589">
        <v>161.09611000000001</v>
      </c>
      <c r="L536" s="195">
        <v>1</v>
      </c>
      <c r="M536" s="589">
        <v>161.09611000000001</v>
      </c>
      <c r="N536" s="6" t="s">
        <v>1144</v>
      </c>
      <c r="O536" s="131">
        <v>45391</v>
      </c>
      <c r="P536" s="120" t="str">
        <f>HYPERLINK("https://my.zakupivli.pro/remote/dispatcher/state_purchase_view/50294092", "UA-2024-04-09-001535-a")</f>
        <v>UA-2024-04-09-001535-a</v>
      </c>
      <c r="Q536" s="195">
        <v>161.09611000000001</v>
      </c>
      <c r="R536" s="195">
        <v>1</v>
      </c>
      <c r="S536" s="195">
        <v>161.09611000000001</v>
      </c>
      <c r="T536" s="196">
        <v>45390</v>
      </c>
      <c r="U536" s="130"/>
      <c r="V536" s="195" t="s">
        <v>59</v>
      </c>
    </row>
    <row r="537" spans="1:22" ht="62.4" x14ac:dyDescent="0.3">
      <c r="A537" s="130">
        <v>531</v>
      </c>
      <c r="B537" s="195" t="s">
        <v>40</v>
      </c>
      <c r="C537" s="44" t="s">
        <v>541</v>
      </c>
      <c r="D537" s="130"/>
      <c r="E537" s="195" t="s">
        <v>75</v>
      </c>
      <c r="F537" s="44" t="s">
        <v>1139</v>
      </c>
      <c r="G537" s="130" t="s">
        <v>184</v>
      </c>
      <c r="H537" s="589">
        <v>172.53681</v>
      </c>
      <c r="I537" s="130">
        <v>1</v>
      </c>
      <c r="J537" s="589">
        <v>172.53681</v>
      </c>
      <c r="K537" s="589">
        <v>172.53681</v>
      </c>
      <c r="L537" s="195">
        <v>1</v>
      </c>
      <c r="M537" s="589">
        <v>172.53681</v>
      </c>
      <c r="N537" s="6" t="s">
        <v>1145</v>
      </c>
      <c r="O537" s="196">
        <v>45391</v>
      </c>
      <c r="P537" s="120" t="str">
        <f>HYPERLINK("https://my.zakupivli.pro/remote/dispatcher/state_purchase_view/50293396", "UA-2024-04-09-001245-a")</f>
        <v>UA-2024-04-09-001245-a</v>
      </c>
      <c r="Q537" s="195">
        <v>172.53681</v>
      </c>
      <c r="R537" s="195">
        <v>1</v>
      </c>
      <c r="S537" s="195">
        <v>172.53681</v>
      </c>
      <c r="T537" s="196">
        <v>45390</v>
      </c>
      <c r="U537" s="130"/>
      <c r="V537" s="195" t="s">
        <v>59</v>
      </c>
    </row>
    <row r="538" spans="1:22" ht="62.4" x14ac:dyDescent="0.3">
      <c r="A538" s="130">
        <v>532</v>
      </c>
      <c r="B538" s="195" t="s">
        <v>21</v>
      </c>
      <c r="C538" s="44" t="s">
        <v>1142</v>
      </c>
      <c r="D538" s="130"/>
      <c r="E538" s="195" t="s">
        <v>75</v>
      </c>
      <c r="F538" s="44" t="s">
        <v>1140</v>
      </c>
      <c r="G538" s="130" t="s">
        <v>186</v>
      </c>
      <c r="H538" s="589"/>
      <c r="I538" s="130">
        <v>3</v>
      </c>
      <c r="J538" s="589">
        <v>71.331670000000003</v>
      </c>
      <c r="K538" s="589"/>
      <c r="L538" s="195">
        <v>3</v>
      </c>
      <c r="M538" s="589">
        <v>71.331670000000003</v>
      </c>
      <c r="N538" s="6" t="s">
        <v>1146</v>
      </c>
      <c r="O538" s="196">
        <v>45391</v>
      </c>
      <c r="P538" s="120" t="str">
        <f>HYPERLINK("https://my.zakupivli.pro/remote/dispatcher/state_purchase_view/50291280", "UA-2024-04-09-000302-a")</f>
        <v>UA-2024-04-09-000302-a</v>
      </c>
      <c r="Q538" s="130"/>
      <c r="R538" s="195">
        <v>3</v>
      </c>
      <c r="S538" s="195">
        <v>71.331670000000003</v>
      </c>
      <c r="T538" s="196">
        <v>45390</v>
      </c>
      <c r="U538" s="130"/>
      <c r="V538" s="195" t="s">
        <v>59</v>
      </c>
    </row>
    <row r="539" spans="1:22" ht="62.4" x14ac:dyDescent="0.3">
      <c r="A539" s="130">
        <v>533</v>
      </c>
      <c r="B539" s="195" t="s">
        <v>21</v>
      </c>
      <c r="C539" s="44" t="s">
        <v>1143</v>
      </c>
      <c r="D539" s="130"/>
      <c r="E539" s="195" t="s">
        <v>75</v>
      </c>
      <c r="F539" s="44" t="s">
        <v>1141</v>
      </c>
      <c r="G539" s="130" t="s">
        <v>186</v>
      </c>
      <c r="H539" s="589"/>
      <c r="I539" s="130">
        <v>2</v>
      </c>
      <c r="J539" s="589">
        <v>69.768339999999995</v>
      </c>
      <c r="K539" s="589"/>
      <c r="L539" s="195">
        <v>2</v>
      </c>
      <c r="M539" s="589">
        <v>69.768339999999995</v>
      </c>
      <c r="N539" s="6" t="s">
        <v>1147</v>
      </c>
      <c r="O539" s="196">
        <v>45391</v>
      </c>
      <c r="P539" s="120" t="str">
        <f>HYPERLINK("https://my.zakupivli.pro/remote/dispatcher/state_purchase_view/50290774", "UA-2024-04-09-000106-a")</f>
        <v>UA-2024-04-09-000106-a</v>
      </c>
      <c r="Q539" s="130"/>
      <c r="R539" s="195">
        <v>2</v>
      </c>
      <c r="S539" s="195">
        <v>69.768339999999995</v>
      </c>
      <c r="T539" s="196">
        <v>45390</v>
      </c>
      <c r="U539" s="130"/>
      <c r="V539" s="195" t="s">
        <v>59</v>
      </c>
    </row>
    <row r="540" spans="1:22" ht="78" x14ac:dyDescent="0.3">
      <c r="A540" s="130">
        <v>534</v>
      </c>
      <c r="B540" s="130" t="s">
        <v>1150</v>
      </c>
      <c r="C540" s="44" t="s">
        <v>1152</v>
      </c>
      <c r="D540" s="130"/>
      <c r="E540" s="195" t="s">
        <v>75</v>
      </c>
      <c r="F540" s="44" t="s">
        <v>1148</v>
      </c>
      <c r="G540" s="130" t="s">
        <v>1149</v>
      </c>
      <c r="H540" s="589">
        <v>45.5</v>
      </c>
      <c r="I540" s="130">
        <v>1</v>
      </c>
      <c r="J540" s="589">
        <v>45.5</v>
      </c>
      <c r="K540" s="589">
        <v>45.5</v>
      </c>
      <c r="L540" s="195">
        <v>1</v>
      </c>
      <c r="M540" s="589">
        <v>45.5</v>
      </c>
      <c r="N540" s="6" t="s">
        <v>1151</v>
      </c>
      <c r="O540" s="131">
        <v>45391</v>
      </c>
      <c r="P540" s="33" t="str">
        <f>HYPERLINK("https://my.zakupivli.pro/remote/dispatcher/state_purchase_view/50317147", "UA-2024-04-09-011832-a")</f>
        <v>UA-2024-04-09-011832-a</v>
      </c>
      <c r="Q540" s="117">
        <v>45.5</v>
      </c>
      <c r="R540" s="195">
        <v>1</v>
      </c>
      <c r="S540" s="117">
        <v>45.5</v>
      </c>
      <c r="T540" s="196">
        <v>45391</v>
      </c>
      <c r="U540" s="130"/>
      <c r="V540" s="195" t="s">
        <v>59</v>
      </c>
    </row>
    <row r="541" spans="1:22" ht="46.8" x14ac:dyDescent="0.3">
      <c r="A541" s="130">
        <v>535</v>
      </c>
      <c r="B541" s="197" t="s">
        <v>21</v>
      </c>
      <c r="C541" s="44" t="s">
        <v>32</v>
      </c>
      <c r="D541" s="130"/>
      <c r="E541" s="446" t="s">
        <v>20</v>
      </c>
      <c r="F541" s="44" t="s">
        <v>1153</v>
      </c>
      <c r="G541" s="130" t="s">
        <v>186</v>
      </c>
      <c r="H541" s="589"/>
      <c r="I541" s="130">
        <v>16</v>
      </c>
      <c r="J541" s="589">
        <v>11816.075000000001</v>
      </c>
      <c r="K541" s="589"/>
      <c r="L541" s="197">
        <v>16</v>
      </c>
      <c r="M541" s="589">
        <v>11816.075000000001</v>
      </c>
      <c r="N541" s="6" t="s">
        <v>1156</v>
      </c>
      <c r="O541" s="131">
        <v>45392</v>
      </c>
      <c r="P541" s="33" t="str">
        <f>HYPERLINK("https://my.zakupivli.pro/remote/dispatcher/state_purchase_view/50343438", "UA-2024-04-10-010420-a")</f>
        <v>UA-2024-04-10-010420-a</v>
      </c>
      <c r="Q541" s="130"/>
      <c r="R541" s="130">
        <v>16</v>
      </c>
      <c r="S541" s="130">
        <v>11797.116</v>
      </c>
      <c r="T541" s="131"/>
      <c r="U541" s="130"/>
      <c r="V541" s="130"/>
    </row>
    <row r="542" spans="1:22" ht="62.4" x14ac:dyDescent="0.3">
      <c r="A542" s="130">
        <v>536</v>
      </c>
      <c r="B542" s="197" t="s">
        <v>21</v>
      </c>
      <c r="C542" s="44" t="s">
        <v>1155</v>
      </c>
      <c r="D542" s="130"/>
      <c r="E542" s="197" t="s">
        <v>75</v>
      </c>
      <c r="F542" s="44" t="s">
        <v>1154</v>
      </c>
      <c r="G542" s="130" t="s">
        <v>1158</v>
      </c>
      <c r="H542" s="589"/>
      <c r="I542" s="130">
        <v>750</v>
      </c>
      <c r="J542" s="589">
        <v>78.674999999999997</v>
      </c>
      <c r="K542" s="589"/>
      <c r="L542" s="197">
        <v>750</v>
      </c>
      <c r="M542" s="589">
        <v>78.674999999999997</v>
      </c>
      <c r="N542" s="6" t="s">
        <v>1157</v>
      </c>
      <c r="O542" s="198">
        <v>45392</v>
      </c>
      <c r="P542" s="33" t="str">
        <f>HYPERLINK("https://my.zakupivli.pro/remote/dispatcher/state_purchase_view/50326211", "UA-2024-04-10-002649-a")</f>
        <v>UA-2024-04-10-002649-a</v>
      </c>
      <c r="Q542" s="130"/>
      <c r="R542" s="197">
        <v>750</v>
      </c>
      <c r="S542" s="197">
        <v>78.674999999999997</v>
      </c>
      <c r="T542" s="198">
        <v>45392</v>
      </c>
      <c r="U542" s="130"/>
      <c r="V542" s="197" t="s">
        <v>59</v>
      </c>
    </row>
    <row r="543" spans="1:22" ht="62.4" x14ac:dyDescent="0.3">
      <c r="A543" s="130">
        <v>537</v>
      </c>
      <c r="B543" s="200" t="s">
        <v>40</v>
      </c>
      <c r="C543" s="44" t="s">
        <v>73</v>
      </c>
      <c r="D543" s="130"/>
      <c r="E543" s="200" t="s">
        <v>75</v>
      </c>
      <c r="F543" s="44" t="s">
        <v>1159</v>
      </c>
      <c r="G543" s="130" t="s">
        <v>184</v>
      </c>
      <c r="H543" s="589">
        <v>159.22534999999999</v>
      </c>
      <c r="I543" s="130">
        <v>1</v>
      </c>
      <c r="J543" s="589">
        <v>159.22534999999999</v>
      </c>
      <c r="K543" s="589">
        <v>159.22534999999999</v>
      </c>
      <c r="L543" s="200">
        <v>1</v>
      </c>
      <c r="M543" s="589">
        <v>159.22534999999999</v>
      </c>
      <c r="N543" s="6" t="s">
        <v>1160</v>
      </c>
      <c r="O543" s="131">
        <v>45393</v>
      </c>
      <c r="P543" s="33" t="str">
        <f>HYPERLINK("https://my.zakupivli.pro/remote/dispatcher/state_purchase_view/50369574", "UA-2024-04-11-009544-a")</f>
        <v>UA-2024-04-11-009544-a</v>
      </c>
      <c r="Q543" s="200">
        <v>159.22534999999999</v>
      </c>
      <c r="R543" s="200">
        <v>1</v>
      </c>
      <c r="S543" s="200">
        <v>159.22534999999999</v>
      </c>
      <c r="T543" s="199">
        <v>45393</v>
      </c>
      <c r="U543" s="130"/>
      <c r="V543" s="200" t="s">
        <v>59</v>
      </c>
    </row>
    <row r="544" spans="1:22" ht="62.4" x14ac:dyDescent="0.3">
      <c r="A544" s="130">
        <v>538</v>
      </c>
      <c r="B544" s="201" t="s">
        <v>21</v>
      </c>
      <c r="C544" s="41" t="s">
        <v>1069</v>
      </c>
      <c r="D544" s="130"/>
      <c r="E544" s="201" t="s">
        <v>75</v>
      </c>
      <c r="F544" s="44" t="s">
        <v>1067</v>
      </c>
      <c r="G544" s="203" t="s">
        <v>186</v>
      </c>
      <c r="H544" s="589"/>
      <c r="I544" s="130">
        <v>11</v>
      </c>
      <c r="J544" s="589">
        <v>83.200999999999993</v>
      </c>
      <c r="K544" s="589"/>
      <c r="L544" s="201">
        <v>11</v>
      </c>
      <c r="M544" s="589">
        <v>83.200999999999993</v>
      </c>
      <c r="N544" s="6" t="s">
        <v>1161</v>
      </c>
      <c r="O544" s="131"/>
      <c r="P544" s="33" t="str">
        <f>HYPERLINK("https://my.zakupivli.pro/remote/dispatcher/state_purchase_view/50398330", "UA-2024-04-12-009467-a")</f>
        <v>UA-2024-04-12-009467-a</v>
      </c>
      <c r="Q544" s="130"/>
      <c r="R544" s="201">
        <v>11</v>
      </c>
      <c r="S544" s="201">
        <v>83.200999999999993</v>
      </c>
      <c r="T544" s="131">
        <v>45394</v>
      </c>
      <c r="U544" s="130"/>
      <c r="V544" s="201" t="s">
        <v>59</v>
      </c>
    </row>
    <row r="545" spans="1:22" ht="62.4" x14ac:dyDescent="0.3">
      <c r="A545" s="130">
        <v>539</v>
      </c>
      <c r="B545" s="202" t="s">
        <v>21</v>
      </c>
      <c r="C545" s="44" t="s">
        <v>1163</v>
      </c>
      <c r="D545" s="130"/>
      <c r="E545" s="202" t="s">
        <v>75</v>
      </c>
      <c r="F545" s="206" t="s">
        <v>1162</v>
      </c>
      <c r="G545" s="130" t="s">
        <v>185</v>
      </c>
      <c r="H545" s="589"/>
      <c r="I545" s="130">
        <v>359</v>
      </c>
      <c r="J545" s="589">
        <v>42.864600000000003</v>
      </c>
      <c r="K545" s="589"/>
      <c r="L545" s="202">
        <v>359</v>
      </c>
      <c r="M545" s="589">
        <v>42.864600000000003</v>
      </c>
      <c r="N545" s="6" t="s">
        <v>1164</v>
      </c>
      <c r="O545" s="131">
        <v>45398</v>
      </c>
      <c r="P545" s="33" t="str">
        <f>HYPERLINK("https://my.zakupivli.pro/remote/dispatcher/state_purchase_view/50434062", "UA-2024-04-16-000092-a")</f>
        <v>UA-2024-04-16-000092-a</v>
      </c>
      <c r="Q545" s="130"/>
      <c r="R545" s="202">
        <v>359</v>
      </c>
      <c r="S545" s="202">
        <v>42.864600000000003</v>
      </c>
      <c r="T545" s="131">
        <v>45397</v>
      </c>
      <c r="U545" s="130"/>
      <c r="V545" s="202" t="s">
        <v>59</v>
      </c>
    </row>
    <row r="546" spans="1:22" ht="46.8" x14ac:dyDescent="0.3">
      <c r="A546" s="130">
        <v>540</v>
      </c>
      <c r="B546" s="204" t="s">
        <v>21</v>
      </c>
      <c r="C546" s="44" t="s">
        <v>1168</v>
      </c>
      <c r="D546" s="204" t="s">
        <v>58</v>
      </c>
      <c r="E546" s="204" t="s">
        <v>75</v>
      </c>
      <c r="F546" s="44" t="s">
        <v>1165</v>
      </c>
      <c r="G546" s="105" t="s">
        <v>186</v>
      </c>
      <c r="H546" s="589"/>
      <c r="I546" s="130">
        <v>4</v>
      </c>
      <c r="J546" s="589">
        <v>1298</v>
      </c>
      <c r="K546" s="589"/>
      <c r="L546" s="204">
        <v>4</v>
      </c>
      <c r="M546" s="589">
        <v>1298</v>
      </c>
      <c r="N546" s="6" t="s">
        <v>1169</v>
      </c>
      <c r="O546" s="131">
        <v>45400</v>
      </c>
      <c r="P546" s="33" t="str">
        <f>HYPERLINK("https://my.zakupivli.pro/remote/dispatcher/state_purchase_view/50523737", "UA-2024-04-18-012162-a")</f>
        <v>UA-2024-04-18-012162-a</v>
      </c>
      <c r="Q546" s="130"/>
      <c r="R546" s="130">
        <v>4</v>
      </c>
      <c r="S546" s="117">
        <v>1297</v>
      </c>
      <c r="T546" s="131">
        <v>45414</v>
      </c>
      <c r="U546" s="130"/>
      <c r="V546" s="130"/>
    </row>
    <row r="547" spans="1:22" ht="62.4" x14ac:dyDescent="0.3">
      <c r="A547" s="130">
        <v>541</v>
      </c>
      <c r="B547" s="204" t="s">
        <v>40</v>
      </c>
      <c r="C547" s="44" t="s">
        <v>884</v>
      </c>
      <c r="D547" s="130"/>
      <c r="E547" s="204" t="s">
        <v>20</v>
      </c>
      <c r="F547" s="44" t="s">
        <v>1166</v>
      </c>
      <c r="G547" s="105" t="s">
        <v>184</v>
      </c>
      <c r="H547" s="589">
        <v>254.27267000000001</v>
      </c>
      <c r="I547" s="130">
        <v>1</v>
      </c>
      <c r="J547" s="589">
        <v>254.27267000000001</v>
      </c>
      <c r="K547" s="589">
        <v>254.27267000000001</v>
      </c>
      <c r="L547" s="204">
        <v>1</v>
      </c>
      <c r="M547" s="589">
        <v>254.27267000000001</v>
      </c>
      <c r="N547" s="6" t="s">
        <v>1170</v>
      </c>
      <c r="O547" s="205">
        <v>45400</v>
      </c>
      <c r="P547" s="33" t="str">
        <f>HYPERLINK("https://my.zakupivli.pro/remote/dispatcher/state_purchase_view/50523214", "UA-2024-04-18-011880-a")</f>
        <v>UA-2024-04-18-011880-a</v>
      </c>
      <c r="Q547" s="204">
        <v>254.27267000000001</v>
      </c>
      <c r="R547" s="204">
        <v>1</v>
      </c>
      <c r="S547" s="204">
        <v>254.27267000000001</v>
      </c>
      <c r="T547" s="205">
        <v>45400</v>
      </c>
      <c r="U547" s="130"/>
      <c r="V547" s="204" t="s">
        <v>59</v>
      </c>
    </row>
    <row r="548" spans="1:22" ht="62.4" x14ac:dyDescent="0.3">
      <c r="A548" s="130">
        <v>542</v>
      </c>
      <c r="B548" s="204" t="s">
        <v>40</v>
      </c>
      <c r="C548" s="44" t="s">
        <v>41</v>
      </c>
      <c r="D548" s="130"/>
      <c r="E548" s="204" t="s">
        <v>75</v>
      </c>
      <c r="F548" s="44" t="s">
        <v>1167</v>
      </c>
      <c r="G548" s="105" t="s">
        <v>184</v>
      </c>
      <c r="H548" s="589">
        <v>639.673</v>
      </c>
      <c r="I548" s="130">
        <v>1</v>
      </c>
      <c r="J548" s="589">
        <v>639.673</v>
      </c>
      <c r="K548" s="589">
        <v>639.673</v>
      </c>
      <c r="L548" s="204">
        <v>1</v>
      </c>
      <c r="M548" s="589">
        <v>639.673</v>
      </c>
      <c r="N548" s="6" t="s">
        <v>1171</v>
      </c>
      <c r="O548" s="205">
        <v>45400</v>
      </c>
      <c r="P548" s="33" t="str">
        <f>HYPERLINK("https://my.zakupivli.pro/remote/dispatcher/state_purchase_view/50517136", "UA-2024-04-18-009207-a")</f>
        <v>UA-2024-04-18-009207-a</v>
      </c>
      <c r="Q548" s="204">
        <v>639.673</v>
      </c>
      <c r="R548" s="204">
        <v>1</v>
      </c>
      <c r="S548" s="204">
        <v>639.673</v>
      </c>
      <c r="T548" s="205">
        <v>45400</v>
      </c>
      <c r="U548" s="130"/>
      <c r="V548" s="204" t="s">
        <v>59</v>
      </c>
    </row>
    <row r="549" spans="1:22" ht="62.4" x14ac:dyDescent="0.3">
      <c r="A549" s="130">
        <v>543</v>
      </c>
      <c r="B549" s="207" t="s">
        <v>40</v>
      </c>
      <c r="C549" s="44" t="s">
        <v>41</v>
      </c>
      <c r="D549" s="130"/>
      <c r="E549" s="207" t="s">
        <v>20</v>
      </c>
      <c r="F549" s="44" t="s">
        <v>1173</v>
      </c>
      <c r="G549" s="105" t="s">
        <v>184</v>
      </c>
      <c r="H549" s="589">
        <v>463.27404000000001</v>
      </c>
      <c r="I549" s="130">
        <v>1</v>
      </c>
      <c r="J549" s="589">
        <v>463.27404000000001</v>
      </c>
      <c r="K549" s="589">
        <v>463.27404000000001</v>
      </c>
      <c r="L549" s="207">
        <v>1</v>
      </c>
      <c r="M549" s="589">
        <v>463.27404000000001</v>
      </c>
      <c r="N549" s="6" t="s">
        <v>1174</v>
      </c>
      <c r="O549" s="208">
        <v>45406</v>
      </c>
      <c r="P549" s="42" t="str">
        <f>HYPERLINK("https://my.zakupivli.pro/remote/dispatcher/state_purchase_view/50625843", "UA-2024-04-24-006858-a")</f>
        <v>UA-2024-04-24-006858-a</v>
      </c>
      <c r="Q549" s="207">
        <v>463.27404000000001</v>
      </c>
      <c r="R549" s="207">
        <v>1</v>
      </c>
      <c r="S549" s="207">
        <v>463.27404000000001</v>
      </c>
      <c r="T549" s="131">
        <v>45406</v>
      </c>
      <c r="U549" s="130"/>
      <c r="V549" s="207" t="s">
        <v>59</v>
      </c>
    </row>
    <row r="550" spans="1:22" ht="78" x14ac:dyDescent="0.3">
      <c r="A550" s="130">
        <v>544</v>
      </c>
      <c r="B550" s="209" t="s">
        <v>21</v>
      </c>
      <c r="C550" s="154" t="s">
        <v>1178</v>
      </c>
      <c r="D550" s="214" t="s">
        <v>58</v>
      </c>
      <c r="E550" s="209" t="s">
        <v>75</v>
      </c>
      <c r="F550" s="94" t="s">
        <v>1175</v>
      </c>
      <c r="G550" s="130" t="s">
        <v>185</v>
      </c>
      <c r="H550" s="589"/>
      <c r="I550" s="130">
        <v>2</v>
      </c>
      <c r="J550" s="589">
        <v>252.75</v>
      </c>
      <c r="K550" s="589"/>
      <c r="L550" s="209">
        <v>2</v>
      </c>
      <c r="M550" s="589">
        <v>252.75</v>
      </c>
      <c r="N550" s="6" t="s">
        <v>1176</v>
      </c>
      <c r="O550" s="131">
        <v>45407</v>
      </c>
      <c r="P550" s="211" t="s">
        <v>1177</v>
      </c>
      <c r="Q550" s="130"/>
      <c r="R550" s="130"/>
      <c r="S550" s="130"/>
      <c r="T550" s="131"/>
      <c r="U550" s="228" t="s">
        <v>93</v>
      </c>
      <c r="V550" s="130"/>
    </row>
    <row r="551" spans="1:22" ht="78" x14ac:dyDescent="0.3">
      <c r="A551" s="130">
        <v>545</v>
      </c>
      <c r="B551" s="210" t="s">
        <v>40</v>
      </c>
      <c r="C551" s="44" t="s">
        <v>884</v>
      </c>
      <c r="D551" s="130"/>
      <c r="E551" s="210" t="s">
        <v>20</v>
      </c>
      <c r="F551" s="44" t="s">
        <v>1179</v>
      </c>
      <c r="G551" s="105" t="s">
        <v>184</v>
      </c>
      <c r="H551" s="589">
        <v>116.39008</v>
      </c>
      <c r="I551" s="130">
        <v>1</v>
      </c>
      <c r="J551" s="589">
        <v>116.39008</v>
      </c>
      <c r="K551" s="589">
        <v>116.39008</v>
      </c>
      <c r="L551" s="210">
        <v>1</v>
      </c>
      <c r="M551" s="589">
        <v>116.39008</v>
      </c>
      <c r="N551" s="6" t="s">
        <v>1180</v>
      </c>
      <c r="O551" s="131">
        <v>45408</v>
      </c>
      <c r="P551" s="33" t="str">
        <f>HYPERLINK("https://my.zakupivli.pro/remote/dispatcher/state_purchase_view/50678782", "UA-2024-04-26-001577-a")</f>
        <v>UA-2024-04-26-001577-a</v>
      </c>
      <c r="Q551" s="210">
        <v>116.39008</v>
      </c>
      <c r="R551" s="210">
        <v>1</v>
      </c>
      <c r="S551" s="210">
        <v>116.39008</v>
      </c>
      <c r="T551" s="131">
        <v>45407</v>
      </c>
      <c r="U551" s="130"/>
      <c r="V551" s="210" t="s">
        <v>59</v>
      </c>
    </row>
    <row r="552" spans="1:22" ht="62.4" x14ac:dyDescent="0.3">
      <c r="A552" s="130">
        <v>546</v>
      </c>
      <c r="B552" s="212" t="s">
        <v>40</v>
      </c>
      <c r="C552" s="44" t="s">
        <v>73</v>
      </c>
      <c r="D552" s="130"/>
      <c r="E552" s="212" t="s">
        <v>75</v>
      </c>
      <c r="F552" s="44" t="s">
        <v>1181</v>
      </c>
      <c r="G552" s="105" t="s">
        <v>184</v>
      </c>
      <c r="H552" s="589">
        <v>57.985419999999998</v>
      </c>
      <c r="I552" s="212">
        <v>1</v>
      </c>
      <c r="J552" s="589">
        <v>57.985419999999998</v>
      </c>
      <c r="K552" s="589">
        <v>57.985419999999998</v>
      </c>
      <c r="L552" s="212">
        <v>1</v>
      </c>
      <c r="M552" s="589">
        <v>57.985419999999998</v>
      </c>
      <c r="N552" s="6" t="s">
        <v>1184</v>
      </c>
      <c r="O552" s="131">
        <v>45412</v>
      </c>
      <c r="P552" s="33" t="str">
        <f>HYPERLINK("https://my.zakupivli.pro/remote/dispatcher/state_purchase_view/50748827", "UA-2024-04-30-008406-a")</f>
        <v>UA-2024-04-30-008406-a</v>
      </c>
      <c r="Q552" s="212">
        <v>57.985419999999998</v>
      </c>
      <c r="R552" s="212">
        <v>1</v>
      </c>
      <c r="S552" s="212">
        <v>57.985419999999998</v>
      </c>
      <c r="T552" s="213">
        <v>45412</v>
      </c>
      <c r="U552" s="130"/>
      <c r="V552" s="212" t="s">
        <v>59</v>
      </c>
    </row>
    <row r="553" spans="1:22" ht="62.4" x14ac:dyDescent="0.3">
      <c r="A553" s="130">
        <v>547</v>
      </c>
      <c r="B553" s="212" t="s">
        <v>40</v>
      </c>
      <c r="C553" s="44" t="s">
        <v>41</v>
      </c>
      <c r="D553" s="130"/>
      <c r="E553" s="212" t="s">
        <v>20</v>
      </c>
      <c r="F553" s="44" t="s">
        <v>1182</v>
      </c>
      <c r="G553" s="105" t="s">
        <v>184</v>
      </c>
      <c r="H553" s="589">
        <v>200.37389999999999</v>
      </c>
      <c r="I553" s="212">
        <v>1</v>
      </c>
      <c r="J553" s="589">
        <v>200.37389999999999</v>
      </c>
      <c r="K553" s="589">
        <v>200.37389999999999</v>
      </c>
      <c r="L553" s="212">
        <v>1</v>
      </c>
      <c r="M553" s="589">
        <v>200.37389999999999</v>
      </c>
      <c r="N553" s="6" t="s">
        <v>1185</v>
      </c>
      <c r="O553" s="213">
        <v>45412</v>
      </c>
      <c r="P553" s="33" t="str">
        <f>HYPERLINK("https://my.zakupivli.pro/remote/dispatcher/state_purchase_view/50747345", "UA-2024-04-30-007763-a")</f>
        <v>UA-2024-04-30-007763-a</v>
      </c>
      <c r="Q553" s="212">
        <v>200.37389999999999</v>
      </c>
      <c r="R553" s="212">
        <v>1</v>
      </c>
      <c r="S553" s="212">
        <v>200.37389999999999</v>
      </c>
      <c r="T553" s="213">
        <v>45412</v>
      </c>
      <c r="U553" s="130"/>
      <c r="V553" s="212" t="s">
        <v>59</v>
      </c>
    </row>
    <row r="554" spans="1:22" ht="62.4" x14ac:dyDescent="0.3">
      <c r="A554" s="130">
        <v>548</v>
      </c>
      <c r="B554" s="212" t="s">
        <v>40</v>
      </c>
      <c r="C554" s="44" t="s">
        <v>884</v>
      </c>
      <c r="D554" s="130"/>
      <c r="E554" s="212" t="s">
        <v>20</v>
      </c>
      <c r="F554" s="44" t="s">
        <v>1183</v>
      </c>
      <c r="G554" s="105" t="s">
        <v>184</v>
      </c>
      <c r="H554" s="589">
        <v>304.02249999999998</v>
      </c>
      <c r="I554" s="212">
        <v>1</v>
      </c>
      <c r="J554" s="589">
        <v>304.02249999999998</v>
      </c>
      <c r="K554" s="589">
        <v>304.02249999999998</v>
      </c>
      <c r="L554" s="212">
        <v>1</v>
      </c>
      <c r="M554" s="589">
        <v>304.02249999999998</v>
      </c>
      <c r="N554" s="6" t="s">
        <v>1186</v>
      </c>
      <c r="O554" s="213">
        <v>45412</v>
      </c>
      <c r="P554" s="33" t="str">
        <f>HYPERLINK("https://my.zakupivli.pro/remote/dispatcher/state_purchase_view/50747236", "UA-2024-04-30-007691-a")</f>
        <v>UA-2024-04-30-007691-a</v>
      </c>
      <c r="Q554" s="212">
        <v>304.02249999999998</v>
      </c>
      <c r="R554" s="212">
        <v>1</v>
      </c>
      <c r="S554" s="212">
        <v>304.02249999999998</v>
      </c>
      <c r="T554" s="213">
        <v>45412</v>
      </c>
      <c r="U554" s="130"/>
      <c r="V554" s="212" t="s">
        <v>59</v>
      </c>
    </row>
    <row r="555" spans="1:22" ht="62.4" x14ac:dyDescent="0.3">
      <c r="A555" s="130">
        <v>549</v>
      </c>
      <c r="B555" s="214" t="s">
        <v>21</v>
      </c>
      <c r="C555" s="44" t="s">
        <v>412</v>
      </c>
      <c r="D555" s="130"/>
      <c r="E555" s="214" t="s">
        <v>75</v>
      </c>
      <c r="F555" s="44" t="s">
        <v>1187</v>
      </c>
      <c r="G555" s="130" t="s">
        <v>185</v>
      </c>
      <c r="H555" s="589">
        <v>64.5</v>
      </c>
      <c r="I555" s="130">
        <v>1</v>
      </c>
      <c r="J555" s="589">
        <v>64.5</v>
      </c>
      <c r="K555" s="589">
        <v>64.5</v>
      </c>
      <c r="L555" s="214">
        <v>1</v>
      </c>
      <c r="M555" s="589">
        <v>64.5</v>
      </c>
      <c r="N555" s="6" t="s">
        <v>1188</v>
      </c>
      <c r="O555" s="131">
        <v>45418</v>
      </c>
      <c r="P555" s="33" t="str">
        <f>HYPERLINK("https://my.zakupivli.pro/remote/dispatcher/state_purchase_view/50828435", "UA-2024-05-06-000775-a")</f>
        <v>UA-2024-05-06-000775-a</v>
      </c>
      <c r="Q555" s="117">
        <v>64.5</v>
      </c>
      <c r="R555" s="214">
        <v>1</v>
      </c>
      <c r="S555" s="117">
        <v>64.5</v>
      </c>
      <c r="T555" s="131">
        <v>45418</v>
      </c>
      <c r="U555" s="130"/>
      <c r="V555" s="214" t="s">
        <v>59</v>
      </c>
    </row>
    <row r="556" spans="1:22" ht="62.4" x14ac:dyDescent="0.3">
      <c r="A556" s="130">
        <v>550</v>
      </c>
      <c r="B556" s="215" t="s">
        <v>40</v>
      </c>
      <c r="C556" s="44" t="s">
        <v>884</v>
      </c>
      <c r="D556" s="130"/>
      <c r="E556" s="215" t="s">
        <v>20</v>
      </c>
      <c r="F556" s="44" t="s">
        <v>1189</v>
      </c>
      <c r="G556" s="105" t="s">
        <v>184</v>
      </c>
      <c r="H556" s="589">
        <v>301.01701000000003</v>
      </c>
      <c r="I556" s="130">
        <v>1</v>
      </c>
      <c r="J556" s="589">
        <v>301.01701000000003</v>
      </c>
      <c r="K556" s="589">
        <v>301.01701000000003</v>
      </c>
      <c r="L556" s="215">
        <v>1</v>
      </c>
      <c r="M556" s="589">
        <v>301.01701000000003</v>
      </c>
      <c r="N556" s="6" t="s">
        <v>1190</v>
      </c>
      <c r="O556" s="216">
        <v>45418</v>
      </c>
      <c r="P556" s="33" t="str">
        <f>HYPERLINK("https://my.zakupivli.pro/remote/dispatcher/state_purchase_view/50840153", "UA-2024-05-06-005957-a")</f>
        <v>UA-2024-05-06-005957-a</v>
      </c>
      <c r="Q556" s="215">
        <v>301.01701000000003</v>
      </c>
      <c r="R556" s="215">
        <v>1</v>
      </c>
      <c r="S556" s="215">
        <v>301.01701000000003</v>
      </c>
      <c r="T556" s="216">
        <v>45418</v>
      </c>
      <c r="U556" s="130"/>
      <c r="V556" s="215" t="s">
        <v>59</v>
      </c>
    </row>
    <row r="557" spans="1:22" ht="62.4" x14ac:dyDescent="0.3">
      <c r="A557" s="130">
        <v>551</v>
      </c>
      <c r="B557" s="218" t="s">
        <v>40</v>
      </c>
      <c r="C557" s="44" t="s">
        <v>73</v>
      </c>
      <c r="D557" s="130"/>
      <c r="E557" s="218" t="s">
        <v>75</v>
      </c>
      <c r="F557" s="44" t="s">
        <v>1191</v>
      </c>
      <c r="G557" s="105" t="s">
        <v>184</v>
      </c>
      <c r="H557" s="589">
        <v>1249.1666700000001</v>
      </c>
      <c r="I557" s="218">
        <v>1</v>
      </c>
      <c r="J557" s="589">
        <v>1249.1666700000001</v>
      </c>
      <c r="K557" s="589">
        <v>1249.1666700000001</v>
      </c>
      <c r="L557" s="218">
        <v>1</v>
      </c>
      <c r="M557" s="589">
        <v>1249.1666700000001</v>
      </c>
      <c r="N557" s="6" t="s">
        <v>1193</v>
      </c>
      <c r="O557" s="217">
        <v>45419</v>
      </c>
      <c r="P557" s="33" t="str">
        <f>HYPERLINK("https://my.zakupivli.pro/remote/dispatcher/state_purchase_view/50870545", "UA-2024-05-08-001172-a")</f>
        <v>UA-2024-05-08-001172-a</v>
      </c>
      <c r="Q557" s="218">
        <v>1249.1666700000001</v>
      </c>
      <c r="R557" s="218">
        <v>1</v>
      </c>
      <c r="S557" s="218">
        <v>1249.1666700000001</v>
      </c>
      <c r="T557" s="131">
        <v>45420</v>
      </c>
      <c r="U557" s="130"/>
      <c r="V557" s="218" t="s">
        <v>59</v>
      </c>
    </row>
    <row r="558" spans="1:22" ht="62.4" x14ac:dyDescent="0.3">
      <c r="A558" s="130">
        <v>552</v>
      </c>
      <c r="B558" s="218" t="s">
        <v>40</v>
      </c>
      <c r="C558" s="44" t="s">
        <v>73</v>
      </c>
      <c r="D558" s="130"/>
      <c r="E558" s="218" t="s">
        <v>75</v>
      </c>
      <c r="F558" s="44" t="s">
        <v>1192</v>
      </c>
      <c r="G558" s="105" t="s">
        <v>184</v>
      </c>
      <c r="H558" s="589">
        <v>1249.1666700000001</v>
      </c>
      <c r="I558" s="218">
        <v>1</v>
      </c>
      <c r="J558" s="589">
        <v>1249.1666700000001</v>
      </c>
      <c r="K558" s="589">
        <v>1249.1666700000001</v>
      </c>
      <c r="L558" s="218">
        <v>1</v>
      </c>
      <c r="M558" s="589">
        <v>1249.1666700000001</v>
      </c>
      <c r="N558" s="6" t="s">
        <v>1194</v>
      </c>
      <c r="O558" s="217">
        <v>45419</v>
      </c>
      <c r="P558" s="33" t="str">
        <f>HYPERLINK("https://my.zakupivli.pro/remote/dispatcher/state_purchase_view/50869659", "UA-2024-05-08-000784-a")</f>
        <v>UA-2024-05-08-000784-a</v>
      </c>
      <c r="Q558" s="218">
        <v>1249.1666700000001</v>
      </c>
      <c r="R558" s="218">
        <v>1</v>
      </c>
      <c r="S558" s="218">
        <v>1249.1666700000001</v>
      </c>
      <c r="T558" s="217">
        <v>45420</v>
      </c>
      <c r="U558" s="130"/>
      <c r="V558" s="218" t="s">
        <v>59</v>
      </c>
    </row>
    <row r="559" spans="1:22" ht="62.4" x14ac:dyDescent="0.3">
      <c r="A559" s="130">
        <v>553</v>
      </c>
      <c r="B559" s="219" t="s">
        <v>21</v>
      </c>
      <c r="C559" s="44" t="s">
        <v>894</v>
      </c>
      <c r="D559" s="130"/>
      <c r="E559" s="219" t="s">
        <v>75</v>
      </c>
      <c r="F559" s="223" t="s">
        <v>1001</v>
      </c>
      <c r="G559" s="130" t="s">
        <v>185</v>
      </c>
      <c r="H559" s="589">
        <v>17.148</v>
      </c>
      <c r="I559" s="130">
        <v>5</v>
      </c>
      <c r="J559" s="589">
        <v>85.74</v>
      </c>
      <c r="K559" s="589">
        <v>17.148</v>
      </c>
      <c r="L559" s="219">
        <v>5</v>
      </c>
      <c r="M559" s="589">
        <v>85.74</v>
      </c>
      <c r="N559" s="6" t="s">
        <v>1197</v>
      </c>
      <c r="O559" s="131">
        <v>45421</v>
      </c>
      <c r="P559" s="33" t="str">
        <f>HYPERLINK("https://my.zakupivli.pro/remote/dispatcher/state_purchase_view/50900302", "UA-2024-05-09-002161-a")</f>
        <v>UA-2024-05-09-002161-a</v>
      </c>
      <c r="Q559" s="219">
        <v>17.148</v>
      </c>
      <c r="R559" s="219">
        <v>5</v>
      </c>
      <c r="S559" s="117">
        <v>85.74</v>
      </c>
      <c r="T559" s="220">
        <v>45421</v>
      </c>
      <c r="U559" s="130"/>
      <c r="V559" s="219" t="s">
        <v>59</v>
      </c>
    </row>
    <row r="560" spans="1:22" ht="62.4" x14ac:dyDescent="0.3">
      <c r="A560" s="130">
        <v>554</v>
      </c>
      <c r="B560" s="219" t="s">
        <v>21</v>
      </c>
      <c r="C560" s="44" t="s">
        <v>1196</v>
      </c>
      <c r="D560" s="130"/>
      <c r="E560" s="219" t="s">
        <v>75</v>
      </c>
      <c r="F560" s="223" t="s">
        <v>1195</v>
      </c>
      <c r="G560" s="130" t="s">
        <v>186</v>
      </c>
      <c r="H560" s="589"/>
      <c r="I560" s="130">
        <v>3</v>
      </c>
      <c r="J560" s="589">
        <v>55.734999999999999</v>
      </c>
      <c r="K560" s="589"/>
      <c r="L560" s="219">
        <v>3</v>
      </c>
      <c r="M560" s="589">
        <v>55.734999999999999</v>
      </c>
      <c r="N560" s="6" t="s">
        <v>1198</v>
      </c>
      <c r="O560" s="220">
        <v>45421</v>
      </c>
      <c r="P560" s="33" t="str">
        <f>HYPERLINK("https://my.zakupivli.pro/remote/dispatcher/state_purchase_view/50899716", "UA-2024-05-09-001892-a")</f>
        <v>UA-2024-05-09-001892-a</v>
      </c>
      <c r="Q560" s="130"/>
      <c r="R560" s="219">
        <v>3</v>
      </c>
      <c r="S560" s="219">
        <v>55.734999999999999</v>
      </c>
      <c r="T560" s="220">
        <v>45421</v>
      </c>
      <c r="U560" s="130"/>
      <c r="V560" s="219" t="s">
        <v>59</v>
      </c>
    </row>
    <row r="561" spans="1:22" ht="46.8" x14ac:dyDescent="0.3">
      <c r="A561" s="130">
        <v>555</v>
      </c>
      <c r="B561" s="221" t="s">
        <v>21</v>
      </c>
      <c r="C561" s="44" t="s">
        <v>32</v>
      </c>
      <c r="D561" s="221" t="s">
        <v>58</v>
      </c>
      <c r="E561" s="221" t="s">
        <v>75</v>
      </c>
      <c r="F561" s="44" t="s">
        <v>1153</v>
      </c>
      <c r="G561" s="130" t="s">
        <v>185</v>
      </c>
      <c r="H561" s="589"/>
      <c r="I561" s="130">
        <v>3</v>
      </c>
      <c r="J561" s="589">
        <v>423.58332999999999</v>
      </c>
      <c r="K561" s="589"/>
      <c r="L561" s="221">
        <v>3</v>
      </c>
      <c r="M561" s="589">
        <v>423.58332999999999</v>
      </c>
      <c r="N561" s="6" t="s">
        <v>1203</v>
      </c>
      <c r="O561" s="131">
        <v>45422</v>
      </c>
      <c r="P561" s="33" t="str">
        <f>HYPERLINK("https://my.zakupivli.pro/remote/dispatcher/state_purchase_view/50942400", "UA-2024-05-10-008517-a")</f>
        <v>UA-2024-05-10-008517-a</v>
      </c>
      <c r="Q561" s="130"/>
      <c r="R561" s="130">
        <v>3</v>
      </c>
      <c r="S561" s="117">
        <v>412.5</v>
      </c>
      <c r="T561" s="131">
        <v>45441</v>
      </c>
      <c r="U561" s="130"/>
      <c r="V561" s="130"/>
    </row>
    <row r="562" spans="1:22" ht="62.4" x14ac:dyDescent="0.3">
      <c r="A562" s="130">
        <v>556</v>
      </c>
      <c r="B562" s="221" t="s">
        <v>40</v>
      </c>
      <c r="C562" s="44" t="s">
        <v>541</v>
      </c>
      <c r="D562" s="130"/>
      <c r="E562" s="221" t="s">
        <v>75</v>
      </c>
      <c r="F562" s="44" t="s">
        <v>1199</v>
      </c>
      <c r="G562" s="105" t="s">
        <v>184</v>
      </c>
      <c r="H562" s="589">
        <v>341.57116000000002</v>
      </c>
      <c r="I562" s="130">
        <v>1</v>
      </c>
      <c r="J562" s="589">
        <v>341.57116000000002</v>
      </c>
      <c r="K562" s="589">
        <v>341.57116000000002</v>
      </c>
      <c r="L562" s="221">
        <v>1</v>
      </c>
      <c r="M562" s="589">
        <v>341.57116000000002</v>
      </c>
      <c r="N562" s="6" t="s">
        <v>1204</v>
      </c>
      <c r="O562" s="222">
        <v>45422</v>
      </c>
      <c r="P562" s="33" t="str">
        <f>HYPERLINK("https://my.zakupivli.pro/remote/dispatcher/state_purchase_view/50941461", "UA-2024-05-10-008137-a")</f>
        <v>UA-2024-05-10-008137-a</v>
      </c>
      <c r="Q562" s="221">
        <v>341.57116000000002</v>
      </c>
      <c r="R562" s="221">
        <v>1</v>
      </c>
      <c r="S562" s="221">
        <v>341.57116000000002</v>
      </c>
      <c r="T562" s="222">
        <v>45422</v>
      </c>
      <c r="U562" s="130"/>
      <c r="V562" s="224" t="s">
        <v>59</v>
      </c>
    </row>
    <row r="563" spans="1:22" ht="62.4" x14ac:dyDescent="0.3">
      <c r="A563" s="130">
        <v>557</v>
      </c>
      <c r="B563" s="221" t="s">
        <v>40</v>
      </c>
      <c r="C563" s="44" t="s">
        <v>541</v>
      </c>
      <c r="D563" s="130"/>
      <c r="E563" s="224" t="s">
        <v>75</v>
      </c>
      <c r="F563" s="44" t="s">
        <v>1200</v>
      </c>
      <c r="G563" s="105" t="s">
        <v>184</v>
      </c>
      <c r="H563" s="589">
        <v>339.34339999999997</v>
      </c>
      <c r="I563" s="221">
        <v>1</v>
      </c>
      <c r="J563" s="589">
        <v>339.34339999999997</v>
      </c>
      <c r="K563" s="589">
        <v>339.34339999999997</v>
      </c>
      <c r="L563" s="221">
        <v>1</v>
      </c>
      <c r="M563" s="589">
        <v>339.34339999999997</v>
      </c>
      <c r="N563" s="6" t="s">
        <v>1205</v>
      </c>
      <c r="O563" s="222">
        <v>45422</v>
      </c>
      <c r="P563" s="33" t="str">
        <f>HYPERLINK("https://my.zakupivli.pro/remote/dispatcher/state_purchase_view/50941180", "UA-2024-05-10-007968-a")</f>
        <v>UA-2024-05-10-007968-a</v>
      </c>
      <c r="Q563" s="221">
        <v>339.34339999999997</v>
      </c>
      <c r="R563" s="221">
        <v>1</v>
      </c>
      <c r="S563" s="221">
        <v>339.34339999999997</v>
      </c>
      <c r="T563" s="222">
        <v>45422</v>
      </c>
      <c r="U563" s="130"/>
      <c r="V563" s="224" t="s">
        <v>59</v>
      </c>
    </row>
    <row r="564" spans="1:22" ht="62.4" x14ac:dyDescent="0.3">
      <c r="A564" s="130">
        <v>558</v>
      </c>
      <c r="B564" s="221" t="s">
        <v>40</v>
      </c>
      <c r="C564" s="44" t="s">
        <v>41</v>
      </c>
      <c r="D564" s="130"/>
      <c r="E564" s="221" t="s">
        <v>20</v>
      </c>
      <c r="F564" s="44" t="s">
        <v>1201</v>
      </c>
      <c r="G564" s="105" t="s">
        <v>184</v>
      </c>
      <c r="H564" s="589">
        <v>494.47917000000001</v>
      </c>
      <c r="I564" s="221">
        <v>1</v>
      </c>
      <c r="J564" s="589">
        <v>494.47917000000001</v>
      </c>
      <c r="K564" s="589">
        <v>494.47917000000001</v>
      </c>
      <c r="L564" s="221">
        <v>1</v>
      </c>
      <c r="M564" s="589">
        <v>494.47917000000001</v>
      </c>
      <c r="N564" s="6" t="s">
        <v>1206</v>
      </c>
      <c r="O564" s="222">
        <v>45422</v>
      </c>
      <c r="P564" s="33" t="str">
        <f>HYPERLINK("https://my.zakupivli.pro/remote/dispatcher/state_purchase_view/50934484", "UA-2024-05-10-004917-a")</f>
        <v>UA-2024-05-10-004917-a</v>
      </c>
      <c r="Q564" s="221">
        <v>494.47917000000001</v>
      </c>
      <c r="R564" s="221">
        <v>1</v>
      </c>
      <c r="S564" s="221">
        <v>494.47917000000001</v>
      </c>
      <c r="T564" s="222">
        <v>45421</v>
      </c>
      <c r="U564" s="130"/>
      <c r="V564" s="224" t="s">
        <v>59</v>
      </c>
    </row>
    <row r="565" spans="1:22" ht="78" x14ac:dyDescent="0.3">
      <c r="A565" s="130">
        <v>559</v>
      </c>
      <c r="B565" s="221" t="s">
        <v>40</v>
      </c>
      <c r="C565" s="44" t="s">
        <v>884</v>
      </c>
      <c r="D565" s="130"/>
      <c r="E565" s="221" t="s">
        <v>20</v>
      </c>
      <c r="F565" s="44" t="s">
        <v>1202</v>
      </c>
      <c r="G565" s="105" t="s">
        <v>184</v>
      </c>
      <c r="H565" s="589">
        <v>298.51423</v>
      </c>
      <c r="I565" s="221">
        <v>1</v>
      </c>
      <c r="J565" s="589">
        <v>298.51423</v>
      </c>
      <c r="K565" s="589">
        <v>298.51423</v>
      </c>
      <c r="L565" s="221">
        <v>1</v>
      </c>
      <c r="M565" s="589">
        <v>298.51423</v>
      </c>
      <c r="N565" s="6" t="s">
        <v>1207</v>
      </c>
      <c r="O565" s="222">
        <v>45422</v>
      </c>
      <c r="P565" s="33" t="str">
        <f>HYPERLINK("https://my.zakupivli.pro/remote/dispatcher/state_purchase_view/50933225", "UA-2024-05-10-004381-a")</f>
        <v>UA-2024-05-10-004381-a</v>
      </c>
      <c r="Q565" s="221">
        <v>298.51423</v>
      </c>
      <c r="R565" s="221">
        <v>1</v>
      </c>
      <c r="S565" s="221">
        <v>298.51423</v>
      </c>
      <c r="T565" s="131">
        <v>45421</v>
      </c>
      <c r="U565" s="130"/>
      <c r="V565" s="224" t="s">
        <v>59</v>
      </c>
    </row>
    <row r="566" spans="1:22" ht="62.4" x14ac:dyDescent="0.3">
      <c r="A566" s="130">
        <v>560</v>
      </c>
      <c r="B566" s="224" t="s">
        <v>21</v>
      </c>
      <c r="C566" s="41" t="s">
        <v>1209</v>
      </c>
      <c r="D566" s="130"/>
      <c r="E566" s="221" t="s">
        <v>75</v>
      </c>
      <c r="F566" s="223" t="s">
        <v>1208</v>
      </c>
      <c r="G566" s="130" t="s">
        <v>185</v>
      </c>
      <c r="H566" s="589">
        <v>35.540799999999997</v>
      </c>
      <c r="I566" s="130">
        <v>2</v>
      </c>
      <c r="J566" s="589">
        <v>71.081599999999995</v>
      </c>
      <c r="K566" s="589">
        <v>35.540799999999997</v>
      </c>
      <c r="L566" s="224">
        <v>2</v>
      </c>
      <c r="M566" s="589">
        <v>71.081599999999995</v>
      </c>
      <c r="N566" s="6" t="s">
        <v>1210</v>
      </c>
      <c r="O566" s="131">
        <v>45425</v>
      </c>
      <c r="P566" s="33" t="str">
        <f>HYPERLINK("https://my.zakupivli.pro/remote/dispatcher/state_purchase_view/50949996", "UA-2024-05-13-000046-a")</f>
        <v>UA-2024-05-13-000046-a</v>
      </c>
      <c r="Q566" s="224">
        <v>35.540799999999997</v>
      </c>
      <c r="R566" s="224">
        <v>2</v>
      </c>
      <c r="S566" s="224">
        <v>71.081599999999995</v>
      </c>
      <c r="T566" s="225">
        <v>45425</v>
      </c>
      <c r="U566" s="130"/>
      <c r="V566" s="224" t="s">
        <v>59</v>
      </c>
    </row>
    <row r="567" spans="1:22" ht="62.4" x14ac:dyDescent="0.3">
      <c r="A567" s="130">
        <v>561</v>
      </c>
      <c r="B567" s="226" t="s">
        <v>21</v>
      </c>
      <c r="C567" s="44" t="s">
        <v>1143</v>
      </c>
      <c r="D567" s="130"/>
      <c r="E567" s="226" t="s">
        <v>75</v>
      </c>
      <c r="F567" s="223" t="s">
        <v>1141</v>
      </c>
      <c r="G567" s="130" t="s">
        <v>186</v>
      </c>
      <c r="H567" s="589"/>
      <c r="I567" s="130">
        <v>3</v>
      </c>
      <c r="J567" s="589">
        <v>83.328999999999994</v>
      </c>
      <c r="K567" s="589"/>
      <c r="L567" s="226">
        <v>3</v>
      </c>
      <c r="M567" s="589">
        <v>83.328999999999994</v>
      </c>
      <c r="N567" s="6" t="s">
        <v>1211</v>
      </c>
      <c r="O567" s="131">
        <v>45426</v>
      </c>
      <c r="P567" s="33" t="str">
        <f>HYPERLINK("https://my.zakupivli.pro/remote/dispatcher/state_purchase_view/50999556", "UA-2024-05-14-010620-a")</f>
        <v>UA-2024-05-14-010620-a</v>
      </c>
      <c r="Q567" s="130"/>
      <c r="R567" s="226">
        <v>3</v>
      </c>
      <c r="S567" s="226">
        <v>83.328999999999994</v>
      </c>
      <c r="T567" s="227">
        <v>45426</v>
      </c>
      <c r="U567" s="130"/>
      <c r="V567" s="226" t="s">
        <v>59</v>
      </c>
    </row>
    <row r="568" spans="1:22" ht="46.8" x14ac:dyDescent="0.3">
      <c r="A568" s="130">
        <v>562</v>
      </c>
      <c r="B568" s="228" t="s">
        <v>21</v>
      </c>
      <c r="C568" s="41" t="s">
        <v>171</v>
      </c>
      <c r="D568" s="248" t="s">
        <v>58</v>
      </c>
      <c r="E568" s="228" t="s">
        <v>75</v>
      </c>
      <c r="F568" s="41" t="s">
        <v>1212</v>
      </c>
      <c r="G568" s="130" t="s">
        <v>186</v>
      </c>
      <c r="H568" s="589"/>
      <c r="I568" s="130">
        <v>4</v>
      </c>
      <c r="J568" s="589">
        <v>1247.7560000000001</v>
      </c>
      <c r="K568" s="589"/>
      <c r="L568" s="228">
        <v>4</v>
      </c>
      <c r="M568" s="589">
        <v>1247.7560000000001</v>
      </c>
      <c r="N568" s="6" t="s">
        <v>1213</v>
      </c>
      <c r="O568" s="131">
        <v>45429</v>
      </c>
      <c r="P568" s="42" t="str">
        <f>HYPERLINK("https://my.zakupivli.pro/remote/dispatcher/state_purchase_view/51062772", "UA-2024-05-17-000118-a")</f>
        <v>UA-2024-05-17-000118-a</v>
      </c>
      <c r="Q568" s="130"/>
      <c r="R568" s="130">
        <v>4</v>
      </c>
      <c r="S568" s="130">
        <v>1203.6524999999999</v>
      </c>
      <c r="T568" s="131">
        <v>45447</v>
      </c>
      <c r="U568" s="130"/>
      <c r="V568" s="130"/>
    </row>
    <row r="569" spans="1:22" ht="62.4" x14ac:dyDescent="0.3">
      <c r="A569" s="130">
        <v>563</v>
      </c>
      <c r="B569" s="229" t="s">
        <v>21</v>
      </c>
      <c r="C569" s="44" t="s">
        <v>30</v>
      </c>
      <c r="D569" s="130"/>
      <c r="E569" s="229" t="s">
        <v>75</v>
      </c>
      <c r="F569" s="223" t="s">
        <v>908</v>
      </c>
      <c r="G569" s="130" t="s">
        <v>186</v>
      </c>
      <c r="H569" s="589"/>
      <c r="I569" s="130">
        <v>2</v>
      </c>
      <c r="J569" s="589">
        <v>45.0839</v>
      </c>
      <c r="K569" s="589"/>
      <c r="L569" s="229">
        <v>2</v>
      </c>
      <c r="M569" s="589">
        <v>45.0839</v>
      </c>
      <c r="N569" s="6" t="s">
        <v>1214</v>
      </c>
      <c r="O569" s="131">
        <v>45432</v>
      </c>
      <c r="P569" s="33" t="str">
        <f>HYPERLINK("https://my.zakupivli.pro/remote/dispatcher/state_purchase_view/51111939", "UA-2024-05-20-009265-a")</f>
        <v>UA-2024-05-20-009265-a</v>
      </c>
      <c r="Q569" s="130"/>
      <c r="R569" s="229">
        <v>2</v>
      </c>
      <c r="S569" s="229">
        <v>45.0839</v>
      </c>
      <c r="T569" s="131">
        <v>45432</v>
      </c>
      <c r="U569" s="130"/>
      <c r="V569" s="229" t="s">
        <v>59</v>
      </c>
    </row>
    <row r="570" spans="1:22" ht="62.4" x14ac:dyDescent="0.3">
      <c r="A570" s="130">
        <v>564</v>
      </c>
      <c r="B570" s="230" t="s">
        <v>21</v>
      </c>
      <c r="C570" s="44" t="s">
        <v>30</v>
      </c>
      <c r="D570" s="130"/>
      <c r="E570" s="230" t="s">
        <v>75</v>
      </c>
      <c r="F570" s="223" t="s">
        <v>908</v>
      </c>
      <c r="G570" s="130" t="s">
        <v>186</v>
      </c>
      <c r="H570" s="589"/>
      <c r="I570" s="130">
        <v>9</v>
      </c>
      <c r="J570" s="589">
        <v>45.656959999999998</v>
      </c>
      <c r="K570" s="589"/>
      <c r="L570" s="230">
        <v>9</v>
      </c>
      <c r="M570" s="589">
        <v>45.656959999999998</v>
      </c>
      <c r="N570" s="6" t="s">
        <v>1215</v>
      </c>
      <c r="O570" s="131">
        <v>45433</v>
      </c>
      <c r="P570" s="33" t="str">
        <f>HYPERLINK("https://my.zakupivli.pro/remote/dispatcher/state_purchase_view/51125566", "UA-2024-05-21-002810-a")</f>
        <v>UA-2024-05-21-002810-a</v>
      </c>
      <c r="Q570" s="130"/>
      <c r="R570" s="230">
        <v>9</v>
      </c>
      <c r="S570" s="230">
        <v>45.656959999999998</v>
      </c>
      <c r="T570" s="131">
        <v>45432</v>
      </c>
      <c r="U570" s="130"/>
      <c r="V570" s="230" t="s">
        <v>59</v>
      </c>
    </row>
    <row r="571" spans="1:22" ht="62.4" x14ac:dyDescent="0.3">
      <c r="A571" s="130">
        <v>565</v>
      </c>
      <c r="B571" s="231" t="s">
        <v>21</v>
      </c>
      <c r="C571" s="237" t="s">
        <v>1217</v>
      </c>
      <c r="D571" s="130"/>
      <c r="E571" s="231" t="s">
        <v>75</v>
      </c>
      <c r="F571" s="234" t="s">
        <v>1216</v>
      </c>
      <c r="G571" s="130" t="s">
        <v>185</v>
      </c>
      <c r="H571" s="589"/>
      <c r="I571" s="130">
        <v>76</v>
      </c>
      <c r="J571" s="589">
        <v>215.93879999999999</v>
      </c>
      <c r="K571" s="589"/>
      <c r="L571" s="231">
        <v>76</v>
      </c>
      <c r="M571" s="589">
        <v>215.93879999999999</v>
      </c>
      <c r="N571" s="6" t="s">
        <v>1218</v>
      </c>
      <c r="O571" s="131">
        <v>45434</v>
      </c>
      <c r="P571" s="42" t="str">
        <f>HYPERLINK("https://my.zakupivli.pro/remote/dispatcher/state_purchase_view/51151129", "UA-2024-05-22-000727-a")</f>
        <v>UA-2024-05-22-000727-a</v>
      </c>
      <c r="Q571" s="130"/>
      <c r="R571" s="231">
        <v>76</v>
      </c>
      <c r="S571" s="231">
        <v>215.93879999999999</v>
      </c>
      <c r="T571" s="131">
        <v>45434</v>
      </c>
      <c r="U571" s="130"/>
      <c r="V571" s="231" t="s">
        <v>59</v>
      </c>
    </row>
    <row r="572" spans="1:22" ht="46.8" x14ac:dyDescent="0.3">
      <c r="A572" s="130">
        <v>566</v>
      </c>
      <c r="B572" s="43" t="s">
        <v>21</v>
      </c>
      <c r="C572" s="44" t="s">
        <v>1219</v>
      </c>
      <c r="D572" s="248" t="s">
        <v>58</v>
      </c>
      <c r="E572" s="232" t="s">
        <v>75</v>
      </c>
      <c r="F572" s="44" t="s">
        <v>1220</v>
      </c>
      <c r="G572" s="130" t="s">
        <v>1223</v>
      </c>
      <c r="H572" s="589"/>
      <c r="I572" s="130">
        <v>15</v>
      </c>
      <c r="J572" s="589">
        <v>1200</v>
      </c>
      <c r="K572" s="589"/>
      <c r="L572" s="232">
        <v>15</v>
      </c>
      <c r="M572" s="589">
        <v>1200</v>
      </c>
      <c r="N572" s="6" t="s">
        <v>1224</v>
      </c>
      <c r="O572" s="131">
        <v>45435</v>
      </c>
      <c r="P572" s="33" t="str">
        <f>HYPERLINK("https://my.zakupivli.pro/remote/dispatcher/state_purchase_view/51190701", "UA-2024-05-23-004824-a")</f>
        <v>UA-2024-05-23-004824-a</v>
      </c>
      <c r="Q572" s="130"/>
      <c r="R572" s="130">
        <v>15</v>
      </c>
      <c r="S572" s="117">
        <v>1000.5</v>
      </c>
      <c r="T572" s="131">
        <v>45467</v>
      </c>
      <c r="U572" s="130"/>
      <c r="V572" s="130"/>
    </row>
    <row r="573" spans="1:22" ht="62.4" x14ac:dyDescent="0.3">
      <c r="A573" s="130">
        <v>567</v>
      </c>
      <c r="B573" s="43" t="s">
        <v>21</v>
      </c>
      <c r="C573" s="44" t="s">
        <v>734</v>
      </c>
      <c r="D573" s="105"/>
      <c r="E573" s="232" t="s">
        <v>75</v>
      </c>
      <c r="F573" s="44" t="s">
        <v>1221</v>
      </c>
      <c r="G573" s="130" t="s">
        <v>185</v>
      </c>
      <c r="H573" s="589"/>
      <c r="I573" s="130">
        <v>60</v>
      </c>
      <c r="J573" s="589">
        <v>63.6</v>
      </c>
      <c r="K573" s="589"/>
      <c r="L573" s="232">
        <v>60</v>
      </c>
      <c r="M573" s="589">
        <v>63.6</v>
      </c>
      <c r="N573" s="6" t="s">
        <v>1225</v>
      </c>
      <c r="O573" s="131">
        <v>45435</v>
      </c>
      <c r="P573" s="33" t="str">
        <f>HYPERLINK("https://my.zakupivli.pro/remote/dispatcher/state_purchase_view/51180705", "UA-2024-05-23-000397-a")</f>
        <v>UA-2024-05-23-000397-a</v>
      </c>
      <c r="Q573" s="130"/>
      <c r="R573" s="232">
        <v>60</v>
      </c>
      <c r="S573" s="117">
        <v>63.6</v>
      </c>
      <c r="T573" s="233">
        <v>45434</v>
      </c>
      <c r="U573" s="130"/>
      <c r="V573" s="232" t="s">
        <v>59</v>
      </c>
    </row>
    <row r="574" spans="1:22" ht="62.4" x14ac:dyDescent="0.3">
      <c r="A574" s="130">
        <v>568</v>
      </c>
      <c r="B574" s="43" t="s">
        <v>21</v>
      </c>
      <c r="C574" s="44" t="s">
        <v>1133</v>
      </c>
      <c r="D574" s="105"/>
      <c r="E574" s="232" t="s">
        <v>75</v>
      </c>
      <c r="F574" s="44" t="s">
        <v>1222</v>
      </c>
      <c r="G574" s="130" t="s">
        <v>187</v>
      </c>
      <c r="H574" s="589">
        <v>93.8</v>
      </c>
      <c r="I574" s="130">
        <v>1</v>
      </c>
      <c r="J574" s="589">
        <v>93.8</v>
      </c>
      <c r="K574" s="589">
        <v>93.8</v>
      </c>
      <c r="L574" s="232">
        <v>1</v>
      </c>
      <c r="M574" s="589">
        <v>93.8</v>
      </c>
      <c r="N574" s="6" t="s">
        <v>1226</v>
      </c>
      <c r="O574" s="233">
        <v>45435</v>
      </c>
      <c r="P574" s="33" t="str">
        <f>HYPERLINK("https://my.zakupivli.pro/remote/dispatcher/state_purchase_view/51179925", "UA-2024-05-23-000094-a")</f>
        <v>UA-2024-05-23-000094-a</v>
      </c>
      <c r="Q574" s="117">
        <v>93.8</v>
      </c>
      <c r="R574" s="232">
        <v>1</v>
      </c>
      <c r="S574" s="117">
        <v>93.8</v>
      </c>
      <c r="T574" s="233">
        <v>45434</v>
      </c>
      <c r="U574" s="130"/>
      <c r="V574" s="232" t="s">
        <v>59</v>
      </c>
    </row>
    <row r="575" spans="1:22" ht="62.4" x14ac:dyDescent="0.3">
      <c r="A575" s="130">
        <v>569</v>
      </c>
      <c r="B575" s="43" t="s">
        <v>21</v>
      </c>
      <c r="C575" s="44" t="s">
        <v>36</v>
      </c>
      <c r="D575" s="130"/>
      <c r="E575" s="235" t="s">
        <v>75</v>
      </c>
      <c r="F575" s="44" t="s">
        <v>63</v>
      </c>
      <c r="G575" s="130" t="s">
        <v>185</v>
      </c>
      <c r="H575" s="589">
        <v>26.605779999999999</v>
      </c>
      <c r="I575" s="130">
        <v>2</v>
      </c>
      <c r="J575" s="589">
        <v>53.211559999999999</v>
      </c>
      <c r="K575" s="589">
        <v>26.605779999999999</v>
      </c>
      <c r="L575" s="235">
        <v>2</v>
      </c>
      <c r="M575" s="589">
        <v>53.211559999999999</v>
      </c>
      <c r="N575" s="6" t="s">
        <v>1234</v>
      </c>
      <c r="O575" s="131">
        <v>45439</v>
      </c>
      <c r="P575" s="33" t="str">
        <f>HYPERLINK("https://my.zakupivli.pro/remote/dispatcher/state_purchase_view/51263635", "UA-2024-05-27-011689-a")</f>
        <v>UA-2024-05-27-011689-a</v>
      </c>
      <c r="Q575" s="235">
        <v>26.605779999999999</v>
      </c>
      <c r="R575" s="235">
        <v>2</v>
      </c>
      <c r="S575" s="235">
        <v>53.211559999999999</v>
      </c>
      <c r="T575" s="236">
        <v>45439</v>
      </c>
      <c r="U575" s="130"/>
      <c r="V575" s="235" t="s">
        <v>59</v>
      </c>
    </row>
    <row r="576" spans="1:22" ht="62.4" x14ac:dyDescent="0.3">
      <c r="A576" s="130">
        <v>570</v>
      </c>
      <c r="B576" s="43" t="s">
        <v>40</v>
      </c>
      <c r="C576" s="44" t="s">
        <v>541</v>
      </c>
      <c r="D576" s="130"/>
      <c r="E576" s="235" t="s">
        <v>75</v>
      </c>
      <c r="F576" s="44" t="s">
        <v>1227</v>
      </c>
      <c r="G576" s="130" t="s">
        <v>184</v>
      </c>
      <c r="H576" s="589">
        <v>96.3</v>
      </c>
      <c r="I576" s="130">
        <v>1</v>
      </c>
      <c r="J576" s="589">
        <v>96.3</v>
      </c>
      <c r="K576" s="589">
        <v>96.3</v>
      </c>
      <c r="L576" s="235">
        <v>1</v>
      </c>
      <c r="M576" s="589">
        <v>96.3</v>
      </c>
      <c r="N576" s="6" t="s">
        <v>1235</v>
      </c>
      <c r="O576" s="236">
        <v>45439</v>
      </c>
      <c r="P576" s="33" t="str">
        <f>HYPERLINK("https://my.zakupivli.pro/remote/dispatcher/state_purchase_view/51253027", "UA-2024-05-27-006967-a")</f>
        <v>UA-2024-05-27-006967-a</v>
      </c>
      <c r="Q576" s="117">
        <v>96.3</v>
      </c>
      <c r="R576" s="235">
        <v>1</v>
      </c>
      <c r="S576" s="117">
        <v>96.3</v>
      </c>
      <c r="T576" s="236">
        <v>45439</v>
      </c>
      <c r="U576" s="130"/>
      <c r="V576" s="235" t="s">
        <v>59</v>
      </c>
    </row>
    <row r="577" spans="1:22" ht="62.4" x14ac:dyDescent="0.3">
      <c r="A577" s="130">
        <v>571</v>
      </c>
      <c r="B577" s="43" t="s">
        <v>40</v>
      </c>
      <c r="C577" s="44" t="s">
        <v>41</v>
      </c>
      <c r="D577" s="130"/>
      <c r="E577" s="235" t="s">
        <v>20</v>
      </c>
      <c r="F577" s="44" t="s">
        <v>1228</v>
      </c>
      <c r="G577" s="235" t="s">
        <v>184</v>
      </c>
      <c r="H577" s="589">
        <v>53.577910000000003</v>
      </c>
      <c r="I577" s="130">
        <v>1</v>
      </c>
      <c r="J577" s="589">
        <v>53.577910000000003</v>
      </c>
      <c r="K577" s="589">
        <v>53.577910000000003</v>
      </c>
      <c r="L577" s="235">
        <v>1</v>
      </c>
      <c r="M577" s="589">
        <v>53.577910000000003</v>
      </c>
      <c r="N577" s="6" t="s">
        <v>1236</v>
      </c>
      <c r="O577" s="236">
        <v>45439</v>
      </c>
      <c r="P577" s="33" t="str">
        <f>HYPERLINK("https://my.zakupivli.pro/remote/dispatcher/state_purchase_view/51251693", "UA-2024-05-27-006416-a")</f>
        <v>UA-2024-05-27-006416-a</v>
      </c>
      <c r="Q577" s="235">
        <v>53.577910000000003</v>
      </c>
      <c r="R577" s="235">
        <v>1</v>
      </c>
      <c r="S577" s="235">
        <v>53.577910000000003</v>
      </c>
      <c r="T577" s="236">
        <v>45439</v>
      </c>
      <c r="U577" s="130"/>
      <c r="V577" s="235" t="s">
        <v>59</v>
      </c>
    </row>
    <row r="578" spans="1:22" ht="78" x14ac:dyDescent="0.3">
      <c r="A578" s="130">
        <v>572</v>
      </c>
      <c r="B578" s="43" t="s">
        <v>40</v>
      </c>
      <c r="C578" s="44" t="s">
        <v>41</v>
      </c>
      <c r="D578" s="130"/>
      <c r="E578" s="449" t="s">
        <v>20</v>
      </c>
      <c r="F578" s="44" t="s">
        <v>1229</v>
      </c>
      <c r="G578" s="235" t="s">
        <v>184</v>
      </c>
      <c r="H578" s="589">
        <v>43.984520000000003</v>
      </c>
      <c r="I578" s="130">
        <v>1</v>
      </c>
      <c r="J578" s="589">
        <v>43.984520000000003</v>
      </c>
      <c r="K578" s="589">
        <v>43.984520000000003</v>
      </c>
      <c r="L578" s="235">
        <v>1</v>
      </c>
      <c r="M578" s="589">
        <v>43.984520000000003</v>
      </c>
      <c r="N578" s="6" t="s">
        <v>1237</v>
      </c>
      <c r="O578" s="236">
        <v>45439</v>
      </c>
      <c r="P578" s="33" t="str">
        <f>HYPERLINK("https://my.zakupivli.pro/remote/dispatcher/state_purchase_view/51251419", "UA-2024-05-27-006318-a")</f>
        <v>UA-2024-05-27-006318-a</v>
      </c>
      <c r="Q578" s="235">
        <v>43.984520000000003</v>
      </c>
      <c r="R578" s="235">
        <v>1</v>
      </c>
      <c r="S578" s="235">
        <v>43.984520000000003</v>
      </c>
      <c r="T578" s="236">
        <v>45439</v>
      </c>
      <c r="U578" s="130"/>
      <c r="V578" s="235" t="s">
        <v>59</v>
      </c>
    </row>
    <row r="579" spans="1:22" ht="62.4" x14ac:dyDescent="0.3">
      <c r="A579" s="130">
        <v>573</v>
      </c>
      <c r="B579" s="43" t="s">
        <v>40</v>
      </c>
      <c r="C579" s="44" t="s">
        <v>884</v>
      </c>
      <c r="D579" s="130"/>
      <c r="E579" s="449" t="s">
        <v>20</v>
      </c>
      <c r="F579" s="44" t="s">
        <v>1230</v>
      </c>
      <c r="G579" s="235" t="s">
        <v>184</v>
      </c>
      <c r="H579" s="589">
        <v>339.82227</v>
      </c>
      <c r="I579" s="130">
        <v>1</v>
      </c>
      <c r="J579" s="589">
        <v>339.82227</v>
      </c>
      <c r="K579" s="589">
        <v>339.82227</v>
      </c>
      <c r="L579" s="235">
        <v>1</v>
      </c>
      <c r="M579" s="589">
        <v>339.82227</v>
      </c>
      <c r="N579" s="6" t="s">
        <v>1238</v>
      </c>
      <c r="O579" s="236">
        <v>45439</v>
      </c>
      <c r="P579" s="33" t="str">
        <f>HYPERLINK("https://my.zakupivli.pro/remote/dispatcher/state_purchase_view/51251184", "UA-2024-05-27-006168-a")</f>
        <v>UA-2024-05-27-006168-a</v>
      </c>
      <c r="Q579" s="235">
        <v>339.82227</v>
      </c>
      <c r="R579" s="235">
        <v>1</v>
      </c>
      <c r="S579" s="235">
        <v>339.82227</v>
      </c>
      <c r="T579" s="236">
        <v>45439</v>
      </c>
      <c r="U579" s="130"/>
      <c r="V579" s="235" t="s">
        <v>59</v>
      </c>
    </row>
    <row r="580" spans="1:22" ht="62.4" x14ac:dyDescent="0.3">
      <c r="A580" s="130">
        <v>574</v>
      </c>
      <c r="B580" s="43" t="s">
        <v>40</v>
      </c>
      <c r="C580" s="44" t="s">
        <v>41</v>
      </c>
      <c r="D580" s="130"/>
      <c r="E580" s="449" t="s">
        <v>20</v>
      </c>
      <c r="F580" s="44" t="s">
        <v>1231</v>
      </c>
      <c r="G580" s="235" t="s">
        <v>184</v>
      </c>
      <c r="H580" s="589">
        <v>524.04791</v>
      </c>
      <c r="I580" s="130">
        <v>1</v>
      </c>
      <c r="J580" s="589">
        <v>524.04791</v>
      </c>
      <c r="K580" s="589">
        <v>524.04791</v>
      </c>
      <c r="L580" s="235">
        <v>1</v>
      </c>
      <c r="M580" s="589">
        <v>524.04791</v>
      </c>
      <c r="N580" s="6" t="s">
        <v>1239</v>
      </c>
      <c r="O580" s="236">
        <v>45439</v>
      </c>
      <c r="P580" s="33" t="str">
        <f>HYPERLINK("https://my.zakupivli.pro/remote/dispatcher/state_purchase_view/51251183", "UA-2024-05-27-006163-a")</f>
        <v>UA-2024-05-27-006163-a</v>
      </c>
      <c r="Q580" s="235">
        <v>524.04791</v>
      </c>
      <c r="R580" s="235">
        <v>1</v>
      </c>
      <c r="S580" s="235">
        <v>524.04791</v>
      </c>
      <c r="T580" s="236">
        <v>45439</v>
      </c>
      <c r="U580" s="130"/>
      <c r="V580" s="235" t="s">
        <v>59</v>
      </c>
    </row>
    <row r="581" spans="1:22" ht="109.2" x14ac:dyDescent="0.3">
      <c r="A581" s="130">
        <v>575</v>
      </c>
      <c r="B581" s="43" t="s">
        <v>40</v>
      </c>
      <c r="C581" s="44" t="s">
        <v>1233</v>
      </c>
      <c r="D581" s="130"/>
      <c r="E581" s="449" t="s">
        <v>20</v>
      </c>
      <c r="F581" s="44" t="s">
        <v>1232</v>
      </c>
      <c r="G581" s="235" t="s">
        <v>184</v>
      </c>
      <c r="H581" s="589">
        <v>365.49365</v>
      </c>
      <c r="I581" s="130">
        <v>1</v>
      </c>
      <c r="J581" s="589">
        <v>365.49365</v>
      </c>
      <c r="K581" s="589">
        <v>365.49365</v>
      </c>
      <c r="L581" s="235">
        <v>1</v>
      </c>
      <c r="M581" s="589">
        <v>365.49365</v>
      </c>
      <c r="N581" s="6" t="s">
        <v>1240</v>
      </c>
      <c r="O581" s="236">
        <v>45439</v>
      </c>
      <c r="P581" s="33" t="str">
        <f>HYPERLINK("https://my.zakupivli.pro/remote/dispatcher/state_purchase_view/51250880", "UA-2024-05-27-006049-a")</f>
        <v>UA-2024-05-27-006049-a</v>
      </c>
      <c r="Q581" s="235">
        <v>365.49365</v>
      </c>
      <c r="R581" s="235">
        <v>1</v>
      </c>
      <c r="S581" s="235">
        <v>365.49365</v>
      </c>
      <c r="T581" s="236">
        <v>45439</v>
      </c>
      <c r="U581" s="130"/>
      <c r="V581" s="235" t="s">
        <v>59</v>
      </c>
    </row>
    <row r="582" spans="1:22" ht="62.4" x14ac:dyDescent="0.3">
      <c r="A582" s="130">
        <v>576</v>
      </c>
      <c r="B582" s="43" t="s">
        <v>40</v>
      </c>
      <c r="C582" s="44" t="s">
        <v>73</v>
      </c>
      <c r="D582" s="130"/>
      <c r="E582" s="238" t="s">
        <v>75</v>
      </c>
      <c r="F582" s="44" t="s">
        <v>1241</v>
      </c>
      <c r="G582" s="238" t="s">
        <v>184</v>
      </c>
      <c r="H582" s="589">
        <v>316.29005000000001</v>
      </c>
      <c r="I582" s="130">
        <v>1</v>
      </c>
      <c r="J582" s="589">
        <v>316.29005000000001</v>
      </c>
      <c r="K582" s="589">
        <v>316.29005000000001</v>
      </c>
      <c r="L582" s="238">
        <v>1</v>
      </c>
      <c r="M582" s="589">
        <v>316.29005000000001</v>
      </c>
      <c r="N582" s="6" t="s">
        <v>1243</v>
      </c>
      <c r="O582" s="131">
        <v>45442</v>
      </c>
      <c r="P582" s="120" t="str">
        <f>HYPERLINK("https://my.zakupivli.pro/remote/dispatcher/state_purchase_view/51322354", "UA-2024-05-30-000099-a")</f>
        <v>UA-2024-05-30-000099-a</v>
      </c>
      <c r="Q582" s="238">
        <v>316.29005000000001</v>
      </c>
      <c r="R582" s="238">
        <v>1</v>
      </c>
      <c r="S582" s="238">
        <v>316.29005000000001</v>
      </c>
      <c r="T582" s="131">
        <v>45414</v>
      </c>
      <c r="U582" s="130"/>
      <c r="V582" s="238" t="s">
        <v>59</v>
      </c>
    </row>
    <row r="583" spans="1:22" ht="62.4" x14ac:dyDescent="0.3">
      <c r="A583" s="130">
        <v>577</v>
      </c>
      <c r="B583" s="43" t="s">
        <v>40</v>
      </c>
      <c r="C583" s="44" t="s">
        <v>73</v>
      </c>
      <c r="D583" s="130"/>
      <c r="E583" s="238" t="s">
        <v>75</v>
      </c>
      <c r="F583" s="44" t="s">
        <v>1242</v>
      </c>
      <c r="G583" s="238" t="s">
        <v>184</v>
      </c>
      <c r="H583" s="589">
        <v>368.45200999999997</v>
      </c>
      <c r="I583" s="130">
        <v>1</v>
      </c>
      <c r="J583" s="589">
        <v>368.45200999999997</v>
      </c>
      <c r="K583" s="589">
        <v>368.45200999999997</v>
      </c>
      <c r="L583" s="238">
        <v>1</v>
      </c>
      <c r="M583" s="589">
        <v>368.45200999999997</v>
      </c>
      <c r="N583" s="6" t="s">
        <v>1244</v>
      </c>
      <c r="O583" s="131">
        <v>45442</v>
      </c>
      <c r="P583" s="120" t="str">
        <f>HYPERLINK("https://my.zakupivli.pro/remote/dispatcher/state_purchase_view/51322404", "UA-2024-05-30-000116-a")</f>
        <v>UA-2024-05-30-000116-a</v>
      </c>
      <c r="Q583" s="238">
        <v>368.45200999999997</v>
      </c>
      <c r="R583" s="238">
        <v>1</v>
      </c>
      <c r="S583" s="238">
        <v>368.45200999999997</v>
      </c>
      <c r="T583" s="131">
        <v>45441</v>
      </c>
      <c r="U583" s="130"/>
      <c r="V583" s="238" t="s">
        <v>59</v>
      </c>
    </row>
    <row r="584" spans="1:22" ht="62.4" x14ac:dyDescent="0.3">
      <c r="A584" s="130">
        <v>578</v>
      </c>
      <c r="B584" s="43" t="s">
        <v>21</v>
      </c>
      <c r="C584" s="44" t="s">
        <v>1247</v>
      </c>
      <c r="D584" s="130"/>
      <c r="E584" s="240" t="s">
        <v>75</v>
      </c>
      <c r="F584" s="44" t="s">
        <v>1245</v>
      </c>
      <c r="G584" s="130" t="s">
        <v>186</v>
      </c>
      <c r="H584" s="589"/>
      <c r="I584" s="130">
        <v>4</v>
      </c>
      <c r="J584" s="589">
        <v>48.400799999999997</v>
      </c>
      <c r="K584" s="589"/>
      <c r="L584" s="240">
        <v>4</v>
      </c>
      <c r="M584" s="589">
        <v>48.400799999999997</v>
      </c>
      <c r="N584" s="6" t="s">
        <v>1249</v>
      </c>
      <c r="O584" s="131">
        <v>45443</v>
      </c>
      <c r="P584" s="33" t="str">
        <f>HYPERLINK("https://my.zakupivli.pro/remote/dispatcher/state_purchase_view/51354614", "UA-2024-05-31-003514-a")</f>
        <v>UA-2024-05-31-003514-a</v>
      </c>
      <c r="Q584" s="130"/>
      <c r="R584" s="240">
        <v>4</v>
      </c>
      <c r="S584" s="240">
        <v>48.400799999999997</v>
      </c>
      <c r="T584" s="239">
        <v>45443</v>
      </c>
      <c r="U584" s="130"/>
      <c r="V584" s="240" t="s">
        <v>59</v>
      </c>
    </row>
    <row r="585" spans="1:22" ht="62.4" x14ac:dyDescent="0.3">
      <c r="A585" s="130">
        <v>579</v>
      </c>
      <c r="B585" s="43" t="s">
        <v>40</v>
      </c>
      <c r="C585" s="44" t="s">
        <v>1248</v>
      </c>
      <c r="D585" s="130"/>
      <c r="E585" s="240" t="s">
        <v>75</v>
      </c>
      <c r="F585" s="44" t="s">
        <v>1246</v>
      </c>
      <c r="G585" s="240" t="s">
        <v>184</v>
      </c>
      <c r="H585" s="589">
        <v>287.89965999999998</v>
      </c>
      <c r="I585" s="130">
        <v>1</v>
      </c>
      <c r="J585" s="589">
        <v>287.89965999999998</v>
      </c>
      <c r="K585" s="589">
        <v>287.89965999999998</v>
      </c>
      <c r="L585" s="240">
        <v>1</v>
      </c>
      <c r="M585" s="589">
        <v>287.89965999999998</v>
      </c>
      <c r="N585" s="6" t="s">
        <v>1250</v>
      </c>
      <c r="O585" s="239">
        <v>45443</v>
      </c>
      <c r="P585" s="33" t="str">
        <f>HYPERLINK("https://my.zakupivli.pro/remote/dispatcher/state_purchase_view/51362144", "UA-2024-05-31-006948-a")</f>
        <v>UA-2024-05-31-006948-a</v>
      </c>
      <c r="Q585" s="240">
        <v>287.89965999999998</v>
      </c>
      <c r="R585" s="240">
        <v>1</v>
      </c>
      <c r="S585" s="240">
        <v>287.89965999999998</v>
      </c>
      <c r="T585" s="239">
        <v>45443</v>
      </c>
      <c r="U585" s="130"/>
      <c r="V585" s="240" t="s">
        <v>59</v>
      </c>
    </row>
    <row r="586" spans="1:22" ht="62.4" x14ac:dyDescent="0.3">
      <c r="A586" s="130">
        <v>580</v>
      </c>
      <c r="B586" s="43" t="s">
        <v>40</v>
      </c>
      <c r="C586" s="44" t="s">
        <v>73</v>
      </c>
      <c r="D586" s="130"/>
      <c r="E586" s="241" t="s">
        <v>75</v>
      </c>
      <c r="F586" s="44" t="s">
        <v>1251</v>
      </c>
      <c r="G586" s="241" t="s">
        <v>184</v>
      </c>
      <c r="H586" s="589">
        <v>79.86</v>
      </c>
      <c r="I586" s="130">
        <v>1</v>
      </c>
      <c r="J586" s="589">
        <v>79.86</v>
      </c>
      <c r="K586" s="589">
        <v>79.86</v>
      </c>
      <c r="L586" s="241">
        <v>1</v>
      </c>
      <c r="M586" s="589">
        <v>79.86</v>
      </c>
      <c r="N586" s="6" t="s">
        <v>1252</v>
      </c>
      <c r="O586" s="131">
        <v>45447</v>
      </c>
      <c r="P586" s="33" t="str">
        <f>HYPERLINK("https://my.zakupivli.pro/remote/dispatcher/state_purchase_view/51397532", "UA-2024-06-04-001790-a")</f>
        <v>UA-2024-06-04-001790-a</v>
      </c>
      <c r="Q586" s="117">
        <v>79.86</v>
      </c>
      <c r="R586" s="241">
        <v>1</v>
      </c>
      <c r="S586" s="117">
        <v>79.86</v>
      </c>
      <c r="T586" s="131">
        <v>45404</v>
      </c>
      <c r="U586" s="130"/>
      <c r="V586" s="241" t="s">
        <v>59</v>
      </c>
    </row>
    <row r="587" spans="1:22" ht="62.4" x14ac:dyDescent="0.3">
      <c r="A587" s="130">
        <v>581</v>
      </c>
      <c r="B587" s="43" t="s">
        <v>21</v>
      </c>
      <c r="C587" s="44" t="s">
        <v>175</v>
      </c>
      <c r="D587" s="130"/>
      <c r="E587" s="242" t="s">
        <v>75</v>
      </c>
      <c r="F587" s="223" t="s">
        <v>1253</v>
      </c>
      <c r="G587" s="130" t="s">
        <v>186</v>
      </c>
      <c r="H587" s="589"/>
      <c r="I587" s="130">
        <v>3</v>
      </c>
      <c r="J587" s="589">
        <v>52</v>
      </c>
      <c r="K587" s="589"/>
      <c r="L587" s="242">
        <v>3</v>
      </c>
      <c r="M587" s="589">
        <v>52</v>
      </c>
      <c r="N587" s="6" t="s">
        <v>1254</v>
      </c>
      <c r="O587" s="131">
        <v>45449</v>
      </c>
      <c r="P587" s="33" t="str">
        <f>HYPERLINK("https://my.zakupivli.pro/remote/dispatcher/state_purchase_view/51454131", "UA-2024-06-06-001299-a")</f>
        <v>UA-2024-06-06-001299-a</v>
      </c>
      <c r="Q587" s="130"/>
      <c r="R587" s="242">
        <v>3</v>
      </c>
      <c r="S587" s="117">
        <v>52</v>
      </c>
      <c r="T587" s="131">
        <v>45449</v>
      </c>
      <c r="U587" s="130"/>
      <c r="V587" s="242" t="s">
        <v>59</v>
      </c>
    </row>
    <row r="588" spans="1:22" ht="62.4" x14ac:dyDescent="0.3">
      <c r="A588" s="130">
        <v>582</v>
      </c>
      <c r="B588" s="43" t="s">
        <v>21</v>
      </c>
      <c r="C588" s="44" t="s">
        <v>412</v>
      </c>
      <c r="D588" s="130"/>
      <c r="E588" s="243" t="s">
        <v>75</v>
      </c>
      <c r="F588" s="223" t="s">
        <v>1255</v>
      </c>
      <c r="G588" s="130" t="s">
        <v>186</v>
      </c>
      <c r="H588" s="589"/>
      <c r="I588" s="130">
        <v>2</v>
      </c>
      <c r="J588" s="589">
        <v>82</v>
      </c>
      <c r="K588" s="589"/>
      <c r="L588" s="243">
        <v>2</v>
      </c>
      <c r="M588" s="589">
        <v>82</v>
      </c>
      <c r="N588" s="6" t="s">
        <v>1257</v>
      </c>
      <c r="O588" s="131">
        <v>45453</v>
      </c>
      <c r="P588" s="33" t="str">
        <f>HYPERLINK("https://my.zakupivli.pro/remote/dispatcher/state_purchase_view/51515216", "UA-2024-06-10-003519-a")</f>
        <v>UA-2024-06-10-003519-a</v>
      </c>
      <c r="Q588" s="130"/>
      <c r="R588" s="243">
        <v>2</v>
      </c>
      <c r="S588" s="117">
        <v>82</v>
      </c>
      <c r="T588" s="244">
        <v>45453</v>
      </c>
      <c r="U588" s="130"/>
      <c r="V588" s="243" t="s">
        <v>59</v>
      </c>
    </row>
    <row r="589" spans="1:22" ht="62.4" x14ac:dyDescent="0.3">
      <c r="A589" s="130">
        <v>583</v>
      </c>
      <c r="B589" s="43" t="s">
        <v>21</v>
      </c>
      <c r="C589" s="44" t="s">
        <v>30</v>
      </c>
      <c r="D589" s="130"/>
      <c r="E589" s="243" t="s">
        <v>75</v>
      </c>
      <c r="F589" s="223" t="s">
        <v>1256</v>
      </c>
      <c r="G589" s="130" t="s">
        <v>185</v>
      </c>
      <c r="H589" s="589"/>
      <c r="I589" s="130">
        <v>3</v>
      </c>
      <c r="J589" s="589">
        <v>76.95</v>
      </c>
      <c r="K589" s="589"/>
      <c r="L589" s="243">
        <v>3</v>
      </c>
      <c r="M589" s="589">
        <v>76.95</v>
      </c>
      <c r="N589" s="6" t="s">
        <v>1258</v>
      </c>
      <c r="O589" s="244">
        <v>45453</v>
      </c>
      <c r="P589" s="33" t="str">
        <f>HYPERLINK("https://my.zakupivli.pro/remote/dispatcher/state_purchase_view/51515365", "UA-2024-06-10-003597-a")</f>
        <v>UA-2024-06-10-003597-a</v>
      </c>
      <c r="Q589" s="130"/>
      <c r="R589" s="243">
        <v>3</v>
      </c>
      <c r="S589" s="117">
        <v>76.95</v>
      </c>
      <c r="T589" s="244">
        <v>45453</v>
      </c>
      <c r="U589" s="130"/>
      <c r="V589" s="243" t="s">
        <v>59</v>
      </c>
    </row>
    <row r="590" spans="1:22" ht="62.4" x14ac:dyDescent="0.3">
      <c r="A590" s="130">
        <v>584</v>
      </c>
      <c r="B590" s="43" t="s">
        <v>21</v>
      </c>
      <c r="C590" s="44" t="s">
        <v>173</v>
      </c>
      <c r="D590" s="130"/>
      <c r="E590" s="245" t="s">
        <v>75</v>
      </c>
      <c r="F590" s="223" t="s">
        <v>1259</v>
      </c>
      <c r="G590" s="130" t="s">
        <v>185</v>
      </c>
      <c r="H590" s="589"/>
      <c r="I590" s="130">
        <v>38</v>
      </c>
      <c r="J590" s="589">
        <v>78.09</v>
      </c>
      <c r="K590" s="589"/>
      <c r="L590" s="245">
        <v>38</v>
      </c>
      <c r="M590" s="589">
        <v>78.09</v>
      </c>
      <c r="N590" s="6" t="s">
        <v>1260</v>
      </c>
      <c r="O590" s="131">
        <v>45454</v>
      </c>
      <c r="P590" s="33" t="str">
        <f>HYPERLINK("https://my.zakupivli.pro/remote/dispatcher/state_purchase_view/51547469", "UA-2024-06-11-004453-a")</f>
        <v>UA-2024-06-11-004453-a</v>
      </c>
      <c r="Q590" s="130"/>
      <c r="R590" s="245">
        <v>38</v>
      </c>
      <c r="S590" s="117">
        <v>78.09</v>
      </c>
      <c r="T590" s="131">
        <v>45454</v>
      </c>
      <c r="U590" s="130"/>
      <c r="V590" s="245" t="s">
        <v>59</v>
      </c>
    </row>
    <row r="591" spans="1:22" ht="62.4" x14ac:dyDescent="0.3">
      <c r="A591" s="130">
        <v>585</v>
      </c>
      <c r="B591" s="451" t="s">
        <v>40</v>
      </c>
      <c r="C591" s="452" t="s">
        <v>884</v>
      </c>
      <c r="D591" s="446"/>
      <c r="E591" s="446" t="s">
        <v>20</v>
      </c>
      <c r="F591" s="452" t="s">
        <v>1261</v>
      </c>
      <c r="G591" s="247" t="s">
        <v>184</v>
      </c>
      <c r="H591" s="589">
        <v>259.27109999999999</v>
      </c>
      <c r="I591" s="130">
        <v>1</v>
      </c>
      <c r="J591" s="589">
        <v>259.27109999999999</v>
      </c>
      <c r="K591" s="589">
        <v>259.27109999999999</v>
      </c>
      <c r="L591" s="247">
        <v>1</v>
      </c>
      <c r="M591" s="589">
        <v>259.27109999999999</v>
      </c>
      <c r="N591" s="6" t="s">
        <v>1262</v>
      </c>
      <c r="O591" s="131">
        <v>45456</v>
      </c>
      <c r="P591" s="33" t="str">
        <f>HYPERLINK("https://my.zakupivli.pro/remote/dispatcher/state_purchase_view/51611381", "UA-2024-06-13-006939-a")</f>
        <v>UA-2024-06-13-006939-a</v>
      </c>
      <c r="Q591" s="247">
        <v>259.27109999999999</v>
      </c>
      <c r="R591" s="247">
        <v>1</v>
      </c>
      <c r="S591" s="247">
        <v>259.27109999999999</v>
      </c>
      <c r="T591" s="131">
        <v>45456</v>
      </c>
      <c r="U591" s="130"/>
      <c r="V591" s="247" t="s">
        <v>59</v>
      </c>
    </row>
    <row r="592" spans="1:22" ht="62.4" x14ac:dyDescent="0.3">
      <c r="A592" s="130">
        <v>586</v>
      </c>
      <c r="B592" s="43" t="s">
        <v>40</v>
      </c>
      <c r="C592" s="44" t="s">
        <v>41</v>
      </c>
      <c r="D592" s="130"/>
      <c r="E592" s="247" t="s">
        <v>75</v>
      </c>
      <c r="F592" s="44" t="s">
        <v>1263</v>
      </c>
      <c r="G592" s="247" t="s">
        <v>184</v>
      </c>
      <c r="H592" s="589">
        <v>72129.73</v>
      </c>
      <c r="I592" s="130">
        <v>1</v>
      </c>
      <c r="J592" s="589">
        <v>72129.73</v>
      </c>
      <c r="K592" s="589">
        <v>72129.73</v>
      </c>
      <c r="L592" s="247">
        <v>1</v>
      </c>
      <c r="M592" s="589">
        <v>72129.73</v>
      </c>
      <c r="N592" s="6" t="s">
        <v>1264</v>
      </c>
      <c r="O592" s="246">
        <v>45456</v>
      </c>
      <c r="P592" s="33" t="str">
        <f>HYPERLINK("https://my.zakupivli.pro/remote/dispatcher/state_purchase_view/51621292", "UA-2024-06-13-011394-a")</f>
        <v>UA-2024-06-13-011394-a</v>
      </c>
      <c r="Q592" s="247">
        <v>72129.73</v>
      </c>
      <c r="R592" s="247">
        <v>1</v>
      </c>
      <c r="S592" s="247">
        <v>72129.73</v>
      </c>
      <c r="T592" s="246">
        <v>45456</v>
      </c>
      <c r="U592" s="130"/>
      <c r="V592" s="247" t="s">
        <v>59</v>
      </c>
    </row>
    <row r="593" spans="1:22" ht="140.4" x14ac:dyDescent="0.3">
      <c r="A593" s="130">
        <v>587</v>
      </c>
      <c r="B593" s="43" t="s">
        <v>40</v>
      </c>
      <c r="C593" s="44" t="s">
        <v>41</v>
      </c>
      <c r="D593" s="248" t="s">
        <v>58</v>
      </c>
      <c r="E593" s="449" t="s">
        <v>20</v>
      </c>
      <c r="F593" s="44" t="s">
        <v>1265</v>
      </c>
      <c r="G593" s="248" t="s">
        <v>184</v>
      </c>
      <c r="H593" s="589">
        <v>1440</v>
      </c>
      <c r="I593" s="130">
        <v>1</v>
      </c>
      <c r="J593" s="589">
        <v>1440</v>
      </c>
      <c r="K593" s="589">
        <v>1440</v>
      </c>
      <c r="L593" s="248">
        <v>1</v>
      </c>
      <c r="M593" s="589">
        <v>1440</v>
      </c>
      <c r="N593" s="6" t="s">
        <v>1266</v>
      </c>
      <c r="O593" s="131">
        <v>45457</v>
      </c>
      <c r="P593" s="33" t="str">
        <f>HYPERLINK("https://my.zakupivli.pro/remote/dispatcher/state_purchase_view/51625477", "UA-2024-06-14-000434-a")</f>
        <v>UA-2024-06-14-000434-a</v>
      </c>
      <c r="Q593" s="117">
        <v>1368</v>
      </c>
      <c r="R593" s="130">
        <v>1</v>
      </c>
      <c r="S593" s="117">
        <v>1368</v>
      </c>
      <c r="T593" s="131">
        <v>45478</v>
      </c>
      <c r="U593" s="130"/>
      <c r="V593" s="130"/>
    </row>
    <row r="594" spans="1:22" ht="46.8" x14ac:dyDescent="0.3">
      <c r="A594" s="130">
        <v>588</v>
      </c>
      <c r="B594" s="43" t="s">
        <v>21</v>
      </c>
      <c r="C594" s="44" t="s">
        <v>36</v>
      </c>
      <c r="D594" s="249" t="s">
        <v>58</v>
      </c>
      <c r="E594" s="249" t="s">
        <v>75</v>
      </c>
      <c r="F594" s="44" t="s">
        <v>1267</v>
      </c>
      <c r="G594" s="130" t="s">
        <v>185</v>
      </c>
      <c r="H594" s="589"/>
      <c r="I594" s="130">
        <v>15</v>
      </c>
      <c r="J594" s="589">
        <v>1502.2974999999999</v>
      </c>
      <c r="K594" s="589"/>
      <c r="L594" s="249">
        <v>15</v>
      </c>
      <c r="M594" s="589">
        <v>1502.2974999999999</v>
      </c>
      <c r="N594" s="6" t="s">
        <v>1269</v>
      </c>
      <c r="O594" s="131">
        <v>45461</v>
      </c>
      <c r="P594" s="33" t="str">
        <f>HYPERLINK("https://my.zakupivli.pro/remote/dispatcher/state_purchase_view/51698131", "UA-2024-06-18-008358-a")</f>
        <v>UA-2024-06-18-008358-a</v>
      </c>
      <c r="Q594" s="130"/>
      <c r="R594" s="130">
        <v>15</v>
      </c>
      <c r="S594" s="130">
        <v>1495.6724999999999</v>
      </c>
      <c r="T594" s="131">
        <v>45476</v>
      </c>
      <c r="U594" s="130"/>
      <c r="V594" s="130"/>
    </row>
    <row r="595" spans="1:22" ht="109.2" x14ac:dyDescent="0.3">
      <c r="A595" s="130">
        <v>589</v>
      </c>
      <c r="B595" s="43" t="s">
        <v>21</v>
      </c>
      <c r="C595" s="44" t="s">
        <v>174</v>
      </c>
      <c r="D595" s="249" t="s">
        <v>58</v>
      </c>
      <c r="E595" s="249" t="s">
        <v>88</v>
      </c>
      <c r="F595" s="44" t="s">
        <v>1268</v>
      </c>
      <c r="G595" s="130" t="s">
        <v>187</v>
      </c>
      <c r="H595" s="589"/>
      <c r="I595" s="130">
        <v>33</v>
      </c>
      <c r="J595" s="589">
        <v>804.54</v>
      </c>
      <c r="K595" s="589"/>
      <c r="L595" s="249">
        <v>33</v>
      </c>
      <c r="M595" s="589">
        <v>804.54</v>
      </c>
      <c r="N595" s="6" t="s">
        <v>1270</v>
      </c>
      <c r="O595" s="250">
        <v>45461</v>
      </c>
      <c r="P595" s="33" t="str">
        <f>HYPERLINK("https://my.zakupivli.pro/remote/dispatcher/state_purchase_view/51701959", "UA-2024-06-18-010109-a")</f>
        <v>UA-2024-06-18-010109-a</v>
      </c>
      <c r="Q595" s="117">
        <v>686.4</v>
      </c>
      <c r="R595" s="130">
        <v>33</v>
      </c>
      <c r="S595" s="117">
        <v>686.4</v>
      </c>
      <c r="T595" s="131">
        <v>45495</v>
      </c>
      <c r="U595" s="130"/>
      <c r="V595" s="130"/>
    </row>
    <row r="596" spans="1:22" ht="62.4" x14ac:dyDescent="0.3">
      <c r="A596" s="130">
        <v>590</v>
      </c>
      <c r="B596" s="43" t="s">
        <v>21</v>
      </c>
      <c r="C596" s="44" t="s">
        <v>1143</v>
      </c>
      <c r="D596" s="130"/>
      <c r="E596" s="251" t="s">
        <v>75</v>
      </c>
      <c r="F596" s="44" t="s">
        <v>1141</v>
      </c>
      <c r="G596" s="130" t="s">
        <v>186</v>
      </c>
      <c r="H596" s="589"/>
      <c r="I596" s="130">
        <v>4</v>
      </c>
      <c r="J596" s="589">
        <v>75.792900000000003</v>
      </c>
      <c r="K596" s="589"/>
      <c r="L596" s="251">
        <v>4</v>
      </c>
      <c r="M596" s="589">
        <v>75.792900000000003</v>
      </c>
      <c r="N596" s="6" t="s">
        <v>1271</v>
      </c>
      <c r="O596" s="131">
        <v>45462</v>
      </c>
      <c r="P596" s="120" t="str">
        <f>HYPERLINK("https://my.zakupivli.pro/remote/dispatcher/state_purchase_view/51723896", "UA-2024-06-19-006845-a")</f>
        <v>UA-2024-06-19-006845-a</v>
      </c>
      <c r="Q596" s="130"/>
      <c r="R596" s="251">
        <v>4</v>
      </c>
      <c r="S596" s="251">
        <v>75.792900000000003</v>
      </c>
      <c r="T596" s="131">
        <v>45462</v>
      </c>
      <c r="U596" s="130"/>
      <c r="V596" s="251" t="s">
        <v>59</v>
      </c>
    </row>
    <row r="597" spans="1:22" ht="62.4" x14ac:dyDescent="0.3">
      <c r="A597" s="130">
        <v>591</v>
      </c>
      <c r="B597" s="43" t="s">
        <v>21</v>
      </c>
      <c r="C597" s="44" t="s">
        <v>412</v>
      </c>
      <c r="D597" s="130"/>
      <c r="E597" s="252" t="s">
        <v>75</v>
      </c>
      <c r="F597" s="223" t="s">
        <v>1272</v>
      </c>
      <c r="G597" s="130" t="s">
        <v>185</v>
      </c>
      <c r="H597" s="589">
        <v>8.1999999999999993</v>
      </c>
      <c r="I597" s="130">
        <v>10</v>
      </c>
      <c r="J597" s="589">
        <v>82</v>
      </c>
      <c r="K597" s="589">
        <v>8.1999999999999993</v>
      </c>
      <c r="L597" s="252">
        <v>10</v>
      </c>
      <c r="M597" s="589">
        <v>82</v>
      </c>
      <c r="N597" s="6" t="s">
        <v>1274</v>
      </c>
      <c r="O597" s="131">
        <v>45463</v>
      </c>
      <c r="P597" s="33" t="str">
        <f>HYPERLINK("https://my.zakupivli.pro/remote/dispatcher/state_purchase_view/51759699", "UA-2024-06-20-010267-a")</f>
        <v>UA-2024-06-20-010267-a</v>
      </c>
      <c r="Q597" s="117">
        <v>8.1999999999999993</v>
      </c>
      <c r="R597" s="252">
        <v>10</v>
      </c>
      <c r="S597" s="117">
        <v>82</v>
      </c>
      <c r="T597" s="253">
        <v>45463</v>
      </c>
      <c r="U597" s="130"/>
      <c r="V597" s="252" t="s">
        <v>59</v>
      </c>
    </row>
    <row r="598" spans="1:22" ht="62.4" x14ac:dyDescent="0.3">
      <c r="A598" s="130">
        <v>592</v>
      </c>
      <c r="B598" s="43" t="s">
        <v>21</v>
      </c>
      <c r="C598" s="44" t="s">
        <v>30</v>
      </c>
      <c r="D598" s="130"/>
      <c r="E598" s="252" t="s">
        <v>75</v>
      </c>
      <c r="F598" s="223" t="s">
        <v>908</v>
      </c>
      <c r="G598" s="130" t="s">
        <v>185</v>
      </c>
      <c r="H598" s="589">
        <v>25.65</v>
      </c>
      <c r="I598" s="130">
        <v>3</v>
      </c>
      <c r="J598" s="589">
        <v>76.95</v>
      </c>
      <c r="K598" s="589">
        <v>25.65</v>
      </c>
      <c r="L598" s="252">
        <v>3</v>
      </c>
      <c r="M598" s="589">
        <v>76.95</v>
      </c>
      <c r="N598" s="6" t="s">
        <v>1275</v>
      </c>
      <c r="O598" s="253">
        <v>45463</v>
      </c>
      <c r="P598" s="33" t="str">
        <f>HYPERLINK("https://my.zakupivli.pro/remote/dispatcher/state_purchase_view/51759838", "UA-2024-06-20-010243-a")</f>
        <v>UA-2024-06-20-010243-a</v>
      </c>
      <c r="Q598" s="117">
        <v>25.65</v>
      </c>
      <c r="R598" s="252">
        <v>3</v>
      </c>
      <c r="S598" s="117">
        <v>76.95</v>
      </c>
      <c r="T598" s="253">
        <v>45463</v>
      </c>
      <c r="U598" s="130"/>
      <c r="V598" s="252" t="s">
        <v>59</v>
      </c>
    </row>
    <row r="599" spans="1:22" ht="62.4" x14ac:dyDescent="0.3">
      <c r="A599" s="130">
        <v>593</v>
      </c>
      <c r="B599" s="43" t="s">
        <v>21</v>
      </c>
      <c r="C599" s="44" t="s">
        <v>32</v>
      </c>
      <c r="D599" s="130"/>
      <c r="E599" s="252" t="s">
        <v>75</v>
      </c>
      <c r="F599" s="223" t="s">
        <v>1273</v>
      </c>
      <c r="G599" s="130" t="s">
        <v>185</v>
      </c>
      <c r="H599" s="589">
        <v>59.770699999999998</v>
      </c>
      <c r="I599" s="130">
        <v>1</v>
      </c>
      <c r="J599" s="589">
        <v>59.770699999999998</v>
      </c>
      <c r="K599" s="589">
        <v>59.770699999999998</v>
      </c>
      <c r="L599" s="252">
        <v>1</v>
      </c>
      <c r="M599" s="589">
        <v>59.770699999999998</v>
      </c>
      <c r="N599" s="6" t="s">
        <v>1276</v>
      </c>
      <c r="O599" s="253">
        <v>45463</v>
      </c>
      <c r="P599" s="33" t="str">
        <f>HYPERLINK("https://my.zakupivli.pro/remote/dispatcher/state_purchase_view/51759365", "UA-2024-06-20-010026-a")</f>
        <v>UA-2024-06-20-010026-a</v>
      </c>
      <c r="Q599" s="252">
        <v>59.770699999999998</v>
      </c>
      <c r="R599" s="252">
        <v>1</v>
      </c>
      <c r="S599" s="252">
        <v>59.770699999999998</v>
      </c>
      <c r="T599" s="253">
        <v>45463</v>
      </c>
      <c r="U599" s="130"/>
      <c r="V599" s="252" t="s">
        <v>59</v>
      </c>
    </row>
    <row r="600" spans="1:22" ht="62.4" x14ac:dyDescent="0.3">
      <c r="A600" s="130">
        <v>594</v>
      </c>
      <c r="B600" s="43" t="s">
        <v>40</v>
      </c>
      <c r="C600" s="44" t="s">
        <v>884</v>
      </c>
      <c r="D600" s="130"/>
      <c r="E600" s="255" t="s">
        <v>20</v>
      </c>
      <c r="F600" s="44" t="s">
        <v>1277</v>
      </c>
      <c r="G600" s="130" t="s">
        <v>184</v>
      </c>
      <c r="H600" s="589">
        <v>133.03546</v>
      </c>
      <c r="I600" s="130">
        <v>1</v>
      </c>
      <c r="J600" s="589">
        <v>133.03546</v>
      </c>
      <c r="K600" s="589">
        <v>133.03546</v>
      </c>
      <c r="L600" s="255">
        <v>1</v>
      </c>
      <c r="M600" s="589">
        <v>133.03546</v>
      </c>
      <c r="N600" s="6" t="s">
        <v>1286</v>
      </c>
      <c r="O600" s="131">
        <v>45468</v>
      </c>
      <c r="P600" s="33" t="str">
        <f>HYPERLINK("https://my.zakupivli.pro/remote/dispatcher/state_purchase_view/51822469", "UA-2024-06-25-002869-a")</f>
        <v>UA-2024-06-25-002869-a</v>
      </c>
      <c r="Q600" s="255">
        <v>133.03546</v>
      </c>
      <c r="R600" s="255">
        <v>1</v>
      </c>
      <c r="S600" s="255">
        <v>133.03546</v>
      </c>
      <c r="T600" s="131">
        <v>45467</v>
      </c>
      <c r="U600" s="130"/>
      <c r="V600" s="255" t="s">
        <v>59</v>
      </c>
    </row>
    <row r="601" spans="1:22" ht="62.4" x14ac:dyDescent="0.3">
      <c r="A601" s="130">
        <v>595</v>
      </c>
      <c r="B601" s="43" t="s">
        <v>40</v>
      </c>
      <c r="C601" s="44" t="s">
        <v>884</v>
      </c>
      <c r="D601" s="130"/>
      <c r="E601" s="255" t="s">
        <v>20</v>
      </c>
      <c r="F601" s="44" t="s">
        <v>1278</v>
      </c>
      <c r="G601" s="255" t="s">
        <v>184</v>
      </c>
      <c r="H601" s="589">
        <v>140.55975000000001</v>
      </c>
      <c r="I601" s="130">
        <v>1</v>
      </c>
      <c r="J601" s="589">
        <v>140.55975000000001</v>
      </c>
      <c r="K601" s="589">
        <v>140.55975000000001</v>
      </c>
      <c r="L601" s="255">
        <v>1</v>
      </c>
      <c r="M601" s="589">
        <v>140.55975000000001</v>
      </c>
      <c r="N601" s="6" t="s">
        <v>1287</v>
      </c>
      <c r="O601" s="254">
        <v>45468</v>
      </c>
      <c r="P601" s="33" t="str">
        <f>HYPERLINK("https://my.zakupivli.pro/remote/dispatcher/state_purchase_view/51820402", "UA-2024-06-25-001923-a")</f>
        <v>UA-2024-06-25-001923-a</v>
      </c>
      <c r="Q601" s="255">
        <v>140.55975000000001</v>
      </c>
      <c r="R601" s="255">
        <v>1</v>
      </c>
      <c r="S601" s="255">
        <v>140.55975000000001</v>
      </c>
      <c r="T601" s="254">
        <v>45467</v>
      </c>
      <c r="U601" s="130"/>
      <c r="V601" s="255" t="s">
        <v>59</v>
      </c>
    </row>
    <row r="602" spans="1:22" ht="62.4" x14ac:dyDescent="0.3">
      <c r="A602" s="130">
        <v>596</v>
      </c>
      <c r="B602" s="43" t="s">
        <v>21</v>
      </c>
      <c r="C602" s="44" t="s">
        <v>1285</v>
      </c>
      <c r="D602" s="130"/>
      <c r="E602" s="255" t="s">
        <v>75</v>
      </c>
      <c r="F602" s="44" t="s">
        <v>1279</v>
      </c>
      <c r="G602" s="130" t="s">
        <v>186</v>
      </c>
      <c r="H602" s="589">
        <v>83.239199999999997</v>
      </c>
      <c r="I602" s="130">
        <v>1</v>
      </c>
      <c r="J602" s="589">
        <v>83.239199999999997</v>
      </c>
      <c r="K602" s="589">
        <v>83.239199999999997</v>
      </c>
      <c r="L602" s="255">
        <v>1</v>
      </c>
      <c r="M602" s="589">
        <v>83.239199999999997</v>
      </c>
      <c r="N602" s="6" t="s">
        <v>1288</v>
      </c>
      <c r="O602" s="254">
        <v>45468</v>
      </c>
      <c r="P602" s="33" t="str">
        <f>HYPERLINK("https://my.zakupivli.pro/remote/dispatcher/state_purchase_view/51818650", "UA-2024-06-25-001166-a")</f>
        <v>UA-2024-06-25-001166-a</v>
      </c>
      <c r="Q602" s="255">
        <v>83.239199999999997</v>
      </c>
      <c r="R602" s="255">
        <v>1</v>
      </c>
      <c r="S602" s="255">
        <v>83.239199999999997</v>
      </c>
      <c r="T602" s="254">
        <v>45468</v>
      </c>
      <c r="U602" s="130"/>
      <c r="V602" s="255" t="s">
        <v>59</v>
      </c>
    </row>
    <row r="603" spans="1:22" ht="78" x14ac:dyDescent="0.3">
      <c r="A603" s="130">
        <v>597</v>
      </c>
      <c r="B603" s="43" t="s">
        <v>40</v>
      </c>
      <c r="C603" s="44" t="s">
        <v>884</v>
      </c>
      <c r="D603" s="130"/>
      <c r="E603" s="255" t="s">
        <v>20</v>
      </c>
      <c r="F603" s="44" t="s">
        <v>1280</v>
      </c>
      <c r="G603" s="255" t="s">
        <v>184</v>
      </c>
      <c r="H603" s="589">
        <v>290.59892000000002</v>
      </c>
      <c r="I603" s="130">
        <v>1</v>
      </c>
      <c r="J603" s="589">
        <v>290.59892000000002</v>
      </c>
      <c r="K603" s="589">
        <v>290.59892000000002</v>
      </c>
      <c r="L603" s="255">
        <v>1</v>
      </c>
      <c r="M603" s="589">
        <v>290.59892000000002</v>
      </c>
      <c r="N603" s="6" t="s">
        <v>1289</v>
      </c>
      <c r="O603" s="254">
        <v>45468</v>
      </c>
      <c r="P603" s="33" t="str">
        <f>HYPERLINK("https://my.zakupivli.pro/remote/dispatcher/state_purchase_view/51817543", "UA-2024-06-25-000716-a")</f>
        <v>UA-2024-06-25-000716-a</v>
      </c>
      <c r="Q603" s="255">
        <v>290.59892000000002</v>
      </c>
      <c r="R603" s="255">
        <v>1</v>
      </c>
      <c r="S603" s="255">
        <v>290.59892000000002</v>
      </c>
      <c r="T603" s="254">
        <v>45467</v>
      </c>
      <c r="U603" s="130"/>
      <c r="V603" s="255" t="s">
        <v>59</v>
      </c>
    </row>
    <row r="604" spans="1:22" ht="78" x14ac:dyDescent="0.3">
      <c r="A604" s="130">
        <v>598</v>
      </c>
      <c r="B604" s="43" t="s">
        <v>40</v>
      </c>
      <c r="C604" s="44" t="s">
        <v>884</v>
      </c>
      <c r="D604" s="130"/>
      <c r="E604" s="255" t="s">
        <v>20</v>
      </c>
      <c r="F604" s="44" t="s">
        <v>1281</v>
      </c>
      <c r="G604" s="255" t="s">
        <v>184</v>
      </c>
      <c r="H604" s="589">
        <v>98.492909999999995</v>
      </c>
      <c r="I604" s="130">
        <v>1</v>
      </c>
      <c r="J604" s="589">
        <v>98.492909999999995</v>
      </c>
      <c r="K604" s="589">
        <v>98.492909999999995</v>
      </c>
      <c r="L604" s="255">
        <v>1</v>
      </c>
      <c r="M604" s="589">
        <v>98.492909999999995</v>
      </c>
      <c r="N604" s="6" t="s">
        <v>1290</v>
      </c>
      <c r="O604" s="254">
        <v>45468</v>
      </c>
      <c r="P604" s="33" t="str">
        <f>HYPERLINK("https://my.zakupivli.pro/remote/dispatcher/state_purchase_view/51817314", "UA-2024-06-25-000624-a")</f>
        <v>UA-2024-06-25-000624-a</v>
      </c>
      <c r="Q604" s="255">
        <v>98.492909999999995</v>
      </c>
      <c r="R604" s="255">
        <v>1</v>
      </c>
      <c r="S604" s="255">
        <v>98.492909999999995</v>
      </c>
      <c r="T604" s="254">
        <v>45467</v>
      </c>
      <c r="U604" s="130"/>
      <c r="V604" s="255" t="s">
        <v>59</v>
      </c>
    </row>
    <row r="605" spans="1:22" ht="78" x14ac:dyDescent="0.3">
      <c r="A605" s="130">
        <v>599</v>
      </c>
      <c r="B605" s="43" t="s">
        <v>40</v>
      </c>
      <c r="C605" s="44" t="s">
        <v>884</v>
      </c>
      <c r="D605" s="130"/>
      <c r="E605" s="255" t="s">
        <v>20</v>
      </c>
      <c r="F605" s="44" t="s">
        <v>1282</v>
      </c>
      <c r="G605" s="255" t="s">
        <v>184</v>
      </c>
      <c r="H605" s="589">
        <v>270.58053000000001</v>
      </c>
      <c r="I605" s="255">
        <v>1</v>
      </c>
      <c r="J605" s="589">
        <v>270.58053000000001</v>
      </c>
      <c r="K605" s="589">
        <v>270.58053000000001</v>
      </c>
      <c r="L605" s="255">
        <v>1</v>
      </c>
      <c r="M605" s="589">
        <v>270.58053000000001</v>
      </c>
      <c r="N605" s="6" t="s">
        <v>1291</v>
      </c>
      <c r="O605" s="254">
        <v>45468</v>
      </c>
      <c r="P605" s="33" t="str">
        <f>HYPERLINK("https://my.zakupivli.pro/remote/dispatcher/state_purchase_view/51817193", "UA-2024-06-25-000567-a")</f>
        <v>UA-2024-06-25-000567-a</v>
      </c>
      <c r="Q605" s="255">
        <v>270.58053000000001</v>
      </c>
      <c r="R605" s="255">
        <v>1</v>
      </c>
      <c r="S605" s="255">
        <v>270.58053000000001</v>
      </c>
      <c r="T605" s="254">
        <v>45467</v>
      </c>
      <c r="U605" s="130"/>
      <c r="V605" s="255" t="s">
        <v>59</v>
      </c>
    </row>
    <row r="606" spans="1:22" ht="62.4" x14ac:dyDescent="0.3">
      <c r="A606" s="130">
        <v>600</v>
      </c>
      <c r="B606" s="43" t="s">
        <v>40</v>
      </c>
      <c r="C606" s="44" t="s">
        <v>41</v>
      </c>
      <c r="D606" s="130"/>
      <c r="E606" s="255" t="s">
        <v>20</v>
      </c>
      <c r="F606" s="44" t="s">
        <v>1283</v>
      </c>
      <c r="G606" s="255" t="s">
        <v>184</v>
      </c>
      <c r="H606" s="589">
        <v>172.96986000000001</v>
      </c>
      <c r="I606" s="255">
        <v>1</v>
      </c>
      <c r="J606" s="589">
        <v>172.96986000000001</v>
      </c>
      <c r="K606" s="589">
        <v>172.96986000000001</v>
      </c>
      <c r="L606" s="255">
        <v>1</v>
      </c>
      <c r="M606" s="589">
        <v>172.96986000000001</v>
      </c>
      <c r="N606" s="6" t="s">
        <v>1292</v>
      </c>
      <c r="O606" s="254">
        <v>45468</v>
      </c>
      <c r="P606" s="33" t="str">
        <f>HYPERLINK("https://my.zakupivli.pro/remote/dispatcher/state_purchase_view/51817090", "UA-2024-06-25-000508-a")</f>
        <v>UA-2024-06-25-000508-a</v>
      </c>
      <c r="Q606" s="255">
        <v>172.96986000000001</v>
      </c>
      <c r="R606" s="255">
        <v>1</v>
      </c>
      <c r="S606" s="255">
        <v>172.96986000000001</v>
      </c>
      <c r="T606" s="254">
        <v>45467</v>
      </c>
      <c r="U606" s="130"/>
      <c r="V606" s="255" t="s">
        <v>59</v>
      </c>
    </row>
    <row r="607" spans="1:22" ht="78" x14ac:dyDescent="0.3">
      <c r="A607" s="130">
        <v>601</v>
      </c>
      <c r="B607" s="43" t="s">
        <v>40</v>
      </c>
      <c r="C607" s="44" t="s">
        <v>884</v>
      </c>
      <c r="D607" s="130"/>
      <c r="E607" s="255" t="s">
        <v>20</v>
      </c>
      <c r="F607" s="44" t="s">
        <v>1284</v>
      </c>
      <c r="G607" s="255" t="s">
        <v>184</v>
      </c>
      <c r="H607" s="589">
        <v>118.16503</v>
      </c>
      <c r="I607" s="255">
        <v>1</v>
      </c>
      <c r="J607" s="589">
        <v>118.16503</v>
      </c>
      <c r="K607" s="589">
        <v>118.16503</v>
      </c>
      <c r="L607" s="255">
        <v>1</v>
      </c>
      <c r="M607" s="589">
        <v>118.16503</v>
      </c>
      <c r="N607" s="6" t="s">
        <v>1293</v>
      </c>
      <c r="O607" s="254">
        <v>45468</v>
      </c>
      <c r="P607" s="33" t="str">
        <f>HYPERLINK("https://my.zakupivli.pro/remote/dispatcher/state_purchase_view/51816944", "UA-2024-06-25-000445-a")</f>
        <v>UA-2024-06-25-000445-a</v>
      </c>
      <c r="Q607" s="255">
        <v>118.16503</v>
      </c>
      <c r="R607" s="255">
        <v>1</v>
      </c>
      <c r="S607" s="255">
        <v>118.16503</v>
      </c>
      <c r="T607" s="254">
        <v>45467</v>
      </c>
      <c r="U607" s="130"/>
      <c r="V607" s="255" t="s">
        <v>59</v>
      </c>
    </row>
    <row r="608" spans="1:22" ht="62.4" x14ac:dyDescent="0.3">
      <c r="A608" s="130">
        <v>602</v>
      </c>
      <c r="B608" s="43" t="s">
        <v>40</v>
      </c>
      <c r="C608" s="44" t="s">
        <v>73</v>
      </c>
      <c r="D608" s="130"/>
      <c r="E608" s="256" t="s">
        <v>75</v>
      </c>
      <c r="F608" s="44" t="s">
        <v>1294</v>
      </c>
      <c r="G608" s="256" t="s">
        <v>184</v>
      </c>
      <c r="H608" s="589">
        <v>535.61528999999996</v>
      </c>
      <c r="I608" s="130">
        <v>1</v>
      </c>
      <c r="J608" s="589">
        <v>535.61528999999996</v>
      </c>
      <c r="K608" s="589">
        <v>535.61528999999996</v>
      </c>
      <c r="L608" s="256">
        <v>1</v>
      </c>
      <c r="M608" s="589">
        <v>535.61528999999996</v>
      </c>
      <c r="N608" s="6" t="s">
        <v>1295</v>
      </c>
      <c r="O608" s="131">
        <v>45469</v>
      </c>
      <c r="P608" s="33" t="str">
        <f>HYPERLINK("https://my.zakupivli.pro/remote/dispatcher/state_purchase_view/51864709", "UA-2024-06-26-010363-a")</f>
        <v>UA-2024-06-26-010363-a</v>
      </c>
      <c r="Q608" s="256">
        <v>535.61528999999996</v>
      </c>
      <c r="R608" s="256">
        <v>1</v>
      </c>
      <c r="S608" s="256">
        <v>535.61528999999996</v>
      </c>
      <c r="T608" s="131">
        <v>45469</v>
      </c>
      <c r="U608" s="130"/>
      <c r="V608" s="256" t="s">
        <v>59</v>
      </c>
    </row>
    <row r="609" spans="1:22" ht="62.4" x14ac:dyDescent="0.3">
      <c r="A609" s="130">
        <v>603</v>
      </c>
      <c r="B609" s="43" t="s">
        <v>21</v>
      </c>
      <c r="C609" s="44" t="s">
        <v>412</v>
      </c>
      <c r="D609" s="130"/>
      <c r="E609" s="257" t="s">
        <v>20</v>
      </c>
      <c r="F609" s="223" t="s">
        <v>1296</v>
      </c>
      <c r="G609" s="130" t="s">
        <v>185</v>
      </c>
      <c r="H609" s="589">
        <v>64.333330000000004</v>
      </c>
      <c r="I609" s="130">
        <v>1</v>
      </c>
      <c r="J609" s="589">
        <v>64.333330000000004</v>
      </c>
      <c r="K609" s="589">
        <v>64.333330000000004</v>
      </c>
      <c r="L609" s="257">
        <v>1</v>
      </c>
      <c r="M609" s="589">
        <v>64.333330000000004</v>
      </c>
      <c r="N609" s="6" t="s">
        <v>1297</v>
      </c>
      <c r="O609" s="131">
        <v>45474</v>
      </c>
      <c r="P609" s="33" t="str">
        <f>HYPERLINK("https://my.zakupivli.pro/remote/dispatcher/state_purchase_view/51920404", "UA-2024-07-01-004453-a")</f>
        <v>UA-2024-07-01-004453-a</v>
      </c>
      <c r="Q609" s="257">
        <v>64.333330000000004</v>
      </c>
      <c r="R609" s="257">
        <v>1</v>
      </c>
      <c r="S609" s="257">
        <v>64.333330000000004</v>
      </c>
      <c r="T609" s="131">
        <v>45474</v>
      </c>
      <c r="U609" s="130"/>
      <c r="V609" s="257" t="s">
        <v>59</v>
      </c>
    </row>
    <row r="610" spans="1:22" ht="62.4" x14ac:dyDescent="0.3">
      <c r="A610" s="446">
        <v>604</v>
      </c>
      <c r="B610" s="451" t="s">
        <v>40</v>
      </c>
      <c r="C610" s="452" t="s">
        <v>41</v>
      </c>
      <c r="D610" s="446"/>
      <c r="E610" s="446" t="s">
        <v>20</v>
      </c>
      <c r="F610" s="452" t="s">
        <v>1298</v>
      </c>
      <c r="G610" s="258" t="s">
        <v>184</v>
      </c>
      <c r="H610" s="589">
        <v>675.13612000000001</v>
      </c>
      <c r="I610" s="130">
        <v>1</v>
      </c>
      <c r="J610" s="589">
        <v>675.13612000000001</v>
      </c>
      <c r="K610" s="589">
        <v>675.13612000000001</v>
      </c>
      <c r="L610" s="258">
        <v>1</v>
      </c>
      <c r="M610" s="589">
        <v>675.13612000000001</v>
      </c>
      <c r="N610" s="6" t="s">
        <v>1299</v>
      </c>
      <c r="O610" s="131">
        <v>45475</v>
      </c>
      <c r="P610" s="120" t="str">
        <f>HYPERLINK("https://my.zakupivli.pro/remote/dispatcher/state_purchase_view/51931077", "UA-2024-07-02-000094-a")</f>
        <v>UA-2024-07-02-000094-a</v>
      </c>
      <c r="Q610" s="258">
        <v>675.13612000000001</v>
      </c>
      <c r="R610" s="258">
        <v>1</v>
      </c>
      <c r="S610" s="258">
        <v>675.13612000000001</v>
      </c>
      <c r="T610" s="131">
        <v>45475</v>
      </c>
      <c r="U610" s="130"/>
      <c r="V610" s="258" t="s">
        <v>59</v>
      </c>
    </row>
    <row r="611" spans="1:22" ht="62.4" x14ac:dyDescent="0.3">
      <c r="A611" s="130">
        <v>605</v>
      </c>
      <c r="B611" s="43" t="s">
        <v>21</v>
      </c>
      <c r="C611" s="44" t="s">
        <v>1302</v>
      </c>
      <c r="D611" s="130"/>
      <c r="E611" s="259" t="s">
        <v>75</v>
      </c>
      <c r="F611" s="44" t="s">
        <v>1300</v>
      </c>
      <c r="G611" s="130" t="s">
        <v>185</v>
      </c>
      <c r="H611" s="589">
        <v>71.025000000000006</v>
      </c>
      <c r="I611" s="130">
        <v>1</v>
      </c>
      <c r="J611" s="589">
        <v>71.025000000000006</v>
      </c>
      <c r="K611" s="589">
        <v>71.025000000000006</v>
      </c>
      <c r="L611" s="259">
        <v>1</v>
      </c>
      <c r="M611" s="589">
        <v>71.025000000000006</v>
      </c>
      <c r="N611" s="6" t="s">
        <v>1303</v>
      </c>
      <c r="O611" s="131">
        <v>45476</v>
      </c>
      <c r="P611" s="33" t="str">
        <f>HYPERLINK("https://my.zakupivli.pro/remote/dispatcher/state_purchase_view/51960186", "UA-2024-07-03-002336-a")</f>
        <v>UA-2024-07-03-002336-a</v>
      </c>
      <c r="Q611" s="259">
        <v>71.025000000000006</v>
      </c>
      <c r="R611" s="259">
        <v>1</v>
      </c>
      <c r="S611" s="259">
        <v>71.025000000000006</v>
      </c>
      <c r="T611" s="131">
        <v>45476</v>
      </c>
      <c r="U611" s="130"/>
      <c r="V611" s="259" t="s">
        <v>59</v>
      </c>
    </row>
    <row r="612" spans="1:22" ht="62.4" x14ac:dyDescent="0.3">
      <c r="A612" s="130">
        <v>606</v>
      </c>
      <c r="B612" s="43" t="s">
        <v>40</v>
      </c>
      <c r="C612" s="44" t="s">
        <v>73</v>
      </c>
      <c r="D612" s="130"/>
      <c r="E612" s="259" t="s">
        <v>75</v>
      </c>
      <c r="F612" s="44" t="s">
        <v>1301</v>
      </c>
      <c r="G612" s="130" t="s">
        <v>184</v>
      </c>
      <c r="H612" s="589">
        <v>184.85871</v>
      </c>
      <c r="I612" s="130">
        <v>1</v>
      </c>
      <c r="J612" s="589">
        <v>184.85871</v>
      </c>
      <c r="K612" s="589">
        <v>184.85871</v>
      </c>
      <c r="L612" s="259">
        <v>1</v>
      </c>
      <c r="M612" s="589">
        <v>184.85871</v>
      </c>
      <c r="N612" s="6" t="s">
        <v>1304</v>
      </c>
      <c r="O612" s="260">
        <v>45476</v>
      </c>
      <c r="P612" s="33" t="str">
        <f>HYPERLINK("https://my.zakupivli.pro/remote/dispatcher/state_purchase_view/51971165", "UA-2024-07-03-007270-a")</f>
        <v>UA-2024-07-03-007270-a</v>
      </c>
      <c r="Q612" s="259">
        <v>184.85871</v>
      </c>
      <c r="R612" s="259">
        <v>1</v>
      </c>
      <c r="S612" s="259">
        <v>184.85871</v>
      </c>
      <c r="T612" s="260">
        <v>45476</v>
      </c>
      <c r="U612" s="130"/>
      <c r="V612" s="259" t="s">
        <v>59</v>
      </c>
    </row>
    <row r="613" spans="1:22" ht="62.4" x14ac:dyDescent="0.3">
      <c r="A613" s="130">
        <v>607</v>
      </c>
      <c r="B613" s="43" t="s">
        <v>21</v>
      </c>
      <c r="C613" s="44" t="s">
        <v>894</v>
      </c>
      <c r="D613" s="130"/>
      <c r="E613" s="262" t="s">
        <v>75</v>
      </c>
      <c r="F613" s="44" t="s">
        <v>1305</v>
      </c>
      <c r="G613" s="130" t="s">
        <v>185</v>
      </c>
      <c r="H613" s="589">
        <v>16.5</v>
      </c>
      <c r="I613" s="130">
        <v>5</v>
      </c>
      <c r="J613" s="589">
        <v>82.5</v>
      </c>
      <c r="K613" s="589">
        <v>16.5</v>
      </c>
      <c r="L613" s="262">
        <v>5</v>
      </c>
      <c r="M613" s="589">
        <v>82.5</v>
      </c>
      <c r="N613" s="6" t="s">
        <v>1307</v>
      </c>
      <c r="O613" s="131">
        <v>45481</v>
      </c>
      <c r="P613" s="33" t="str">
        <f>HYPERLINK("https://my.zakupivli.pro/remote/dispatcher/state_purchase_view/52043167", "UA-2024-07-08-006396-a")</f>
        <v>UA-2024-07-08-006396-a</v>
      </c>
      <c r="Q613" s="117">
        <v>16.5</v>
      </c>
      <c r="R613" s="262">
        <v>5</v>
      </c>
      <c r="S613" s="117">
        <v>82.5</v>
      </c>
      <c r="T613" s="261">
        <v>45481</v>
      </c>
      <c r="U613" s="130"/>
      <c r="V613" s="262" t="s">
        <v>59</v>
      </c>
    </row>
    <row r="614" spans="1:22" ht="62.4" x14ac:dyDescent="0.3">
      <c r="A614" s="130">
        <v>608</v>
      </c>
      <c r="B614" s="43" t="s">
        <v>21</v>
      </c>
      <c r="C614" s="44" t="s">
        <v>32</v>
      </c>
      <c r="D614" s="130"/>
      <c r="E614" s="262" t="s">
        <v>75</v>
      </c>
      <c r="F614" s="44" t="s">
        <v>1306</v>
      </c>
      <c r="G614" s="130" t="s">
        <v>185</v>
      </c>
      <c r="H614" s="589">
        <v>36</v>
      </c>
      <c r="I614" s="130">
        <v>2</v>
      </c>
      <c r="J614" s="589">
        <v>72</v>
      </c>
      <c r="K614" s="589">
        <v>36</v>
      </c>
      <c r="L614" s="262">
        <v>2</v>
      </c>
      <c r="M614" s="589">
        <v>72</v>
      </c>
      <c r="N614" s="6" t="s">
        <v>1308</v>
      </c>
      <c r="O614" s="261">
        <v>45481</v>
      </c>
      <c r="P614" s="33" t="str">
        <f>HYPERLINK("https://my.zakupivli.pro/remote/dispatcher/state_purchase_view/52044369", "UA-2024-07-08-006915-a")</f>
        <v>UA-2024-07-08-006915-a</v>
      </c>
      <c r="Q614" s="117">
        <v>36</v>
      </c>
      <c r="R614" s="262">
        <v>2</v>
      </c>
      <c r="S614" s="117">
        <v>72</v>
      </c>
      <c r="T614" s="261">
        <v>45481</v>
      </c>
      <c r="U614" s="130"/>
      <c r="V614" s="262" t="s">
        <v>59</v>
      </c>
    </row>
    <row r="615" spans="1:22" ht="62.4" x14ac:dyDescent="0.3">
      <c r="A615" s="130">
        <v>609</v>
      </c>
      <c r="B615" s="43" t="s">
        <v>40</v>
      </c>
      <c r="C615" s="44" t="s">
        <v>73</v>
      </c>
      <c r="D615" s="130"/>
      <c r="E615" s="263" t="s">
        <v>75</v>
      </c>
      <c r="F615" s="44" t="s">
        <v>1309</v>
      </c>
      <c r="G615" s="263" t="s">
        <v>184</v>
      </c>
      <c r="H615" s="589">
        <v>98</v>
      </c>
      <c r="I615" s="130">
        <v>1</v>
      </c>
      <c r="J615" s="589">
        <v>98</v>
      </c>
      <c r="K615" s="589">
        <v>98</v>
      </c>
      <c r="L615" s="263">
        <v>1</v>
      </c>
      <c r="M615" s="589">
        <v>98</v>
      </c>
      <c r="N615" s="6" t="s">
        <v>1310</v>
      </c>
      <c r="O615" s="131">
        <v>45483</v>
      </c>
      <c r="P615" s="33" t="str">
        <f>HYPERLINK("https://my.zakupivli.pro/remote/dispatcher/state_purchase_view/52095853", "UA-2024-07-10-008265-a")</f>
        <v>UA-2024-07-10-008265-a</v>
      </c>
      <c r="Q615" s="117">
        <v>98</v>
      </c>
      <c r="R615" s="263">
        <v>1</v>
      </c>
      <c r="S615" s="117">
        <v>98</v>
      </c>
      <c r="T615" s="264">
        <v>45483</v>
      </c>
      <c r="U615" s="130"/>
      <c r="V615" s="263" t="s">
        <v>59</v>
      </c>
    </row>
    <row r="616" spans="1:22" ht="62.4" x14ac:dyDescent="0.3">
      <c r="A616" s="130">
        <v>610</v>
      </c>
      <c r="B616" s="43" t="s">
        <v>40</v>
      </c>
      <c r="C616" s="44" t="s">
        <v>884</v>
      </c>
      <c r="D616" s="130"/>
      <c r="E616" s="265" t="s">
        <v>20</v>
      </c>
      <c r="F616" s="44" t="s">
        <v>1311</v>
      </c>
      <c r="G616" s="265" t="s">
        <v>184</v>
      </c>
      <c r="H616" s="589">
        <v>961.83731999999998</v>
      </c>
      <c r="I616" s="130">
        <v>1</v>
      </c>
      <c r="J616" s="589">
        <v>961.83731999999998</v>
      </c>
      <c r="K616" s="589">
        <v>961.83731999999998</v>
      </c>
      <c r="L616" s="265">
        <v>1</v>
      </c>
      <c r="M616" s="589">
        <v>961.83731999999998</v>
      </c>
      <c r="N616" s="6" t="s">
        <v>1315</v>
      </c>
      <c r="O616" s="266">
        <v>45488</v>
      </c>
      <c r="P616" s="33" t="str">
        <f>HYPERLINK("https://my.zakupivli.pro/remote/dispatcher/state_purchase_view/52153166", "UA-2024-07-15-002029-a")</f>
        <v>UA-2024-07-15-002029-a</v>
      </c>
      <c r="Q616" s="265">
        <v>961.83731999999998</v>
      </c>
      <c r="R616" s="265">
        <v>1</v>
      </c>
      <c r="S616" s="265">
        <v>961.83731999999998</v>
      </c>
      <c r="T616" s="131">
        <v>45485</v>
      </c>
      <c r="U616" s="130"/>
      <c r="V616" s="265" t="s">
        <v>59</v>
      </c>
    </row>
    <row r="617" spans="1:22" ht="62.4" x14ac:dyDescent="0.3">
      <c r="A617" s="130">
        <v>611</v>
      </c>
      <c r="B617" s="43" t="s">
        <v>40</v>
      </c>
      <c r="C617" s="44" t="s">
        <v>884</v>
      </c>
      <c r="D617" s="130"/>
      <c r="E617" s="265" t="s">
        <v>20</v>
      </c>
      <c r="F617" s="44" t="s">
        <v>1312</v>
      </c>
      <c r="G617" s="265" t="s">
        <v>184</v>
      </c>
      <c r="H617" s="589">
        <v>270.08897000000002</v>
      </c>
      <c r="I617" s="130">
        <v>1</v>
      </c>
      <c r="J617" s="589">
        <v>270.08897000000002</v>
      </c>
      <c r="K617" s="589">
        <v>270.08897000000002</v>
      </c>
      <c r="L617" s="265">
        <v>1</v>
      </c>
      <c r="M617" s="589">
        <v>270.08897000000002</v>
      </c>
      <c r="N617" s="6" t="s">
        <v>1316</v>
      </c>
      <c r="O617" s="266">
        <v>45488</v>
      </c>
      <c r="P617" s="33" t="str">
        <f>HYPERLINK("https://my.zakupivli.pro/remote/dispatcher/state_purchase_view/52153696", "UA-2024-07-15-002322-a")</f>
        <v>UA-2024-07-15-002322-a</v>
      </c>
      <c r="Q617" s="265">
        <v>270.08897000000002</v>
      </c>
      <c r="R617" s="265">
        <v>1</v>
      </c>
      <c r="S617" s="265">
        <v>270.08897000000002</v>
      </c>
      <c r="T617" s="266">
        <v>45485</v>
      </c>
      <c r="U617" s="130"/>
      <c r="V617" s="265" t="s">
        <v>59</v>
      </c>
    </row>
    <row r="618" spans="1:22" ht="93.6" x14ac:dyDescent="0.3">
      <c r="A618" s="130">
        <v>612</v>
      </c>
      <c r="B618" s="43" t="s">
        <v>21</v>
      </c>
      <c r="C618" s="44" t="s">
        <v>1314</v>
      </c>
      <c r="D618" s="130"/>
      <c r="E618" s="265" t="s">
        <v>75</v>
      </c>
      <c r="F618" s="44" t="s">
        <v>1313</v>
      </c>
      <c r="G618" s="130" t="s">
        <v>186</v>
      </c>
      <c r="H618" s="589"/>
      <c r="I618" s="130">
        <v>14</v>
      </c>
      <c r="J618" s="589">
        <v>46.283360000000002</v>
      </c>
      <c r="K618" s="589"/>
      <c r="L618" s="265">
        <v>14</v>
      </c>
      <c r="M618" s="589">
        <v>46.283360000000002</v>
      </c>
      <c r="N618" s="6" t="s">
        <v>1317</v>
      </c>
      <c r="O618" s="266">
        <v>45488</v>
      </c>
      <c r="P618" s="33" t="str">
        <f>HYPERLINK("https://my.zakupivli.pro/remote/dispatcher/state_purchase_view/52158746", "UA-2024-07-15-004574-a")</f>
        <v>UA-2024-07-15-004574-a</v>
      </c>
      <c r="Q618" s="130"/>
      <c r="R618" s="265">
        <v>14</v>
      </c>
      <c r="S618" s="265">
        <v>46.283360000000002</v>
      </c>
      <c r="T618" s="131">
        <v>45488</v>
      </c>
      <c r="U618" s="130"/>
      <c r="V618" s="265" t="s">
        <v>59</v>
      </c>
    </row>
    <row r="619" spans="1:22" ht="62.4" x14ac:dyDescent="0.3">
      <c r="A619" s="130">
        <v>613</v>
      </c>
      <c r="B619" s="43" t="s">
        <v>40</v>
      </c>
      <c r="C619" s="44" t="s">
        <v>884</v>
      </c>
      <c r="D619" s="130"/>
      <c r="E619" s="267" t="s">
        <v>20</v>
      </c>
      <c r="F619" s="44" t="s">
        <v>1318</v>
      </c>
      <c r="G619" s="267" t="s">
        <v>184</v>
      </c>
      <c r="H619" s="589">
        <v>194.94922</v>
      </c>
      <c r="I619" s="130">
        <v>1</v>
      </c>
      <c r="J619" s="589">
        <v>194.94922</v>
      </c>
      <c r="K619" s="589">
        <v>194.94922</v>
      </c>
      <c r="L619" s="267">
        <v>1</v>
      </c>
      <c r="M619" s="589">
        <v>194.94922</v>
      </c>
      <c r="N619" s="6" t="s">
        <v>1319</v>
      </c>
      <c r="O619" s="131">
        <v>45489</v>
      </c>
      <c r="P619" s="33" t="str">
        <f>HYPERLINK("https://my.zakupivli.pro/remote/dispatcher/state_purchase_view/52186008", "UA-2024-07-16-006910-a")</f>
        <v>UA-2024-07-16-006910-a</v>
      </c>
      <c r="Q619" s="267">
        <v>194.94922</v>
      </c>
      <c r="R619" s="267">
        <v>1</v>
      </c>
      <c r="S619" s="267">
        <v>194.94922</v>
      </c>
      <c r="T619" s="268">
        <v>45489</v>
      </c>
      <c r="U619" s="130"/>
      <c r="V619" s="267" t="s">
        <v>59</v>
      </c>
    </row>
    <row r="620" spans="1:22" ht="62.4" x14ac:dyDescent="0.3">
      <c r="A620" s="130">
        <v>614</v>
      </c>
      <c r="B620" s="43" t="s">
        <v>1150</v>
      </c>
      <c r="C620" s="44" t="s">
        <v>1322</v>
      </c>
      <c r="D620" s="130"/>
      <c r="E620" s="269" t="s">
        <v>75</v>
      </c>
      <c r="F620" s="44" t="s">
        <v>1320</v>
      </c>
      <c r="G620" s="130" t="s">
        <v>1149</v>
      </c>
      <c r="H620" s="589">
        <v>83.293670000000006</v>
      </c>
      <c r="I620" s="130">
        <v>1</v>
      </c>
      <c r="J620" s="589">
        <v>83.293670000000006</v>
      </c>
      <c r="K620" s="589">
        <v>83.293670000000006</v>
      </c>
      <c r="L620" s="269">
        <v>1</v>
      </c>
      <c r="M620" s="589">
        <v>83.293670000000006</v>
      </c>
      <c r="N620" s="6" t="s">
        <v>1323</v>
      </c>
      <c r="O620" s="131">
        <v>45491</v>
      </c>
      <c r="P620" s="33" t="str">
        <f>HYPERLINK("https://my.zakupivli.pro/remote/dispatcher/state_purchase_view/52220424", "UA-2024-07-18-003108-a")</f>
        <v>UA-2024-07-18-003108-a</v>
      </c>
      <c r="Q620" s="269">
        <v>83.293670000000006</v>
      </c>
      <c r="R620" s="269">
        <v>1</v>
      </c>
      <c r="S620" s="269">
        <v>83.293670000000006</v>
      </c>
      <c r="T620" s="270">
        <v>45491</v>
      </c>
      <c r="U620" s="130"/>
      <c r="V620" s="269" t="s">
        <v>59</v>
      </c>
    </row>
    <row r="621" spans="1:22" ht="62.4" x14ac:dyDescent="0.3">
      <c r="A621" s="130">
        <v>615</v>
      </c>
      <c r="B621" s="43" t="s">
        <v>21</v>
      </c>
      <c r="C621" s="44" t="s">
        <v>1068</v>
      </c>
      <c r="D621" s="130"/>
      <c r="E621" s="269" t="s">
        <v>75</v>
      </c>
      <c r="F621" s="44" t="s">
        <v>1321</v>
      </c>
      <c r="G621" s="130" t="s">
        <v>185</v>
      </c>
      <c r="H621" s="589"/>
      <c r="I621" s="130">
        <v>44</v>
      </c>
      <c r="J621" s="589">
        <v>70.007000000000005</v>
      </c>
      <c r="K621" s="589"/>
      <c r="L621" s="269">
        <v>44</v>
      </c>
      <c r="M621" s="589">
        <v>70.007000000000005</v>
      </c>
      <c r="N621" s="6" t="s">
        <v>1324</v>
      </c>
      <c r="O621" s="270">
        <v>45491</v>
      </c>
      <c r="P621" s="33" t="str">
        <f>HYPERLINK("https://my.zakupivli.pro/remote/dispatcher/state_purchase_view/52221727", "UA-2024-07-18-003762-a")</f>
        <v>UA-2024-07-18-003762-a</v>
      </c>
      <c r="Q621" s="130"/>
      <c r="R621" s="269">
        <v>44</v>
      </c>
      <c r="S621" s="269">
        <v>70.007000000000005</v>
      </c>
      <c r="T621" s="270">
        <v>45491</v>
      </c>
      <c r="U621" s="130"/>
      <c r="V621" s="269" t="s">
        <v>59</v>
      </c>
    </row>
    <row r="622" spans="1:22" ht="62.4" x14ac:dyDescent="0.3">
      <c r="A622" s="130">
        <v>616</v>
      </c>
      <c r="B622" s="43" t="s">
        <v>40</v>
      </c>
      <c r="C622" s="44" t="s">
        <v>884</v>
      </c>
      <c r="D622" s="130"/>
      <c r="E622" s="271" t="s">
        <v>20</v>
      </c>
      <c r="F622" s="44" t="s">
        <v>1325</v>
      </c>
      <c r="G622" s="271" t="s">
        <v>184</v>
      </c>
      <c r="H622" s="589">
        <v>163.80811</v>
      </c>
      <c r="I622" s="130">
        <v>1</v>
      </c>
      <c r="J622" s="589">
        <v>163.80811</v>
      </c>
      <c r="K622" s="589">
        <v>163.80811</v>
      </c>
      <c r="L622" s="271">
        <v>1</v>
      </c>
      <c r="M622" s="589">
        <v>163.80811</v>
      </c>
      <c r="N622" s="6" t="s">
        <v>1330</v>
      </c>
      <c r="O622" s="131">
        <v>45495</v>
      </c>
      <c r="P622" s="33" t="str">
        <f>HYPERLINK("https://my.zakupivli.pro/remote/dispatcher/state_purchase_view/52265646", "UA-2024-07-22-001735-a")</f>
        <v>UA-2024-07-22-001735-a</v>
      </c>
      <c r="Q622" s="271">
        <v>163.80811</v>
      </c>
      <c r="R622" s="271">
        <v>1</v>
      </c>
      <c r="S622" s="271">
        <v>163.80811</v>
      </c>
      <c r="T622" s="272">
        <v>45492</v>
      </c>
      <c r="U622" s="130"/>
      <c r="V622" s="271" t="s">
        <v>59</v>
      </c>
    </row>
    <row r="623" spans="1:22" ht="62.4" x14ac:dyDescent="0.3">
      <c r="A623" s="130">
        <v>617</v>
      </c>
      <c r="B623" s="43" t="s">
        <v>40</v>
      </c>
      <c r="C623" s="44" t="s">
        <v>884</v>
      </c>
      <c r="D623" s="130"/>
      <c r="E623" s="271" t="s">
        <v>20</v>
      </c>
      <c r="F623" s="44" t="s">
        <v>1326</v>
      </c>
      <c r="G623" s="271" t="s">
        <v>184</v>
      </c>
      <c r="H623" s="589">
        <v>304.15636000000001</v>
      </c>
      <c r="I623" s="271">
        <v>1</v>
      </c>
      <c r="J623" s="589">
        <v>304.15636000000001</v>
      </c>
      <c r="K623" s="589">
        <v>304.15636000000001</v>
      </c>
      <c r="L623" s="271">
        <v>1</v>
      </c>
      <c r="M623" s="589">
        <v>304.15636000000001</v>
      </c>
      <c r="N623" s="6" t="s">
        <v>1331</v>
      </c>
      <c r="O623" s="272">
        <v>45495</v>
      </c>
      <c r="P623" s="33" t="str">
        <f>HYPERLINK("https://my.zakupivli.pro/remote/dispatcher/state_purchase_view/52266655", "UA-2024-07-22-002244-a")</f>
        <v>UA-2024-07-22-002244-a</v>
      </c>
      <c r="Q623" s="271">
        <v>304.15636000000001</v>
      </c>
      <c r="R623" s="271">
        <v>1</v>
      </c>
      <c r="S623" s="271">
        <v>304.15636000000001</v>
      </c>
      <c r="T623" s="272">
        <v>45492</v>
      </c>
      <c r="U623" s="130"/>
      <c r="V623" s="271" t="s">
        <v>59</v>
      </c>
    </row>
    <row r="624" spans="1:22" ht="62.4" x14ac:dyDescent="0.3">
      <c r="A624" s="130">
        <v>618</v>
      </c>
      <c r="B624" s="43" t="s">
        <v>21</v>
      </c>
      <c r="C624" s="44" t="s">
        <v>412</v>
      </c>
      <c r="D624" s="130"/>
      <c r="E624" s="271" t="s">
        <v>20</v>
      </c>
      <c r="F624" s="44" t="s">
        <v>1327</v>
      </c>
      <c r="G624" s="271" t="s">
        <v>185</v>
      </c>
      <c r="H624" s="589">
        <v>64.5</v>
      </c>
      <c r="I624" s="271">
        <v>1</v>
      </c>
      <c r="J624" s="589">
        <v>64.5</v>
      </c>
      <c r="K624" s="589">
        <v>64.5</v>
      </c>
      <c r="L624" s="271">
        <v>1</v>
      </c>
      <c r="M624" s="589">
        <v>64.5</v>
      </c>
      <c r="N624" s="6" t="s">
        <v>1332</v>
      </c>
      <c r="O624" s="272">
        <v>45495</v>
      </c>
      <c r="P624" s="33" t="str">
        <f>HYPERLINK("https://my.zakupivli.pro/remote/dispatcher/state_purchase_view/52281063", "UA-2024-07-22-008778-a")</f>
        <v>UA-2024-07-22-008778-a</v>
      </c>
      <c r="Q624" s="117">
        <v>64.5</v>
      </c>
      <c r="R624" s="271">
        <v>1</v>
      </c>
      <c r="S624" s="117">
        <v>64.5</v>
      </c>
      <c r="T624" s="272">
        <v>45495</v>
      </c>
      <c r="U624" s="130"/>
      <c r="V624" s="271" t="s">
        <v>59</v>
      </c>
    </row>
    <row r="625" spans="1:22" ht="62.4" x14ac:dyDescent="0.3">
      <c r="A625" s="130">
        <v>619</v>
      </c>
      <c r="B625" s="43" t="s">
        <v>40</v>
      </c>
      <c r="C625" s="44" t="s">
        <v>884</v>
      </c>
      <c r="D625" s="130"/>
      <c r="E625" s="271" t="s">
        <v>20</v>
      </c>
      <c r="F625" s="44" t="s">
        <v>1328</v>
      </c>
      <c r="G625" s="271" t="s">
        <v>184</v>
      </c>
      <c r="H625" s="589">
        <v>388.76083999999997</v>
      </c>
      <c r="I625" s="271">
        <v>1</v>
      </c>
      <c r="J625" s="589">
        <v>388.76083999999997</v>
      </c>
      <c r="K625" s="589">
        <v>388.76083999999997</v>
      </c>
      <c r="L625" s="271">
        <v>1</v>
      </c>
      <c r="M625" s="589">
        <v>388.76083999999997</v>
      </c>
      <c r="N625" s="6" t="s">
        <v>1333</v>
      </c>
      <c r="O625" s="272">
        <v>45495</v>
      </c>
      <c r="P625" s="33" t="str">
        <f>HYPERLINK("https://my.zakupivli.pro/remote/dispatcher/state_purchase_view/52281767", "UA-2024-07-22-009143-a")</f>
        <v>UA-2024-07-22-009143-a</v>
      </c>
      <c r="Q625" s="271">
        <v>388.76083999999997</v>
      </c>
      <c r="R625" s="271">
        <v>1</v>
      </c>
      <c r="S625" s="271">
        <v>388.76083999999997</v>
      </c>
      <c r="T625" s="131">
        <v>45485</v>
      </c>
      <c r="U625" s="130"/>
      <c r="V625" s="271" t="s">
        <v>59</v>
      </c>
    </row>
    <row r="626" spans="1:22" ht="62.4" x14ac:dyDescent="0.3">
      <c r="A626" s="130">
        <v>620</v>
      </c>
      <c r="B626" s="43" t="s">
        <v>40</v>
      </c>
      <c r="C626" s="44" t="s">
        <v>884</v>
      </c>
      <c r="D626" s="130"/>
      <c r="E626" s="271" t="s">
        <v>20</v>
      </c>
      <c r="F626" s="44" t="s">
        <v>1329</v>
      </c>
      <c r="G626" s="271" t="s">
        <v>184</v>
      </c>
      <c r="H626" s="589">
        <v>89.494219999999999</v>
      </c>
      <c r="I626" s="271">
        <v>1</v>
      </c>
      <c r="J626" s="589">
        <v>89.494219999999999</v>
      </c>
      <c r="K626" s="589">
        <v>89.494219999999999</v>
      </c>
      <c r="L626" s="271">
        <v>1</v>
      </c>
      <c r="M626" s="589">
        <v>89.494219999999999</v>
      </c>
      <c r="N626" s="6" t="s">
        <v>1334</v>
      </c>
      <c r="O626" s="272">
        <v>45495</v>
      </c>
      <c r="P626" s="33" t="str">
        <f>HYPERLINK("https://my.zakupivli.pro/remote/dispatcher/state_purchase_view/52282158", "UA-2024-07-22-009312-a")</f>
        <v>UA-2024-07-22-009312-a</v>
      </c>
      <c r="Q626" s="271">
        <v>89.494219999999999</v>
      </c>
      <c r="R626" s="271">
        <v>1</v>
      </c>
      <c r="S626" s="271">
        <v>89.494219999999999</v>
      </c>
      <c r="T626" s="272">
        <v>45485</v>
      </c>
      <c r="U626" s="130"/>
      <c r="V626" s="271" t="s">
        <v>59</v>
      </c>
    </row>
    <row r="627" spans="1:22" ht="62.4" x14ac:dyDescent="0.3">
      <c r="A627" s="130">
        <v>621</v>
      </c>
      <c r="B627" s="43" t="s">
        <v>40</v>
      </c>
      <c r="C627" s="44" t="s">
        <v>884</v>
      </c>
      <c r="D627" s="130"/>
      <c r="E627" s="273" t="s">
        <v>20</v>
      </c>
      <c r="F627" s="44" t="s">
        <v>1335</v>
      </c>
      <c r="G627" s="273" t="s">
        <v>184</v>
      </c>
      <c r="H627" s="589">
        <v>293.29867999999999</v>
      </c>
      <c r="I627" s="273">
        <v>1</v>
      </c>
      <c r="J627" s="589">
        <v>293.29867999999999</v>
      </c>
      <c r="K627" s="589">
        <v>293.29867999999999</v>
      </c>
      <c r="L627" s="273">
        <v>1</v>
      </c>
      <c r="M627" s="589">
        <v>293.29867999999999</v>
      </c>
      <c r="N627" s="6" t="s">
        <v>1337</v>
      </c>
      <c r="O627" s="131">
        <v>45496</v>
      </c>
      <c r="P627" s="33" t="str">
        <f>HYPERLINK("https://my.zakupivli.pro/remote/dispatcher/state_purchase_view/52298726", "UA-2024-07-23-006360-a")</f>
        <v>UA-2024-07-23-006360-a</v>
      </c>
      <c r="Q627" s="273">
        <v>293.29867999999999</v>
      </c>
      <c r="R627" s="273">
        <v>1</v>
      </c>
      <c r="S627" s="273">
        <v>293.29867999999999</v>
      </c>
      <c r="T627" s="274">
        <v>45496</v>
      </c>
      <c r="U627" s="130"/>
      <c r="V627" s="273" t="s">
        <v>59</v>
      </c>
    </row>
    <row r="628" spans="1:22" ht="62.4" x14ac:dyDescent="0.3">
      <c r="A628" s="130">
        <v>622</v>
      </c>
      <c r="B628" s="43" t="s">
        <v>40</v>
      </c>
      <c r="C628" s="44" t="s">
        <v>73</v>
      </c>
      <c r="D628" s="130"/>
      <c r="E628" s="273" t="s">
        <v>75</v>
      </c>
      <c r="F628" s="44" t="s">
        <v>1336</v>
      </c>
      <c r="G628" s="273" t="s">
        <v>184</v>
      </c>
      <c r="H628" s="589">
        <v>404.05291999999997</v>
      </c>
      <c r="I628" s="273">
        <v>1</v>
      </c>
      <c r="J628" s="589">
        <v>404.05291999999997</v>
      </c>
      <c r="K628" s="589">
        <v>404.05291999999997</v>
      </c>
      <c r="L628" s="273">
        <v>1</v>
      </c>
      <c r="M628" s="589">
        <v>404.05291999999997</v>
      </c>
      <c r="N628" s="6" t="s">
        <v>1338</v>
      </c>
      <c r="O628" s="274">
        <v>45496</v>
      </c>
      <c r="P628" s="33" t="str">
        <f>HYPERLINK("https://my.zakupivli.pro/remote/dispatcher/state_purchase_view/52299011", "UA-2024-07-23-006477-a")</f>
        <v>UA-2024-07-23-006477-a</v>
      </c>
      <c r="Q628" s="273">
        <v>404.05291999999997</v>
      </c>
      <c r="R628" s="273">
        <v>1</v>
      </c>
      <c r="S628" s="273">
        <v>404.05291999999997</v>
      </c>
      <c r="T628" s="274">
        <v>45496</v>
      </c>
      <c r="U628" s="130"/>
      <c r="V628" s="273" t="s">
        <v>59</v>
      </c>
    </row>
    <row r="629" spans="1:22" ht="78" x14ac:dyDescent="0.3">
      <c r="A629" s="130">
        <v>623</v>
      </c>
      <c r="B629" s="43" t="s">
        <v>40</v>
      </c>
      <c r="C629" s="44" t="s">
        <v>884</v>
      </c>
      <c r="D629" s="130"/>
      <c r="E629" s="275" t="s">
        <v>20</v>
      </c>
      <c r="F629" s="44" t="s">
        <v>1339</v>
      </c>
      <c r="G629" s="275" t="s">
        <v>184</v>
      </c>
      <c r="H629" s="589">
        <v>89.274900000000002</v>
      </c>
      <c r="I629" s="275">
        <v>1</v>
      </c>
      <c r="J629" s="589">
        <v>89.274900000000002</v>
      </c>
      <c r="K629" s="589">
        <v>89.274900000000002</v>
      </c>
      <c r="L629" s="275">
        <v>1</v>
      </c>
      <c r="M629" s="589">
        <v>89.274900000000002</v>
      </c>
      <c r="N629" s="6" t="s">
        <v>1343</v>
      </c>
      <c r="O629" s="131">
        <v>45497</v>
      </c>
      <c r="P629" s="279" t="str">
        <f>HYPERLINK("https://my.zakupivli.pro/remote/dispatcher/state_purchase_view/52314049", "UA-2024-07-24-001383-a")</f>
        <v>UA-2024-07-24-001383-a</v>
      </c>
      <c r="Q629" s="275">
        <v>89.274900000000002</v>
      </c>
      <c r="R629" s="275">
        <v>1</v>
      </c>
      <c r="S629" s="275">
        <v>89.274900000000002</v>
      </c>
      <c r="T629" s="276">
        <v>45496</v>
      </c>
      <c r="U629" s="130"/>
      <c r="V629" s="275" t="s">
        <v>59</v>
      </c>
    </row>
    <row r="630" spans="1:22" ht="78" x14ac:dyDescent="0.3">
      <c r="A630" s="130">
        <v>624</v>
      </c>
      <c r="B630" s="43" t="s">
        <v>40</v>
      </c>
      <c r="C630" s="44" t="s">
        <v>884</v>
      </c>
      <c r="D630" s="130"/>
      <c r="E630" s="275" t="s">
        <v>20</v>
      </c>
      <c r="F630" s="44" t="s">
        <v>1340</v>
      </c>
      <c r="G630" s="275" t="s">
        <v>184</v>
      </c>
      <c r="H630" s="589">
        <v>294.02537999999998</v>
      </c>
      <c r="I630" s="275">
        <v>1</v>
      </c>
      <c r="J630" s="589">
        <v>294.02537999999998</v>
      </c>
      <c r="K630" s="589">
        <v>294.02537999999998</v>
      </c>
      <c r="L630" s="275">
        <v>1</v>
      </c>
      <c r="M630" s="589">
        <v>294.02537999999998</v>
      </c>
      <c r="N630" s="6" t="s">
        <v>1344</v>
      </c>
      <c r="O630" s="276">
        <v>45497</v>
      </c>
      <c r="P630" s="279" t="str">
        <f>HYPERLINK("https://my.zakupivli.pro/remote/dispatcher/state_purchase_view/52314938", "UA-2024-07-24-001792-a")</f>
        <v>UA-2024-07-24-001792-a</v>
      </c>
      <c r="Q630" s="275">
        <v>294.02537999999998</v>
      </c>
      <c r="R630" s="275">
        <v>1</v>
      </c>
      <c r="S630" s="275">
        <v>294.02537999999998</v>
      </c>
      <c r="T630" s="276">
        <v>45496</v>
      </c>
      <c r="U630" s="130"/>
      <c r="V630" s="275" t="s">
        <v>59</v>
      </c>
    </row>
    <row r="631" spans="1:22" ht="78" x14ac:dyDescent="0.3">
      <c r="A631" s="130">
        <v>625</v>
      </c>
      <c r="B631" s="43" t="s">
        <v>40</v>
      </c>
      <c r="C631" s="44" t="s">
        <v>41</v>
      </c>
      <c r="D631" s="130"/>
      <c r="E631" s="275" t="s">
        <v>20</v>
      </c>
      <c r="F631" s="44" t="s">
        <v>1341</v>
      </c>
      <c r="G631" s="275" t="s">
        <v>184</v>
      </c>
      <c r="H631" s="589">
        <v>106.82431</v>
      </c>
      <c r="I631" s="275">
        <v>1</v>
      </c>
      <c r="J631" s="589">
        <v>106.82431</v>
      </c>
      <c r="K631" s="589">
        <v>106.82431</v>
      </c>
      <c r="L631" s="275">
        <v>1</v>
      </c>
      <c r="M631" s="589">
        <v>106.82431</v>
      </c>
      <c r="N631" s="6" t="s">
        <v>1345</v>
      </c>
      <c r="O631" s="276">
        <v>45497</v>
      </c>
      <c r="P631" s="279" t="str">
        <f>HYPERLINK("https://my.zakupivli.pro/remote/dispatcher/state_purchase_view/52315339", "UA-2024-07-24-001967-a")</f>
        <v>UA-2024-07-24-001967-a</v>
      </c>
      <c r="Q631" s="275">
        <v>106.82431</v>
      </c>
      <c r="R631" s="275">
        <v>1</v>
      </c>
      <c r="S631" s="275">
        <v>106.82431</v>
      </c>
      <c r="T631" s="276">
        <v>45496</v>
      </c>
      <c r="U631" s="130"/>
      <c r="V631" s="275" t="s">
        <v>59</v>
      </c>
    </row>
    <row r="632" spans="1:22" ht="140.4" x14ac:dyDescent="0.3">
      <c r="A632" s="130">
        <v>626</v>
      </c>
      <c r="B632" s="43" t="s">
        <v>40</v>
      </c>
      <c r="C632" s="44" t="s">
        <v>41</v>
      </c>
      <c r="D632" s="275" t="s">
        <v>58</v>
      </c>
      <c r="E632" s="275" t="s">
        <v>20</v>
      </c>
      <c r="F632" s="44" t="s">
        <v>1342</v>
      </c>
      <c r="G632" s="275" t="s">
        <v>184</v>
      </c>
      <c r="H632" s="589">
        <v>1809.5909999999999</v>
      </c>
      <c r="I632" s="275">
        <v>1</v>
      </c>
      <c r="J632" s="589">
        <v>1809.5909999999999</v>
      </c>
      <c r="K632" s="589">
        <v>1809.5909999999999</v>
      </c>
      <c r="L632" s="275">
        <v>1</v>
      </c>
      <c r="M632" s="589">
        <v>1809.5909999999999</v>
      </c>
      <c r="N632" s="6" t="s">
        <v>1346</v>
      </c>
      <c r="O632" s="276">
        <v>45497</v>
      </c>
      <c r="P632" s="279" t="str">
        <f>HYPERLINK("https://my.zakupivli.pro/remote/dispatcher/state_purchase_view/52333680", "UA-2024-07-24-010258-a")</f>
        <v>UA-2024-07-24-010258-a</v>
      </c>
      <c r="Q632" s="311">
        <v>1809.5909999999999</v>
      </c>
      <c r="R632" s="130">
        <v>1</v>
      </c>
      <c r="S632" s="130">
        <v>1809.5909999999999</v>
      </c>
      <c r="T632" s="131">
        <v>45512</v>
      </c>
      <c r="U632" s="130"/>
      <c r="V632" s="275"/>
    </row>
    <row r="633" spans="1:22" ht="78" x14ac:dyDescent="0.3">
      <c r="A633" s="130">
        <v>627</v>
      </c>
      <c r="B633" s="43" t="s">
        <v>40</v>
      </c>
      <c r="C633" s="44" t="s">
        <v>884</v>
      </c>
      <c r="D633" s="130"/>
      <c r="E633" s="289" t="s">
        <v>20</v>
      </c>
      <c r="F633" s="44" t="s">
        <v>1351</v>
      </c>
      <c r="G633" s="277" t="s">
        <v>184</v>
      </c>
      <c r="H633" s="589">
        <v>359.43135000000001</v>
      </c>
      <c r="I633" s="130">
        <v>1</v>
      </c>
      <c r="J633" s="589">
        <v>359.43135000000001</v>
      </c>
      <c r="K633" s="589">
        <v>359.43135000000001</v>
      </c>
      <c r="L633" s="277">
        <v>1</v>
      </c>
      <c r="M633" s="589">
        <v>359.43135000000001</v>
      </c>
      <c r="N633" s="6" t="s">
        <v>1352</v>
      </c>
      <c r="O633" s="131">
        <v>45498</v>
      </c>
      <c r="P633" s="33" t="str">
        <f>HYPERLINK("https://my.zakupivli.pro/remote/dispatcher/state_purchase_view/52342173", "UA-2024-07-25-002699-a")</f>
        <v>UA-2024-07-25-002699-a</v>
      </c>
      <c r="Q633" s="277">
        <v>359.43135000000001</v>
      </c>
      <c r="R633" s="277">
        <v>1</v>
      </c>
      <c r="S633" s="277">
        <v>359.43135000000001</v>
      </c>
      <c r="T633" s="278">
        <v>45497</v>
      </c>
      <c r="U633" s="130"/>
      <c r="V633" s="277" t="s">
        <v>59</v>
      </c>
    </row>
    <row r="634" spans="1:22" ht="78" x14ac:dyDescent="0.3">
      <c r="A634" s="130">
        <v>628</v>
      </c>
      <c r="B634" s="43" t="s">
        <v>40</v>
      </c>
      <c r="C634" s="44" t="s">
        <v>884</v>
      </c>
      <c r="D634" s="130"/>
      <c r="E634" s="289" t="s">
        <v>20</v>
      </c>
      <c r="F634" s="44" t="s">
        <v>1350</v>
      </c>
      <c r="G634" s="277" t="s">
        <v>184</v>
      </c>
      <c r="H634" s="589">
        <v>298.44211000000001</v>
      </c>
      <c r="I634" s="130">
        <v>1</v>
      </c>
      <c r="J634" s="589">
        <v>298.44211000000001</v>
      </c>
      <c r="K634" s="589">
        <v>298.44211000000001</v>
      </c>
      <c r="L634" s="277">
        <v>1</v>
      </c>
      <c r="M634" s="589">
        <v>298.44211000000001</v>
      </c>
      <c r="N634" s="6" t="s">
        <v>1353</v>
      </c>
      <c r="O634" s="278">
        <v>45498</v>
      </c>
      <c r="P634" s="33" t="str">
        <f>HYPERLINK("https://my.zakupivli.pro/remote/dispatcher/state_purchase_view/52343625", "UA-2024-07-25-003393-a")</f>
        <v>UA-2024-07-25-003393-a</v>
      </c>
      <c r="Q634" s="277">
        <v>298.44211000000001</v>
      </c>
      <c r="R634" s="277">
        <v>1</v>
      </c>
      <c r="S634" s="277">
        <v>298.44211000000001</v>
      </c>
      <c r="T634" s="278">
        <v>45497</v>
      </c>
      <c r="U634" s="130"/>
      <c r="V634" s="277" t="s">
        <v>59</v>
      </c>
    </row>
    <row r="635" spans="1:22" ht="78" x14ac:dyDescent="0.3">
      <c r="A635" s="130">
        <v>629</v>
      </c>
      <c r="B635" s="43" t="s">
        <v>40</v>
      </c>
      <c r="C635" s="44" t="s">
        <v>884</v>
      </c>
      <c r="D635" s="130"/>
      <c r="E635" s="289" t="s">
        <v>20</v>
      </c>
      <c r="F635" s="44" t="s">
        <v>1349</v>
      </c>
      <c r="G635" s="277" t="s">
        <v>184</v>
      </c>
      <c r="H635" s="589">
        <v>278.61887000000002</v>
      </c>
      <c r="I635" s="130">
        <v>1</v>
      </c>
      <c r="J635" s="589">
        <v>278.61887000000002</v>
      </c>
      <c r="K635" s="589">
        <v>278.61887000000002</v>
      </c>
      <c r="L635" s="277">
        <v>1</v>
      </c>
      <c r="M635" s="589">
        <v>278.61887000000002</v>
      </c>
      <c r="N635" s="6" t="s">
        <v>1354</v>
      </c>
      <c r="O635" s="278">
        <v>45498</v>
      </c>
      <c r="P635" s="33" t="str">
        <f>HYPERLINK("https://my.zakupivli.pro/remote/dispatcher/state_purchase_view/52344173", "UA-2024-07-25-003656-a")</f>
        <v>UA-2024-07-25-003656-a</v>
      </c>
      <c r="Q635" s="277">
        <v>278.61887000000002</v>
      </c>
      <c r="R635" s="277">
        <v>1</v>
      </c>
      <c r="S635" s="277">
        <v>278.61887000000002</v>
      </c>
      <c r="T635" s="278">
        <v>45497</v>
      </c>
      <c r="U635" s="130"/>
      <c r="V635" s="277" t="s">
        <v>59</v>
      </c>
    </row>
    <row r="636" spans="1:22" ht="62.4" x14ac:dyDescent="0.3">
      <c r="A636" s="130">
        <v>630</v>
      </c>
      <c r="B636" s="43" t="s">
        <v>21</v>
      </c>
      <c r="C636" s="44" t="s">
        <v>405</v>
      </c>
      <c r="D636" s="277" t="s">
        <v>58</v>
      </c>
      <c r="E636" s="289" t="s">
        <v>75</v>
      </c>
      <c r="F636" s="44" t="s">
        <v>1348</v>
      </c>
      <c r="G636" s="130" t="s">
        <v>185</v>
      </c>
      <c r="H636" s="589">
        <v>562.5</v>
      </c>
      <c r="I636" s="130">
        <v>1</v>
      </c>
      <c r="J636" s="589">
        <v>562.5</v>
      </c>
      <c r="K636" s="589">
        <v>562.5</v>
      </c>
      <c r="L636" s="277">
        <v>1</v>
      </c>
      <c r="M636" s="589">
        <v>562.5</v>
      </c>
      <c r="N636" s="6" t="s">
        <v>1355</v>
      </c>
      <c r="O636" s="278">
        <v>45498</v>
      </c>
      <c r="P636" s="33" t="str">
        <f>HYPERLINK("https://my.zakupivli.pro/remote/dispatcher/state_purchase_view/52349219", "UA-2024-07-25-005997-a")</f>
        <v>UA-2024-07-25-005997-a</v>
      </c>
      <c r="Q636" s="117">
        <v>350</v>
      </c>
      <c r="R636" s="130">
        <v>1</v>
      </c>
      <c r="S636" s="117">
        <v>350</v>
      </c>
      <c r="T636" s="131">
        <v>45538</v>
      </c>
      <c r="U636" s="130"/>
      <c r="V636" s="130"/>
    </row>
    <row r="637" spans="1:22" ht="62.4" x14ac:dyDescent="0.3">
      <c r="A637" s="130">
        <v>631</v>
      </c>
      <c r="B637" s="43" t="s">
        <v>21</v>
      </c>
      <c r="C637" s="44" t="s">
        <v>804</v>
      </c>
      <c r="D637" s="130"/>
      <c r="E637" s="289" t="s">
        <v>75</v>
      </c>
      <c r="F637" s="44" t="s">
        <v>1347</v>
      </c>
      <c r="G637" s="130" t="s">
        <v>185</v>
      </c>
      <c r="H637" s="589">
        <v>16.698</v>
      </c>
      <c r="I637" s="130">
        <v>4</v>
      </c>
      <c r="J637" s="589">
        <v>66.792000000000002</v>
      </c>
      <c r="K637" s="589">
        <v>16.698</v>
      </c>
      <c r="L637" s="277">
        <v>4</v>
      </c>
      <c r="M637" s="589">
        <v>66.792000000000002</v>
      </c>
      <c r="N637" s="6" t="s">
        <v>1356</v>
      </c>
      <c r="O637" s="278">
        <v>45498</v>
      </c>
      <c r="P637" s="33" t="str">
        <f>HYPERLINK("https://my.zakupivli.pro/remote/dispatcher/state_purchase_view/52353571", "UA-2024-07-25-008020-a")</f>
        <v>UA-2024-07-25-008020-a</v>
      </c>
      <c r="Q637" s="277">
        <v>16.698</v>
      </c>
      <c r="R637" s="277">
        <v>4</v>
      </c>
      <c r="S637" s="277">
        <v>66.792000000000002</v>
      </c>
      <c r="T637" s="278">
        <v>45498</v>
      </c>
      <c r="U637" s="130"/>
      <c r="V637" s="277" t="s">
        <v>59</v>
      </c>
    </row>
    <row r="638" spans="1:22" ht="62.4" x14ac:dyDescent="0.3">
      <c r="A638" s="130">
        <v>632</v>
      </c>
      <c r="B638" s="43" t="s">
        <v>21</v>
      </c>
      <c r="C638" s="44" t="s">
        <v>412</v>
      </c>
      <c r="D638" s="130"/>
      <c r="E638" s="280" t="s">
        <v>20</v>
      </c>
      <c r="F638" s="223" t="s">
        <v>1357</v>
      </c>
      <c r="G638" s="130" t="s">
        <v>185</v>
      </c>
      <c r="H638" s="589">
        <v>64.5</v>
      </c>
      <c r="I638" s="130">
        <v>1</v>
      </c>
      <c r="J638" s="589">
        <v>64.5</v>
      </c>
      <c r="K638" s="589">
        <v>64.5</v>
      </c>
      <c r="L638" s="280">
        <v>1</v>
      </c>
      <c r="M638" s="589">
        <v>64.5</v>
      </c>
      <c r="N638" s="6" t="s">
        <v>1358</v>
      </c>
      <c r="O638" s="131">
        <v>45502</v>
      </c>
      <c r="P638" s="33" t="str">
        <f>HYPERLINK("https://my.zakupivli.pro/remote/dispatcher/state_purchase_view/52388202", "UA-2024-07-29-002334-a")</f>
        <v>UA-2024-07-29-002334-a</v>
      </c>
      <c r="Q638" s="117">
        <v>64.5</v>
      </c>
      <c r="R638" s="280">
        <v>1</v>
      </c>
      <c r="S638" s="117">
        <v>64.5</v>
      </c>
      <c r="T638" s="281">
        <v>45502</v>
      </c>
      <c r="U638" s="130"/>
      <c r="V638" s="280" t="s">
        <v>59</v>
      </c>
    </row>
    <row r="639" spans="1:22" ht="62.4" x14ac:dyDescent="0.3">
      <c r="A639" s="130">
        <v>633</v>
      </c>
      <c r="B639" s="43" t="s">
        <v>40</v>
      </c>
      <c r="C639" s="44" t="s">
        <v>884</v>
      </c>
      <c r="D639" s="130"/>
      <c r="E639" s="282" t="s">
        <v>20</v>
      </c>
      <c r="F639" s="44" t="s">
        <v>1359</v>
      </c>
      <c r="G639" s="282" t="s">
        <v>184</v>
      </c>
      <c r="H639" s="589">
        <v>68.618139999999997</v>
      </c>
      <c r="I639" s="130">
        <v>1</v>
      </c>
      <c r="J639" s="589">
        <v>68.618139999999997</v>
      </c>
      <c r="K639" s="589">
        <v>68.618139999999997</v>
      </c>
      <c r="L639" s="282">
        <v>1</v>
      </c>
      <c r="M639" s="589">
        <v>68.618139999999997</v>
      </c>
      <c r="N639" s="6" t="s">
        <v>1360</v>
      </c>
      <c r="O639" s="131">
        <v>45505</v>
      </c>
      <c r="P639" s="33" t="str">
        <f>HYPERLINK("https://my.zakupivli.pro/remote/dispatcher/state_purchase_view/52465821", "UA-2024-08-01-006484-a")</f>
        <v>UA-2024-08-01-006484-a</v>
      </c>
      <c r="Q639" s="282">
        <v>68.618139999999997</v>
      </c>
      <c r="R639" s="282">
        <v>1</v>
      </c>
      <c r="S639" s="282">
        <v>68.618139999999997</v>
      </c>
      <c r="T639" s="131">
        <v>45505</v>
      </c>
      <c r="U639" s="130"/>
      <c r="V639" s="282" t="s">
        <v>59</v>
      </c>
    </row>
    <row r="640" spans="1:22" ht="62.4" x14ac:dyDescent="0.3">
      <c r="A640" s="130">
        <v>634</v>
      </c>
      <c r="B640" s="43" t="s">
        <v>40</v>
      </c>
      <c r="C640" s="44" t="s">
        <v>73</v>
      </c>
      <c r="D640" s="130"/>
      <c r="E640" s="283" t="s">
        <v>75</v>
      </c>
      <c r="F640" s="44" t="s">
        <v>1361</v>
      </c>
      <c r="G640" s="283" t="s">
        <v>184</v>
      </c>
      <c r="H640" s="589">
        <v>188.19801000000001</v>
      </c>
      <c r="I640" s="130">
        <v>1</v>
      </c>
      <c r="J640" s="589">
        <v>188.19801000000001</v>
      </c>
      <c r="K640" s="589">
        <v>188.19801000000001</v>
      </c>
      <c r="L640" s="283">
        <v>1</v>
      </c>
      <c r="M640" s="589">
        <v>188.19801000000001</v>
      </c>
      <c r="N640" s="6" t="s">
        <v>1365</v>
      </c>
      <c r="O640" s="131">
        <v>45509</v>
      </c>
      <c r="P640" s="33" t="str">
        <f>HYPERLINK("https://my.zakupivli.pro/remote/dispatcher/state_purchase_view/52516319", "UA-2024-08-05-006471-a")</f>
        <v>UA-2024-08-05-006471-a</v>
      </c>
      <c r="Q640" s="283">
        <v>188.19801000000001</v>
      </c>
      <c r="R640" s="283">
        <v>1</v>
      </c>
      <c r="S640" s="283">
        <v>188.19801000000001</v>
      </c>
      <c r="T640" s="284">
        <v>45509</v>
      </c>
      <c r="U640" s="130"/>
      <c r="V640" s="283" t="s">
        <v>59</v>
      </c>
    </row>
    <row r="641" spans="1:22" ht="62.4" x14ac:dyDescent="0.3">
      <c r="A641" s="130">
        <v>635</v>
      </c>
      <c r="B641" s="43" t="s">
        <v>40</v>
      </c>
      <c r="C641" s="44" t="s">
        <v>73</v>
      </c>
      <c r="D641" s="130"/>
      <c r="E641" s="283" t="s">
        <v>75</v>
      </c>
      <c r="F641" s="44" t="s">
        <v>1362</v>
      </c>
      <c r="G641" s="283" t="s">
        <v>184</v>
      </c>
      <c r="H641" s="589">
        <v>116.893</v>
      </c>
      <c r="I641" s="130">
        <v>1</v>
      </c>
      <c r="J641" s="589">
        <v>116.893</v>
      </c>
      <c r="K641" s="589">
        <v>116.893</v>
      </c>
      <c r="L641" s="283">
        <v>1</v>
      </c>
      <c r="M641" s="589">
        <v>116.893</v>
      </c>
      <c r="N641" s="6" t="s">
        <v>1366</v>
      </c>
      <c r="O641" s="284">
        <v>45509</v>
      </c>
      <c r="P641" s="33" t="str">
        <f>HYPERLINK("https://my.zakupivli.pro/remote/dispatcher/state_purchase_view/52516741", "UA-2024-08-05-006635-a")</f>
        <v>UA-2024-08-05-006635-a</v>
      </c>
      <c r="Q641" s="283">
        <v>116.893</v>
      </c>
      <c r="R641" s="283">
        <v>1</v>
      </c>
      <c r="S641" s="283">
        <v>116.893</v>
      </c>
      <c r="T641" s="284">
        <v>45509</v>
      </c>
      <c r="U641" s="130"/>
      <c r="V641" s="283" t="s">
        <v>59</v>
      </c>
    </row>
    <row r="642" spans="1:22" ht="93.6" x14ac:dyDescent="0.3">
      <c r="A642" s="130">
        <v>636</v>
      </c>
      <c r="B642" s="43" t="s">
        <v>21</v>
      </c>
      <c r="C642" s="44" t="s">
        <v>1314</v>
      </c>
      <c r="D642" s="130"/>
      <c r="E642" s="283" t="s">
        <v>75</v>
      </c>
      <c r="F642" s="44" t="s">
        <v>1313</v>
      </c>
      <c r="G642" s="130" t="s">
        <v>186</v>
      </c>
      <c r="H642" s="589"/>
      <c r="I642" s="130">
        <v>11</v>
      </c>
      <c r="J642" s="589">
        <v>51.401679999999999</v>
      </c>
      <c r="K642" s="589"/>
      <c r="L642" s="283">
        <v>11</v>
      </c>
      <c r="M642" s="589">
        <v>51.401679999999999</v>
      </c>
      <c r="N642" s="6" t="s">
        <v>1367</v>
      </c>
      <c r="O642" s="284">
        <v>45509</v>
      </c>
      <c r="P642" s="33" t="str">
        <f>HYPERLINK("https://my.zakupivli.pro/remote/dispatcher/state_purchase_view/52519045", "UA-2024-08-05-007656-a")</f>
        <v>UA-2024-08-05-007656-a</v>
      </c>
      <c r="Q642" s="130"/>
      <c r="R642" s="283">
        <v>11</v>
      </c>
      <c r="S642" s="283">
        <v>51.401679999999999</v>
      </c>
      <c r="T642" s="284">
        <v>45509</v>
      </c>
      <c r="U642" s="130"/>
      <c r="V642" s="283" t="s">
        <v>59</v>
      </c>
    </row>
    <row r="643" spans="1:22" ht="78" x14ac:dyDescent="0.3">
      <c r="A643" s="130">
        <v>637</v>
      </c>
      <c r="B643" s="43" t="s">
        <v>21</v>
      </c>
      <c r="C643" s="44" t="s">
        <v>1364</v>
      </c>
      <c r="D643" s="130"/>
      <c r="E643" s="283" t="s">
        <v>75</v>
      </c>
      <c r="F643" s="44" t="s">
        <v>1363</v>
      </c>
      <c r="G643" s="130" t="s">
        <v>186</v>
      </c>
      <c r="H643" s="589"/>
      <c r="I643" s="130">
        <v>6</v>
      </c>
      <c r="J643" s="589">
        <v>91.116</v>
      </c>
      <c r="K643" s="589"/>
      <c r="L643" s="283">
        <v>6</v>
      </c>
      <c r="M643" s="589">
        <v>91.116</v>
      </c>
      <c r="N643" s="6" t="s">
        <v>1368</v>
      </c>
      <c r="O643" s="284">
        <v>45509</v>
      </c>
      <c r="P643" s="33" t="str">
        <f>HYPERLINK("https://my.zakupivli.pro/remote/dispatcher/state_purchase_view/52524003", "UA-2024-08-05-009986-a")</f>
        <v>UA-2024-08-05-009986-a</v>
      </c>
      <c r="Q643" s="130"/>
      <c r="R643" s="283">
        <v>6</v>
      </c>
      <c r="S643" s="283">
        <v>91.116</v>
      </c>
      <c r="T643" s="284">
        <v>45509</v>
      </c>
      <c r="U643" s="130"/>
      <c r="V643" s="283" t="s">
        <v>59</v>
      </c>
    </row>
    <row r="644" spans="1:22" ht="62.4" x14ac:dyDescent="0.3">
      <c r="A644" s="130">
        <v>638</v>
      </c>
      <c r="B644" s="43" t="s">
        <v>21</v>
      </c>
      <c r="C644" s="44" t="s">
        <v>177</v>
      </c>
      <c r="D644" s="130"/>
      <c r="E644" s="285" t="s">
        <v>75</v>
      </c>
      <c r="F644" s="44" t="s">
        <v>1369</v>
      </c>
      <c r="G644" s="130" t="s">
        <v>185</v>
      </c>
      <c r="H644" s="589">
        <v>2.7027000000000001</v>
      </c>
      <c r="I644" s="130">
        <v>36</v>
      </c>
      <c r="J644" s="589">
        <v>97.297200000000004</v>
      </c>
      <c r="K644" s="589">
        <v>2.7027000000000001</v>
      </c>
      <c r="L644" s="285">
        <v>36</v>
      </c>
      <c r="M644" s="589">
        <v>97.297200000000004</v>
      </c>
      <c r="N644" s="6" t="s">
        <v>1373</v>
      </c>
      <c r="O644" s="131">
        <v>45512</v>
      </c>
      <c r="P644" s="33" t="str">
        <f>HYPERLINK("https://my.zakupivli.pro/remote/dispatcher/state_purchase_view/52587377", "UA-2024-08-08-003012-a")</f>
        <v>UA-2024-08-08-003012-a</v>
      </c>
      <c r="Q644" s="285">
        <v>2.7027000000000001</v>
      </c>
      <c r="R644" s="285">
        <v>36</v>
      </c>
      <c r="S644" s="285">
        <v>97.297200000000004</v>
      </c>
      <c r="T644" s="286">
        <v>45512</v>
      </c>
      <c r="U644" s="130"/>
      <c r="V644" s="285" t="s">
        <v>59</v>
      </c>
    </row>
    <row r="645" spans="1:22" ht="78" x14ac:dyDescent="0.3">
      <c r="A645" s="285">
        <v>639</v>
      </c>
      <c r="B645" s="43" t="s">
        <v>40</v>
      </c>
      <c r="C645" s="44" t="s">
        <v>884</v>
      </c>
      <c r="D645" s="285"/>
      <c r="E645" s="285" t="s">
        <v>20</v>
      </c>
      <c r="F645" s="44" t="s">
        <v>1370</v>
      </c>
      <c r="G645" s="285" t="s">
        <v>184</v>
      </c>
      <c r="H645" s="589">
        <v>182.08945</v>
      </c>
      <c r="I645" s="285">
        <v>1</v>
      </c>
      <c r="J645" s="589">
        <v>182.08945</v>
      </c>
      <c r="K645" s="589">
        <v>182.08945</v>
      </c>
      <c r="L645" s="285">
        <v>1</v>
      </c>
      <c r="M645" s="589">
        <v>182.08945</v>
      </c>
      <c r="N645" s="6" t="s">
        <v>1374</v>
      </c>
      <c r="O645" s="286">
        <v>45512</v>
      </c>
      <c r="P645" s="33" t="str">
        <f>HYPERLINK("https://my.zakupivli.pro/remote/dispatcher/state_purchase_view/52587767", "UA-2024-08-08-003155-a")</f>
        <v>UA-2024-08-08-003155-a</v>
      </c>
      <c r="Q645" s="285">
        <v>182.08945</v>
      </c>
      <c r="R645" s="285">
        <v>1</v>
      </c>
      <c r="S645" s="285">
        <v>182.08945</v>
      </c>
      <c r="T645" s="286">
        <v>45512</v>
      </c>
      <c r="U645" s="285"/>
      <c r="V645" s="285" t="s">
        <v>59</v>
      </c>
    </row>
    <row r="646" spans="1:22" ht="62.4" x14ac:dyDescent="0.3">
      <c r="A646" s="285">
        <v>640</v>
      </c>
      <c r="B646" s="43" t="s">
        <v>1150</v>
      </c>
      <c r="C646" s="44" t="s">
        <v>1372</v>
      </c>
      <c r="D646" s="285"/>
      <c r="E646" s="285" t="s">
        <v>75</v>
      </c>
      <c r="F646" s="44" t="s">
        <v>1371</v>
      </c>
      <c r="G646" s="285" t="s">
        <v>1149</v>
      </c>
      <c r="H646" s="589">
        <v>44.824170000000002</v>
      </c>
      <c r="I646" s="285">
        <v>1</v>
      </c>
      <c r="J646" s="589">
        <v>44.824170000000002</v>
      </c>
      <c r="K646" s="589">
        <v>44.824170000000002</v>
      </c>
      <c r="L646" s="285">
        <v>1</v>
      </c>
      <c r="M646" s="589">
        <v>44.824170000000002</v>
      </c>
      <c r="N646" s="6" t="s">
        <v>1375</v>
      </c>
      <c r="O646" s="286">
        <v>45512</v>
      </c>
      <c r="P646" s="33" t="str">
        <f>HYPERLINK("https://my.zakupivli.pro/remote/dispatcher/state_purchase_view/52589055", "UA-2024-08-08-003747-a")</f>
        <v>UA-2024-08-08-003747-a</v>
      </c>
      <c r="Q646" s="285">
        <v>44.824170000000002</v>
      </c>
      <c r="R646" s="285">
        <v>1</v>
      </c>
      <c r="S646" s="285">
        <v>44.824170000000002</v>
      </c>
      <c r="T646" s="286">
        <v>45512</v>
      </c>
      <c r="U646" s="285"/>
      <c r="V646" s="285" t="s">
        <v>59</v>
      </c>
    </row>
    <row r="647" spans="1:22" ht="78" x14ac:dyDescent="0.3">
      <c r="A647" s="287">
        <v>641</v>
      </c>
      <c r="B647" s="43" t="s">
        <v>40</v>
      </c>
      <c r="C647" s="44" t="s">
        <v>884</v>
      </c>
      <c r="D647" s="287"/>
      <c r="E647" s="287" t="s">
        <v>20</v>
      </c>
      <c r="F647" s="44" t="s">
        <v>1376</v>
      </c>
      <c r="G647" s="287" t="s">
        <v>184</v>
      </c>
      <c r="H647" s="589">
        <v>486.64211999999998</v>
      </c>
      <c r="I647" s="287">
        <v>1</v>
      </c>
      <c r="J647" s="589">
        <v>486.64211999999998</v>
      </c>
      <c r="K647" s="589">
        <v>486.64211999999998</v>
      </c>
      <c r="L647" s="287">
        <v>1</v>
      </c>
      <c r="M647" s="589">
        <v>486.64211999999998</v>
      </c>
      <c r="N647" s="6" t="s">
        <v>1380</v>
      </c>
      <c r="O647" s="288">
        <v>45512</v>
      </c>
      <c r="P647" s="33" t="str">
        <f>HYPERLINK("https://my.zakupivli.pro/remote/dispatcher/state_purchase_view/52604904", "UA-2024-08-08-010883-a")</f>
        <v>UA-2024-08-08-010883-a</v>
      </c>
      <c r="Q647" s="287">
        <v>486.64211999999998</v>
      </c>
      <c r="R647" s="287">
        <v>1</v>
      </c>
      <c r="S647" s="287">
        <v>486.64211999999998</v>
      </c>
      <c r="T647" s="288">
        <v>45512</v>
      </c>
      <c r="U647" s="287"/>
      <c r="V647" s="287" t="s">
        <v>59</v>
      </c>
    </row>
    <row r="648" spans="1:22" ht="62.4" x14ac:dyDescent="0.3">
      <c r="A648" s="287">
        <v>642</v>
      </c>
      <c r="B648" s="43" t="s">
        <v>40</v>
      </c>
      <c r="C648" s="44" t="s">
        <v>884</v>
      </c>
      <c r="D648" s="287"/>
      <c r="E648" s="287" t="s">
        <v>20</v>
      </c>
      <c r="F648" s="44" t="s">
        <v>1377</v>
      </c>
      <c r="G648" s="287" t="s">
        <v>184</v>
      </c>
      <c r="H648" s="589">
        <v>336.18543</v>
      </c>
      <c r="I648" s="287">
        <v>1</v>
      </c>
      <c r="J648" s="589">
        <v>336.18543</v>
      </c>
      <c r="K648" s="589">
        <v>336.18543</v>
      </c>
      <c r="L648" s="287">
        <v>1</v>
      </c>
      <c r="M648" s="589">
        <v>336.18543</v>
      </c>
      <c r="N648" s="6" t="s">
        <v>1381</v>
      </c>
      <c r="O648" s="288">
        <v>45512</v>
      </c>
      <c r="P648" s="33" t="str">
        <f>HYPERLINK("https://my.zakupivli.pro/remote/dispatcher/state_purchase_view/52605117", "UA-2024-08-08-010980-a")</f>
        <v>UA-2024-08-08-010980-a</v>
      </c>
      <c r="Q648" s="287">
        <v>336.18543</v>
      </c>
      <c r="R648" s="287">
        <v>1</v>
      </c>
      <c r="S648" s="287">
        <v>336.18543</v>
      </c>
      <c r="T648" s="288">
        <v>45512</v>
      </c>
      <c r="U648" s="287"/>
      <c r="V648" s="287" t="s">
        <v>59</v>
      </c>
    </row>
    <row r="649" spans="1:22" ht="62.4" x14ac:dyDescent="0.3">
      <c r="A649" s="287">
        <v>643</v>
      </c>
      <c r="B649" s="43" t="s">
        <v>40</v>
      </c>
      <c r="C649" s="44" t="s">
        <v>884</v>
      </c>
      <c r="D649" s="287"/>
      <c r="E649" s="287" t="s">
        <v>20</v>
      </c>
      <c r="F649" s="44" t="s">
        <v>1378</v>
      </c>
      <c r="G649" s="287" t="s">
        <v>184</v>
      </c>
      <c r="H649" s="589">
        <v>82.491569999999996</v>
      </c>
      <c r="I649" s="287">
        <v>1</v>
      </c>
      <c r="J649" s="589">
        <v>82.491569999999996</v>
      </c>
      <c r="K649" s="589">
        <v>82.491569999999996</v>
      </c>
      <c r="L649" s="287">
        <v>1</v>
      </c>
      <c r="M649" s="589">
        <v>82.491569999999996</v>
      </c>
      <c r="N649" s="6" t="s">
        <v>1382</v>
      </c>
      <c r="O649" s="288">
        <v>45512</v>
      </c>
      <c r="P649" s="33" t="str">
        <f>HYPERLINK("https://my.zakupivli.pro/remote/dispatcher/state_purchase_view/52605307", "UA-2024-08-08-011072-a")</f>
        <v>UA-2024-08-08-011072-a</v>
      </c>
      <c r="Q649" s="287">
        <v>82.491569999999996</v>
      </c>
      <c r="R649" s="287">
        <v>1</v>
      </c>
      <c r="S649" s="287">
        <v>82.491569999999996</v>
      </c>
      <c r="T649" s="288">
        <v>45512</v>
      </c>
      <c r="U649" s="287"/>
      <c r="V649" s="287" t="s">
        <v>59</v>
      </c>
    </row>
    <row r="650" spans="1:22" ht="62.4" x14ac:dyDescent="0.3">
      <c r="A650" s="287">
        <v>644</v>
      </c>
      <c r="B650" s="43" t="s">
        <v>40</v>
      </c>
      <c r="C650" s="44" t="s">
        <v>884</v>
      </c>
      <c r="D650" s="287"/>
      <c r="E650" s="287" t="s">
        <v>20</v>
      </c>
      <c r="F650" s="44" t="s">
        <v>1379</v>
      </c>
      <c r="G650" s="287" t="s">
        <v>184</v>
      </c>
      <c r="H650" s="589">
        <v>55.581209999999999</v>
      </c>
      <c r="I650" s="287">
        <v>1</v>
      </c>
      <c r="J650" s="589">
        <v>55.581209999999999</v>
      </c>
      <c r="K650" s="589">
        <v>55.581209999999999</v>
      </c>
      <c r="L650" s="287">
        <v>1</v>
      </c>
      <c r="M650" s="589">
        <v>55.581209999999999</v>
      </c>
      <c r="N650" s="6" t="s">
        <v>1383</v>
      </c>
      <c r="O650" s="288">
        <v>45512</v>
      </c>
      <c r="P650" s="33" t="str">
        <f>HYPERLINK("https://my.zakupivli.pro/remote/dispatcher/state_purchase_view/52605472", "UA-2024-08-08-011169-a")</f>
        <v>UA-2024-08-08-011169-a</v>
      </c>
      <c r="Q650" s="287">
        <v>55.581209999999999</v>
      </c>
      <c r="R650" s="287">
        <v>1</v>
      </c>
      <c r="S650" s="287">
        <v>55.581209999999999</v>
      </c>
      <c r="T650" s="288">
        <v>45512</v>
      </c>
      <c r="U650" s="287"/>
      <c r="V650" s="287" t="s">
        <v>59</v>
      </c>
    </row>
    <row r="651" spans="1:22" ht="62.4" x14ac:dyDescent="0.3">
      <c r="A651" s="289">
        <v>645</v>
      </c>
      <c r="B651" s="43" t="s">
        <v>40</v>
      </c>
      <c r="C651" s="44" t="s">
        <v>41</v>
      </c>
      <c r="D651" s="289"/>
      <c r="E651" s="289" t="s">
        <v>75</v>
      </c>
      <c r="F651" s="44" t="s">
        <v>1384</v>
      </c>
      <c r="G651" s="289" t="s">
        <v>184</v>
      </c>
      <c r="H651" s="589">
        <v>475.04106000000002</v>
      </c>
      <c r="I651" s="289">
        <v>1</v>
      </c>
      <c r="J651" s="589">
        <v>475.04106000000002</v>
      </c>
      <c r="K651" s="589">
        <v>475.04106000000002</v>
      </c>
      <c r="L651" s="289">
        <v>1</v>
      </c>
      <c r="M651" s="589">
        <v>475.04106000000002</v>
      </c>
      <c r="N651" s="6" t="s">
        <v>1403</v>
      </c>
      <c r="O651" s="290">
        <v>45526</v>
      </c>
      <c r="P651" s="33" t="str">
        <f>HYPERLINK("https://my.zakupivli.pro/remote/dispatcher/state_purchase_view/52855486", "UA-2024-08-22-004345-a")</f>
        <v>UA-2024-08-22-004345-a</v>
      </c>
      <c r="Q651" s="289">
        <v>475.04106000000002</v>
      </c>
      <c r="R651" s="289">
        <v>1</v>
      </c>
      <c r="S651" s="289">
        <v>475.04106000000002</v>
      </c>
      <c r="T651" s="290">
        <v>45526</v>
      </c>
      <c r="U651" s="289"/>
      <c r="V651" s="289" t="s">
        <v>59</v>
      </c>
    </row>
    <row r="652" spans="1:22" ht="62.4" x14ac:dyDescent="0.3">
      <c r="A652" s="446">
        <v>646</v>
      </c>
      <c r="B652" s="451" t="s">
        <v>40</v>
      </c>
      <c r="C652" s="452" t="s">
        <v>41</v>
      </c>
      <c r="D652" s="446"/>
      <c r="E652" s="446" t="s">
        <v>20</v>
      </c>
      <c r="F652" s="452" t="s">
        <v>1385</v>
      </c>
      <c r="G652" s="289" t="s">
        <v>184</v>
      </c>
      <c r="H652" s="589">
        <v>428.27992</v>
      </c>
      <c r="I652" s="289">
        <v>1</v>
      </c>
      <c r="J652" s="589">
        <v>428.27992</v>
      </c>
      <c r="K652" s="589">
        <v>428.27992</v>
      </c>
      <c r="L652" s="289">
        <v>1</v>
      </c>
      <c r="M652" s="589">
        <v>428.27992</v>
      </c>
      <c r="N652" s="6" t="s">
        <v>1404</v>
      </c>
      <c r="O652" s="290">
        <v>45526</v>
      </c>
      <c r="P652" s="33" t="str">
        <f>HYPERLINK("https://my.zakupivli.pro/remote/dispatcher/state_purchase_view/52855277", "UA-2024-08-22-004238-a")</f>
        <v>UA-2024-08-22-004238-a</v>
      </c>
      <c r="Q652" s="289">
        <v>428.27992</v>
      </c>
      <c r="R652" s="289">
        <v>1</v>
      </c>
      <c r="S652" s="289">
        <v>428.27992</v>
      </c>
      <c r="T652" s="290">
        <v>45526</v>
      </c>
      <c r="U652" s="289"/>
      <c r="V652" s="289" t="s">
        <v>59</v>
      </c>
    </row>
    <row r="653" spans="1:22" ht="62.4" x14ac:dyDescent="0.3">
      <c r="A653" s="289">
        <v>647</v>
      </c>
      <c r="B653" s="43" t="s">
        <v>21</v>
      </c>
      <c r="C653" s="44" t="s">
        <v>412</v>
      </c>
      <c r="D653" s="289"/>
      <c r="E653" s="289" t="s">
        <v>20</v>
      </c>
      <c r="F653" s="44" t="s">
        <v>1386</v>
      </c>
      <c r="G653" s="289" t="s">
        <v>185</v>
      </c>
      <c r="H653" s="589">
        <v>64.5</v>
      </c>
      <c r="I653" s="289">
        <v>1</v>
      </c>
      <c r="J653" s="589">
        <v>64.5</v>
      </c>
      <c r="K653" s="589">
        <v>64.5</v>
      </c>
      <c r="L653" s="289">
        <v>1</v>
      </c>
      <c r="M653" s="589">
        <v>64.5</v>
      </c>
      <c r="N653" s="6" t="s">
        <v>1405</v>
      </c>
      <c r="O653" s="290">
        <v>45526</v>
      </c>
      <c r="P653" s="33" t="str">
        <f>HYPERLINK("https://my.zakupivli.pro/remote/dispatcher/state_purchase_view/52854599", "UA-2024-08-22-003941-a")</f>
        <v>UA-2024-08-22-003941-a</v>
      </c>
      <c r="Q653" s="117">
        <v>64.5</v>
      </c>
      <c r="R653" s="289">
        <v>1</v>
      </c>
      <c r="S653" s="117">
        <v>64.5</v>
      </c>
      <c r="T653" s="290">
        <v>45526</v>
      </c>
      <c r="U653" s="289"/>
      <c r="V653" s="289" t="s">
        <v>59</v>
      </c>
    </row>
    <row r="654" spans="1:22" ht="62.4" x14ac:dyDescent="0.3">
      <c r="A654" s="289">
        <v>648</v>
      </c>
      <c r="B654" s="43" t="s">
        <v>40</v>
      </c>
      <c r="C654" s="44" t="s">
        <v>884</v>
      </c>
      <c r="D654" s="289"/>
      <c r="E654" s="289" t="s">
        <v>20</v>
      </c>
      <c r="F654" s="44" t="s">
        <v>1387</v>
      </c>
      <c r="G654" s="289" t="s">
        <v>184</v>
      </c>
      <c r="H654" s="589">
        <v>222.38373999999999</v>
      </c>
      <c r="I654" s="289">
        <v>1</v>
      </c>
      <c r="J654" s="589">
        <v>222.38373999999999</v>
      </c>
      <c r="K654" s="589">
        <v>222.38373999999999</v>
      </c>
      <c r="L654" s="289">
        <v>1</v>
      </c>
      <c r="M654" s="589">
        <v>222.38373999999999</v>
      </c>
      <c r="N654" s="6" t="s">
        <v>1406</v>
      </c>
      <c r="O654" s="290">
        <v>45525</v>
      </c>
      <c r="P654" s="33" t="str">
        <f>HYPERLINK("https://my.zakupivli.pro/remote/dispatcher/state_purchase_view/52826404", "UA-2024-08-21-003135-a")</f>
        <v>UA-2024-08-21-003135-a</v>
      </c>
      <c r="Q654" s="289">
        <v>222.38373999999999</v>
      </c>
      <c r="R654" s="289">
        <v>1</v>
      </c>
      <c r="S654" s="289">
        <v>222.38373999999999</v>
      </c>
      <c r="T654" s="290">
        <v>45525</v>
      </c>
      <c r="U654" s="289"/>
      <c r="V654" s="289" t="s">
        <v>59</v>
      </c>
    </row>
    <row r="655" spans="1:22" ht="62.4" x14ac:dyDescent="0.3">
      <c r="A655" s="289">
        <v>649</v>
      </c>
      <c r="B655" s="43" t="s">
        <v>40</v>
      </c>
      <c r="C655" s="44" t="s">
        <v>884</v>
      </c>
      <c r="D655" s="289"/>
      <c r="E655" s="289" t="s">
        <v>20</v>
      </c>
      <c r="F655" s="44" t="s">
        <v>1388</v>
      </c>
      <c r="G655" s="289" t="s">
        <v>184</v>
      </c>
      <c r="H655" s="589">
        <v>632.85871999999995</v>
      </c>
      <c r="I655" s="289">
        <v>1</v>
      </c>
      <c r="J655" s="589">
        <v>632.85871999999995</v>
      </c>
      <c r="K655" s="589">
        <v>632.85871999999995</v>
      </c>
      <c r="L655" s="289">
        <v>1</v>
      </c>
      <c r="M655" s="589">
        <v>632.85871999999995</v>
      </c>
      <c r="N655" s="6" t="s">
        <v>1407</v>
      </c>
      <c r="O655" s="290">
        <v>45525</v>
      </c>
      <c r="P655" s="33" t="str">
        <f>HYPERLINK("https://my.zakupivli.pro/remote/dispatcher/state_purchase_view/52828280", "UA-2024-08-21-003975-a")</f>
        <v>UA-2024-08-21-003975-a</v>
      </c>
      <c r="Q655" s="289">
        <v>632.85871999999995</v>
      </c>
      <c r="R655" s="289">
        <v>1</v>
      </c>
      <c r="S655" s="289">
        <v>632.85871999999995</v>
      </c>
      <c r="T655" s="290">
        <v>45525</v>
      </c>
      <c r="U655" s="289"/>
      <c r="V655" s="289" t="s">
        <v>59</v>
      </c>
    </row>
    <row r="656" spans="1:22" ht="62.4" x14ac:dyDescent="0.3">
      <c r="A656" s="289">
        <v>650</v>
      </c>
      <c r="B656" s="43" t="s">
        <v>40</v>
      </c>
      <c r="C656" s="44" t="s">
        <v>884</v>
      </c>
      <c r="D656" s="289"/>
      <c r="E656" s="289" t="s">
        <v>20</v>
      </c>
      <c r="F656" s="44" t="s">
        <v>1389</v>
      </c>
      <c r="G656" s="289" t="s">
        <v>184</v>
      </c>
      <c r="H656" s="589">
        <v>68.669600000000003</v>
      </c>
      <c r="I656" s="289">
        <v>1</v>
      </c>
      <c r="J656" s="589">
        <v>68.669600000000003</v>
      </c>
      <c r="K656" s="589">
        <v>68.669600000000003</v>
      </c>
      <c r="L656" s="289">
        <v>1</v>
      </c>
      <c r="M656" s="589">
        <v>68.669600000000003</v>
      </c>
      <c r="N656" s="6" t="s">
        <v>1408</v>
      </c>
      <c r="O656" s="290">
        <v>45525</v>
      </c>
      <c r="P656" s="33" t="str">
        <f>HYPERLINK("https://my.zakupivli.pro/remote/dispatcher/state_purchase_view/52827119", "UA-2024-08-21-003447-a")</f>
        <v>UA-2024-08-21-003447-a</v>
      </c>
      <c r="Q656" s="289">
        <v>68.669600000000003</v>
      </c>
      <c r="R656" s="289">
        <v>1</v>
      </c>
      <c r="S656" s="289">
        <v>68.669600000000003</v>
      </c>
      <c r="T656" s="290">
        <v>45525</v>
      </c>
      <c r="U656" s="289"/>
      <c r="V656" s="289" t="s">
        <v>59</v>
      </c>
    </row>
    <row r="657" spans="1:22" ht="62.4" x14ac:dyDescent="0.3">
      <c r="A657" s="289">
        <v>651</v>
      </c>
      <c r="B657" s="289" t="s">
        <v>1150</v>
      </c>
      <c r="C657" s="44" t="s">
        <v>1400</v>
      </c>
      <c r="D657" s="289"/>
      <c r="E657" s="289" t="s">
        <v>75</v>
      </c>
      <c r="F657" s="44" t="s">
        <v>1390</v>
      </c>
      <c r="G657" s="289" t="s">
        <v>1149</v>
      </c>
      <c r="H657" s="589">
        <v>76.848349999999996</v>
      </c>
      <c r="I657" s="289">
        <v>1</v>
      </c>
      <c r="J657" s="589">
        <v>76.848349999999996</v>
      </c>
      <c r="K657" s="589">
        <v>76.848349999999996</v>
      </c>
      <c r="L657" s="289">
        <v>1</v>
      </c>
      <c r="M657" s="589">
        <v>76.848349999999996</v>
      </c>
      <c r="N657" s="6" t="s">
        <v>1409</v>
      </c>
      <c r="O657" s="290">
        <v>45524</v>
      </c>
      <c r="P657" s="33" t="str">
        <f>HYPERLINK("https://my.zakupivli.pro/remote/dispatcher/state_purchase_view/52816266", "UA-2024-08-20-011009-a")</f>
        <v>UA-2024-08-20-011009-a</v>
      </c>
      <c r="Q657" s="289">
        <v>76.848349999999996</v>
      </c>
      <c r="R657" s="289">
        <v>1</v>
      </c>
      <c r="S657" s="289">
        <v>76.848349999999996</v>
      </c>
      <c r="T657" s="290">
        <v>45524</v>
      </c>
      <c r="U657" s="289"/>
      <c r="V657" s="289" t="s">
        <v>59</v>
      </c>
    </row>
    <row r="658" spans="1:22" ht="202.8" x14ac:dyDescent="0.3">
      <c r="A658" s="289">
        <v>652</v>
      </c>
      <c r="B658" s="289" t="s">
        <v>21</v>
      </c>
      <c r="C658" s="44" t="s">
        <v>174</v>
      </c>
      <c r="D658" s="313" t="s">
        <v>58</v>
      </c>
      <c r="E658" s="289" t="s">
        <v>88</v>
      </c>
      <c r="F658" s="44" t="s">
        <v>1391</v>
      </c>
      <c r="G658" s="289" t="s">
        <v>187</v>
      </c>
      <c r="H658" s="589"/>
      <c r="I658" s="289">
        <v>34</v>
      </c>
      <c r="J658" s="589">
        <v>921.16</v>
      </c>
      <c r="K658" s="589"/>
      <c r="L658" s="289">
        <v>34</v>
      </c>
      <c r="M658" s="589">
        <v>921.16</v>
      </c>
      <c r="N658" s="6" t="s">
        <v>1410</v>
      </c>
      <c r="O658" s="290">
        <v>45520</v>
      </c>
      <c r="P658" s="33" t="str">
        <f>HYPERLINK("https://my.zakupivli.pro/remote/dispatcher/state_purchase_view/52746547", "UA-2024-08-16-002910-a")</f>
        <v>UA-2024-08-16-002910-a</v>
      </c>
      <c r="Q658" s="289"/>
      <c r="R658" s="289">
        <v>34</v>
      </c>
      <c r="S658" s="289">
        <v>870.6</v>
      </c>
      <c r="T658" s="290">
        <v>45566</v>
      </c>
      <c r="U658" s="289"/>
      <c r="V658" s="289"/>
    </row>
    <row r="659" spans="1:22" ht="78" x14ac:dyDescent="0.3">
      <c r="A659" s="289">
        <v>653</v>
      </c>
      <c r="B659" s="289" t="s">
        <v>21</v>
      </c>
      <c r="C659" s="44" t="s">
        <v>1364</v>
      </c>
      <c r="D659" s="289"/>
      <c r="E659" s="289" t="s">
        <v>75</v>
      </c>
      <c r="F659" s="44" t="s">
        <v>1392</v>
      </c>
      <c r="G659" s="289" t="s">
        <v>185</v>
      </c>
      <c r="H659" s="589">
        <v>65</v>
      </c>
      <c r="I659" s="289">
        <v>1</v>
      </c>
      <c r="J659" s="589">
        <v>65</v>
      </c>
      <c r="K659" s="589">
        <v>65</v>
      </c>
      <c r="L659" s="289">
        <v>1</v>
      </c>
      <c r="M659" s="589">
        <v>65</v>
      </c>
      <c r="N659" s="6" t="s">
        <v>1411</v>
      </c>
      <c r="O659" s="290">
        <v>45519</v>
      </c>
      <c r="P659" s="33" t="str">
        <f>HYPERLINK("https://my.zakupivli.pro/remote/dispatcher/state_purchase_view/52745815", "UA-2024-08-16-002605-a")</f>
        <v>UA-2024-08-16-002605-a</v>
      </c>
      <c r="Q659" s="117">
        <v>65</v>
      </c>
      <c r="R659" s="289">
        <v>1</v>
      </c>
      <c r="S659" s="117">
        <v>65</v>
      </c>
      <c r="T659" s="290">
        <v>45519</v>
      </c>
      <c r="U659" s="289"/>
      <c r="V659" s="289" t="s">
        <v>59</v>
      </c>
    </row>
    <row r="660" spans="1:22" ht="62.4" x14ac:dyDescent="0.3">
      <c r="A660" s="289">
        <v>654</v>
      </c>
      <c r="B660" s="289" t="s">
        <v>21</v>
      </c>
      <c r="C660" s="44" t="s">
        <v>1401</v>
      </c>
      <c r="D660" s="289"/>
      <c r="E660" s="289" t="s">
        <v>75</v>
      </c>
      <c r="F660" s="44" t="s">
        <v>1393</v>
      </c>
      <c r="G660" s="289" t="s">
        <v>185</v>
      </c>
      <c r="H660" s="589">
        <v>87.6</v>
      </c>
      <c r="I660" s="289">
        <v>3</v>
      </c>
      <c r="J660" s="589">
        <v>87.6</v>
      </c>
      <c r="K660" s="589">
        <v>87.6</v>
      </c>
      <c r="L660" s="289">
        <v>3</v>
      </c>
      <c r="M660" s="589">
        <v>87.6</v>
      </c>
      <c r="N660" s="6" t="s">
        <v>1412</v>
      </c>
      <c r="O660" s="290">
        <v>45520</v>
      </c>
      <c r="P660" s="33" t="str">
        <f>HYPERLINK("https://my.zakupivli.pro/remote/dispatcher/state_purchase_view/52749428", "UA-2024-08-16-004297-a")</f>
        <v>UA-2024-08-16-004297-a</v>
      </c>
      <c r="Q660" s="117">
        <v>87.6</v>
      </c>
      <c r="R660" s="289">
        <v>3</v>
      </c>
      <c r="S660" s="117">
        <v>87.6</v>
      </c>
      <c r="T660" s="290">
        <v>45520</v>
      </c>
      <c r="U660" s="289"/>
      <c r="V660" s="289" t="s">
        <v>59</v>
      </c>
    </row>
    <row r="661" spans="1:22" ht="78" x14ac:dyDescent="0.3">
      <c r="A661" s="289">
        <v>655</v>
      </c>
      <c r="B661" s="289" t="s">
        <v>21</v>
      </c>
      <c r="C661" s="44" t="s">
        <v>176</v>
      </c>
      <c r="D661" s="313" t="s">
        <v>58</v>
      </c>
      <c r="E661" s="289" t="s">
        <v>88</v>
      </c>
      <c r="F661" s="44" t="s">
        <v>1394</v>
      </c>
      <c r="G661" s="289" t="s">
        <v>185</v>
      </c>
      <c r="H661" s="589"/>
      <c r="I661" s="289">
        <v>1374</v>
      </c>
      <c r="J661" s="589">
        <v>2486.4</v>
      </c>
      <c r="K661" s="589"/>
      <c r="L661" s="289">
        <v>1374</v>
      </c>
      <c r="M661" s="589">
        <v>2486.4</v>
      </c>
      <c r="N661" s="6" t="s">
        <v>1413</v>
      </c>
      <c r="O661" s="290">
        <v>45520</v>
      </c>
      <c r="P661" s="33" t="str">
        <f>HYPERLINK("https://my.zakupivli.pro/remote/dispatcher/state_purchase_view/52757356", "UA-2024-08-16-007878-a")</f>
        <v>UA-2024-08-16-007878-a</v>
      </c>
      <c r="Q661" s="289"/>
      <c r="R661" s="289">
        <v>1374</v>
      </c>
      <c r="S661" s="117">
        <v>2486.4</v>
      </c>
      <c r="T661" s="290">
        <v>45544</v>
      </c>
      <c r="U661" s="289"/>
      <c r="V661" s="289"/>
    </row>
    <row r="662" spans="1:22" ht="62.4" x14ac:dyDescent="0.3">
      <c r="A662" s="289">
        <v>656</v>
      </c>
      <c r="B662" s="289" t="s">
        <v>21</v>
      </c>
      <c r="C662" s="44" t="s">
        <v>405</v>
      </c>
      <c r="D662" s="313" t="s">
        <v>58</v>
      </c>
      <c r="E662" s="289" t="s">
        <v>88</v>
      </c>
      <c r="F662" s="44" t="s">
        <v>1395</v>
      </c>
      <c r="G662" s="289" t="s">
        <v>185</v>
      </c>
      <c r="H662" s="589"/>
      <c r="I662" s="289">
        <v>54</v>
      </c>
      <c r="J662" s="589">
        <v>8192.5128000000004</v>
      </c>
      <c r="K662" s="589"/>
      <c r="L662" s="289">
        <v>54</v>
      </c>
      <c r="M662" s="589">
        <v>8192.5128000000004</v>
      </c>
      <c r="N662" s="6" t="s">
        <v>1414</v>
      </c>
      <c r="O662" s="290">
        <v>45520</v>
      </c>
      <c r="P662" s="33" t="str">
        <f>HYPERLINK("https://my.zakupivli.pro/remote/dispatcher/state_purchase_view/52758416", "UA-2024-08-16-008358-a")</f>
        <v>UA-2024-08-16-008358-a</v>
      </c>
      <c r="Q662" s="289"/>
      <c r="R662" s="289">
        <v>54</v>
      </c>
      <c r="S662" s="289">
        <v>8166.96</v>
      </c>
      <c r="T662" s="290">
        <v>45543</v>
      </c>
      <c r="U662" s="289"/>
      <c r="V662" s="289"/>
    </row>
    <row r="663" spans="1:22" ht="62.4" x14ac:dyDescent="0.3">
      <c r="A663" s="289">
        <v>657</v>
      </c>
      <c r="B663" s="289" t="s">
        <v>21</v>
      </c>
      <c r="C663" s="44" t="s">
        <v>32</v>
      </c>
      <c r="D663" s="313" t="s">
        <v>58</v>
      </c>
      <c r="E663" s="289" t="s">
        <v>88</v>
      </c>
      <c r="F663" s="44" t="s">
        <v>1396</v>
      </c>
      <c r="G663" s="289" t="s">
        <v>185</v>
      </c>
      <c r="H663" s="589"/>
      <c r="I663" s="289">
        <v>129</v>
      </c>
      <c r="J663" s="589">
        <v>103.26</v>
      </c>
      <c r="K663" s="589"/>
      <c r="L663" s="289">
        <v>129</v>
      </c>
      <c r="M663" s="589">
        <v>103.26</v>
      </c>
      <c r="N663" s="6" t="s">
        <v>1415</v>
      </c>
      <c r="O663" s="290">
        <v>45520</v>
      </c>
      <c r="P663" s="33" t="str">
        <f>HYPERLINK("https://my.zakupivli.pro/remote/dispatcher/state_purchase_view/52758890", "UA-2024-08-16-008563-a")</f>
        <v>UA-2024-08-16-008563-a</v>
      </c>
      <c r="Q663" s="289"/>
      <c r="R663" s="289">
        <v>129</v>
      </c>
      <c r="S663" s="289">
        <v>102.61499999999999</v>
      </c>
      <c r="T663" s="312">
        <v>45544</v>
      </c>
      <c r="U663" s="289"/>
      <c r="V663" s="289"/>
    </row>
    <row r="664" spans="1:22" ht="62.4" x14ac:dyDescent="0.3">
      <c r="A664" s="289">
        <v>658</v>
      </c>
      <c r="B664" s="289" t="s">
        <v>40</v>
      </c>
      <c r="C664" s="44" t="s">
        <v>884</v>
      </c>
      <c r="D664" s="289"/>
      <c r="E664" s="289" t="s">
        <v>20</v>
      </c>
      <c r="F664" s="44" t="s">
        <v>1397</v>
      </c>
      <c r="G664" s="289" t="s">
        <v>184</v>
      </c>
      <c r="H664" s="589">
        <v>54.13823</v>
      </c>
      <c r="I664" s="289">
        <v>1</v>
      </c>
      <c r="J664" s="589">
        <v>54.13823</v>
      </c>
      <c r="K664" s="589">
        <v>54.13823</v>
      </c>
      <c r="L664" s="289">
        <v>1</v>
      </c>
      <c r="M664" s="589">
        <v>54.13823</v>
      </c>
      <c r="N664" s="6" t="s">
        <v>1416</v>
      </c>
      <c r="O664" s="290">
        <v>45519</v>
      </c>
      <c r="P664" s="33" t="str">
        <f>HYPERLINK("https://my.zakupivli.pro/remote/dispatcher/state_purchase_view/52723728", "UA-2024-08-15-004257-a")</f>
        <v>UA-2024-08-15-004257-a</v>
      </c>
      <c r="Q664" s="289">
        <v>54.13823</v>
      </c>
      <c r="R664" s="289">
        <v>1</v>
      </c>
      <c r="S664" s="289">
        <v>54.13823</v>
      </c>
      <c r="T664" s="290">
        <v>45519</v>
      </c>
      <c r="U664" s="289"/>
      <c r="V664" s="289" t="s">
        <v>59</v>
      </c>
    </row>
    <row r="665" spans="1:22" ht="62.4" x14ac:dyDescent="0.3">
      <c r="A665" s="289">
        <v>659</v>
      </c>
      <c r="B665" s="289" t="s">
        <v>40</v>
      </c>
      <c r="C665" s="44" t="s">
        <v>884</v>
      </c>
      <c r="D665" s="289"/>
      <c r="E665" s="289" t="s">
        <v>20</v>
      </c>
      <c r="F665" s="44" t="s">
        <v>1398</v>
      </c>
      <c r="G665" s="289" t="s">
        <v>184</v>
      </c>
      <c r="H665" s="589">
        <v>72.478120000000004</v>
      </c>
      <c r="I665" s="289">
        <v>1</v>
      </c>
      <c r="J665" s="589">
        <v>72.478120000000004</v>
      </c>
      <c r="K665" s="589">
        <v>72.478120000000004</v>
      </c>
      <c r="L665" s="289">
        <v>1</v>
      </c>
      <c r="M665" s="589">
        <v>72.478120000000004</v>
      </c>
      <c r="N665" s="6" t="s">
        <v>1417</v>
      </c>
      <c r="O665" s="290">
        <v>45519</v>
      </c>
      <c r="P665" s="33" t="str">
        <f>HYPERLINK("https://my.zakupivli.pro/remote/dispatcher/state_purchase_view/52723515", "UA-2024-08-15-004128-a")</f>
        <v>UA-2024-08-15-004128-a</v>
      </c>
      <c r="Q665" s="289">
        <v>72.478120000000004</v>
      </c>
      <c r="R665" s="289">
        <v>1</v>
      </c>
      <c r="S665" s="289">
        <v>72.478120000000004</v>
      </c>
      <c r="T665" s="290">
        <v>45519</v>
      </c>
      <c r="U665" s="289"/>
      <c r="V665" s="289" t="s">
        <v>59</v>
      </c>
    </row>
    <row r="666" spans="1:22" ht="62.4" x14ac:dyDescent="0.3">
      <c r="A666" s="289">
        <v>660</v>
      </c>
      <c r="B666" s="289" t="s">
        <v>21</v>
      </c>
      <c r="C666" s="44" t="s">
        <v>760</v>
      </c>
      <c r="D666" s="289"/>
      <c r="E666" s="289" t="s">
        <v>75</v>
      </c>
      <c r="F666" s="44" t="s">
        <v>1399</v>
      </c>
      <c r="G666" s="289" t="s">
        <v>185</v>
      </c>
      <c r="H666" s="589">
        <v>60.012999999999998</v>
      </c>
      <c r="I666" s="289">
        <v>1</v>
      </c>
      <c r="J666" s="589">
        <v>60.012999999999998</v>
      </c>
      <c r="K666" s="589">
        <v>60.012999999999998</v>
      </c>
      <c r="L666" s="289">
        <v>1</v>
      </c>
      <c r="M666" s="589">
        <v>60.012999999999998</v>
      </c>
      <c r="N666" s="6" t="s">
        <v>1418</v>
      </c>
      <c r="O666" s="290">
        <v>45519</v>
      </c>
      <c r="P666" s="33" t="str">
        <f>HYPERLINK("https://my.zakupivli.pro/remote/dispatcher/state_purchase_view/52687668", "UA-2024-08-14-000304-a")</f>
        <v>UA-2024-08-14-000304-a</v>
      </c>
      <c r="Q666" s="289">
        <v>60.012999999999998</v>
      </c>
      <c r="R666" s="289">
        <v>1</v>
      </c>
      <c r="S666" s="289">
        <v>60.012999999999998</v>
      </c>
      <c r="T666" s="290">
        <v>45519</v>
      </c>
      <c r="U666" s="289"/>
      <c r="V666" s="289" t="s">
        <v>59</v>
      </c>
    </row>
    <row r="667" spans="1:22" ht="78" x14ac:dyDescent="0.3">
      <c r="A667" s="289">
        <v>661</v>
      </c>
      <c r="B667" s="289" t="s">
        <v>40</v>
      </c>
      <c r="C667" s="44" t="s">
        <v>73</v>
      </c>
      <c r="D667" s="289"/>
      <c r="E667" s="289" t="s">
        <v>75</v>
      </c>
      <c r="F667" s="44" t="s">
        <v>1402</v>
      </c>
      <c r="G667" s="289" t="s">
        <v>184</v>
      </c>
      <c r="H667" s="589">
        <v>92.021000000000001</v>
      </c>
      <c r="I667" s="289">
        <v>1</v>
      </c>
      <c r="J667" s="589">
        <v>92.021000000000001</v>
      </c>
      <c r="K667" s="589">
        <v>92.021000000000001</v>
      </c>
      <c r="L667" s="289">
        <v>1</v>
      </c>
      <c r="M667" s="589">
        <v>92.021000000000001</v>
      </c>
      <c r="N667" s="6" t="s">
        <v>1419</v>
      </c>
      <c r="O667" s="290">
        <v>45518</v>
      </c>
      <c r="P667" s="33" t="str">
        <f>HYPERLINK("https://my.zakupivli.pro/remote/dispatcher/state_purchase_view/52706129", "UA-2024-08-14-008653-a")</f>
        <v>UA-2024-08-14-008653-a</v>
      </c>
      <c r="Q667" s="289">
        <v>92.021000000000001</v>
      </c>
      <c r="R667" s="289">
        <v>1</v>
      </c>
      <c r="S667" s="289">
        <v>92.021000000000001</v>
      </c>
      <c r="T667" s="290">
        <v>45518</v>
      </c>
      <c r="U667" s="289"/>
      <c r="V667" s="289" t="s">
        <v>59</v>
      </c>
    </row>
    <row r="668" spans="1:22" ht="62.4" x14ac:dyDescent="0.3">
      <c r="A668" s="289">
        <v>662</v>
      </c>
      <c r="B668" s="289" t="s">
        <v>21</v>
      </c>
      <c r="C668" s="44" t="s">
        <v>1143</v>
      </c>
      <c r="D668" s="289"/>
      <c r="E668" s="289" t="s">
        <v>75</v>
      </c>
      <c r="F668" s="44" t="s">
        <v>1141</v>
      </c>
      <c r="G668" s="289" t="s">
        <v>186</v>
      </c>
      <c r="H668" s="589"/>
      <c r="I668" s="289">
        <v>3</v>
      </c>
      <c r="J668" s="589">
        <v>52.291200000000003</v>
      </c>
      <c r="K668" s="589"/>
      <c r="L668" s="289">
        <v>3</v>
      </c>
      <c r="M668" s="589">
        <v>52.291200000000003</v>
      </c>
      <c r="N668" s="6" t="s">
        <v>1420</v>
      </c>
      <c r="O668" s="290">
        <v>45517</v>
      </c>
      <c r="P668" s="33" t="str">
        <f>HYPERLINK("https://my.zakupivli.pro/remote/dispatcher/state_purchase_view/52684518", "UA-2024-08-13-010928-a")</f>
        <v>UA-2024-08-13-010928-a</v>
      </c>
      <c r="Q668" s="289"/>
      <c r="R668" s="289">
        <v>3</v>
      </c>
      <c r="S668" s="289">
        <v>52.291200000000003</v>
      </c>
      <c r="T668" s="290">
        <v>45517</v>
      </c>
      <c r="U668" s="289"/>
      <c r="V668" s="289" t="s">
        <v>59</v>
      </c>
    </row>
    <row r="669" spans="1:22" ht="62.4" x14ac:dyDescent="0.3">
      <c r="A669" s="289">
        <v>663</v>
      </c>
      <c r="B669" s="289" t="s">
        <v>21</v>
      </c>
      <c r="C669" s="44" t="s">
        <v>412</v>
      </c>
      <c r="D669" s="289"/>
      <c r="E669" s="289" t="s">
        <v>20</v>
      </c>
      <c r="F669" s="44" t="s">
        <v>1296</v>
      </c>
      <c r="G669" s="289" t="s">
        <v>185</v>
      </c>
      <c r="H669" s="589">
        <v>64.5</v>
      </c>
      <c r="I669" s="289">
        <v>1</v>
      </c>
      <c r="J669" s="589">
        <v>64.5</v>
      </c>
      <c r="K669" s="589">
        <v>64.5</v>
      </c>
      <c r="L669" s="289">
        <v>1</v>
      </c>
      <c r="M669" s="589">
        <v>64.5</v>
      </c>
      <c r="N669" s="6" t="s">
        <v>1421</v>
      </c>
      <c r="O669" s="290">
        <v>45516</v>
      </c>
      <c r="P669" s="33" t="str">
        <f>HYPERLINK("https://my.zakupivli.pro/remote/dispatcher/state_purchase_view/52648015", "UA-2024-08-12-006182-a")</f>
        <v>UA-2024-08-12-006182-a</v>
      </c>
      <c r="Q669" s="117">
        <v>64.5</v>
      </c>
      <c r="R669" s="289">
        <v>1</v>
      </c>
      <c r="S669" s="117">
        <v>64.5</v>
      </c>
      <c r="T669" s="290">
        <v>45516</v>
      </c>
      <c r="U669" s="289"/>
      <c r="V669" s="289" t="s">
        <v>59</v>
      </c>
    </row>
    <row r="670" spans="1:22" ht="62.4" x14ac:dyDescent="0.3">
      <c r="A670" s="289">
        <v>664</v>
      </c>
      <c r="B670" s="289" t="s">
        <v>21</v>
      </c>
      <c r="C670" s="44" t="s">
        <v>760</v>
      </c>
      <c r="D670" s="289"/>
      <c r="E670" s="289" t="s">
        <v>75</v>
      </c>
      <c r="F670" s="44" t="s">
        <v>1399</v>
      </c>
      <c r="G670" s="289" t="s">
        <v>185</v>
      </c>
      <c r="H670" s="589">
        <v>66.013000000000005</v>
      </c>
      <c r="I670" s="289">
        <v>1</v>
      </c>
      <c r="J670" s="589">
        <v>66.013000000000005</v>
      </c>
      <c r="K670" s="589">
        <v>66.013000000000005</v>
      </c>
      <c r="L670" s="289">
        <v>1</v>
      </c>
      <c r="M670" s="589">
        <v>66.013000000000005</v>
      </c>
      <c r="N670" s="6" t="s">
        <v>1422</v>
      </c>
      <c r="O670" s="290">
        <v>45513</v>
      </c>
      <c r="P670" s="33" t="str">
        <f>HYPERLINK("https://my.zakupivli.pro/remote/dispatcher/state_purchase_view/52614637", "UA-2024-08-09-003010-a")</f>
        <v>UA-2024-08-09-003010-a</v>
      </c>
      <c r="Q670" s="289">
        <v>66.013000000000005</v>
      </c>
      <c r="R670" s="289">
        <v>1</v>
      </c>
      <c r="S670" s="289">
        <v>66.013000000000005</v>
      </c>
      <c r="T670" s="290">
        <v>45513</v>
      </c>
      <c r="U670" s="289"/>
      <c r="V670" s="289" t="s">
        <v>59</v>
      </c>
    </row>
    <row r="671" spans="1:22" ht="62.4" x14ac:dyDescent="0.3">
      <c r="A671" s="289">
        <v>665</v>
      </c>
      <c r="B671" s="291" t="s">
        <v>21</v>
      </c>
      <c r="C671" s="44" t="s">
        <v>1425</v>
      </c>
      <c r="D671" s="313" t="s">
        <v>58</v>
      </c>
      <c r="E671" s="291" t="s">
        <v>88</v>
      </c>
      <c r="F671" s="44" t="s">
        <v>1423</v>
      </c>
      <c r="G671" s="289" t="s">
        <v>185</v>
      </c>
      <c r="H671" s="589"/>
      <c r="I671" s="289">
        <v>17</v>
      </c>
      <c r="J671" s="589">
        <v>1144.2850000000001</v>
      </c>
      <c r="K671" s="589"/>
      <c r="L671" s="291">
        <v>17</v>
      </c>
      <c r="M671" s="589">
        <v>1144.2850000000001</v>
      </c>
      <c r="N671" s="6" t="s">
        <v>1427</v>
      </c>
      <c r="O671" s="290">
        <v>45533</v>
      </c>
      <c r="P671" s="33" t="str">
        <f>HYPERLINK("https://my.zakupivli.pro/remote/dispatcher/state_purchase_view/52989866", "UA-2024-08-29-007868-a")</f>
        <v>UA-2024-08-29-007868-a</v>
      </c>
      <c r="Q671" s="289"/>
      <c r="R671" s="289">
        <v>17</v>
      </c>
      <c r="S671" s="289">
        <v>1144.2850000000001</v>
      </c>
      <c r="T671" s="290">
        <v>45588</v>
      </c>
      <c r="U671" s="289"/>
      <c r="V671" s="289"/>
    </row>
    <row r="672" spans="1:22" ht="78" x14ac:dyDescent="0.3">
      <c r="A672" s="289">
        <v>666</v>
      </c>
      <c r="B672" s="291" t="s">
        <v>21</v>
      </c>
      <c r="C672" s="44" t="s">
        <v>1426</v>
      </c>
      <c r="D672" s="313" t="s">
        <v>58</v>
      </c>
      <c r="E672" s="291" t="s">
        <v>88</v>
      </c>
      <c r="F672" s="44" t="s">
        <v>1424</v>
      </c>
      <c r="G672" s="289" t="s">
        <v>185</v>
      </c>
      <c r="H672" s="589"/>
      <c r="I672" s="289">
        <v>16</v>
      </c>
      <c r="J672" s="589">
        <v>457.49416000000002</v>
      </c>
      <c r="K672" s="589"/>
      <c r="L672" s="291">
        <v>16</v>
      </c>
      <c r="M672" s="589">
        <v>457.49416000000002</v>
      </c>
      <c r="N672" s="6" t="s">
        <v>1428</v>
      </c>
      <c r="O672" s="292">
        <v>45533</v>
      </c>
      <c r="P672" s="33" t="str">
        <f>HYPERLINK("https://my.zakupivli.pro/remote/dispatcher/state_purchase_view/52990788", "UA-2024-08-29-008281-a")</f>
        <v>UA-2024-08-29-008281-a</v>
      </c>
      <c r="Q672" s="289"/>
      <c r="R672" s="289">
        <v>16</v>
      </c>
      <c r="S672" s="289">
        <v>457.49417</v>
      </c>
      <c r="T672" s="290">
        <v>45551</v>
      </c>
      <c r="U672" s="289"/>
      <c r="V672" s="289"/>
    </row>
    <row r="673" spans="1:22" ht="62.4" x14ac:dyDescent="0.3">
      <c r="A673" s="289">
        <v>667</v>
      </c>
      <c r="B673" s="289" t="s">
        <v>1150</v>
      </c>
      <c r="C673" s="41" t="s">
        <v>1400</v>
      </c>
      <c r="D673" s="289"/>
      <c r="E673" s="294" t="s">
        <v>75</v>
      </c>
      <c r="F673" s="50" t="s">
        <v>1429</v>
      </c>
      <c r="G673" s="289" t="s">
        <v>1149</v>
      </c>
      <c r="H673" s="589">
        <v>78</v>
      </c>
      <c r="I673" s="289">
        <v>1</v>
      </c>
      <c r="J673" s="589">
        <v>78</v>
      </c>
      <c r="K673" s="589">
        <v>78</v>
      </c>
      <c r="L673" s="294">
        <v>1</v>
      </c>
      <c r="M673" s="589">
        <v>78</v>
      </c>
      <c r="N673" s="6" t="s">
        <v>1430</v>
      </c>
      <c r="O673" s="290">
        <v>45537</v>
      </c>
      <c r="P673" s="42" t="str">
        <f>HYPERLINK("https://my.zakupivli.pro/remote/dispatcher/state_purchase_view/53031151", "UA-2024-09-02-005487-a")</f>
        <v>UA-2024-09-02-005487-a</v>
      </c>
      <c r="Q673" s="117">
        <v>78</v>
      </c>
      <c r="R673" s="294">
        <v>1</v>
      </c>
      <c r="S673" s="117">
        <v>78</v>
      </c>
      <c r="T673" s="293">
        <v>45537</v>
      </c>
      <c r="U673" s="289"/>
      <c r="V673" s="294" t="s">
        <v>59</v>
      </c>
    </row>
    <row r="674" spans="1:22" ht="62.4" x14ac:dyDescent="0.3">
      <c r="A674" s="289">
        <v>668</v>
      </c>
      <c r="B674" s="289" t="s">
        <v>21</v>
      </c>
      <c r="C674" s="44" t="s">
        <v>30</v>
      </c>
      <c r="D674" s="289"/>
      <c r="E674" s="295" t="s">
        <v>75</v>
      </c>
      <c r="F674" s="223" t="s">
        <v>1431</v>
      </c>
      <c r="G674" s="289" t="s">
        <v>186</v>
      </c>
      <c r="H674" s="589"/>
      <c r="I674" s="289">
        <v>2</v>
      </c>
      <c r="J674" s="589">
        <v>79.25</v>
      </c>
      <c r="K674" s="589"/>
      <c r="L674" s="295">
        <v>2</v>
      </c>
      <c r="M674" s="589">
        <v>79.25</v>
      </c>
      <c r="N674" s="6" t="s">
        <v>1432</v>
      </c>
      <c r="O674" s="290">
        <v>45541</v>
      </c>
      <c r="P674" s="33" t="str">
        <f>HYPERLINK("https://my.zakupivli.pro/remote/dispatcher/state_purchase_view/53131375", "UA-2024-09-06-000103-a")</f>
        <v>UA-2024-09-06-000103-a</v>
      </c>
      <c r="Q674" s="289"/>
      <c r="R674" s="295">
        <v>2</v>
      </c>
      <c r="S674" s="295">
        <v>79.25</v>
      </c>
      <c r="T674" s="290">
        <v>45540</v>
      </c>
      <c r="U674" s="289"/>
      <c r="V674" s="295" t="s">
        <v>59</v>
      </c>
    </row>
    <row r="675" spans="1:22" ht="109.2" x14ac:dyDescent="0.3">
      <c r="A675" s="289">
        <v>669</v>
      </c>
      <c r="B675" s="296" t="s">
        <v>21</v>
      </c>
      <c r="C675" s="44" t="s">
        <v>1435</v>
      </c>
      <c r="D675" s="313" t="s">
        <v>58</v>
      </c>
      <c r="E675" s="296" t="s">
        <v>88</v>
      </c>
      <c r="F675" s="44" t="s">
        <v>1433</v>
      </c>
      <c r="G675" s="289" t="s">
        <v>185</v>
      </c>
      <c r="H675" s="589"/>
      <c r="I675" s="289">
        <v>33</v>
      </c>
      <c r="J675" s="589">
        <v>566.9425</v>
      </c>
      <c r="K675" s="589"/>
      <c r="L675" s="296">
        <v>33</v>
      </c>
      <c r="M675" s="589">
        <v>566.9425</v>
      </c>
      <c r="N675" s="6" t="s">
        <v>1436</v>
      </c>
      <c r="O675" s="297">
        <v>45544</v>
      </c>
      <c r="P675" s="33" t="str">
        <f>HYPERLINK("https://my.zakupivli.pro/remote/dispatcher/state_purchase_view/53177341", "UA-2024-09-09-007168-a")</f>
        <v>UA-2024-09-09-007168-a</v>
      </c>
      <c r="Q675" s="289"/>
      <c r="R675" s="289">
        <v>33</v>
      </c>
      <c r="S675" s="289"/>
      <c r="T675" s="290"/>
      <c r="U675" s="289" t="s">
        <v>1489</v>
      </c>
      <c r="V675" s="289"/>
    </row>
    <row r="676" spans="1:22" ht="78" x14ac:dyDescent="0.3">
      <c r="A676" s="289">
        <v>670</v>
      </c>
      <c r="B676" s="296" t="s">
        <v>40</v>
      </c>
      <c r="C676" s="44" t="s">
        <v>41</v>
      </c>
      <c r="D676" s="289"/>
      <c r="E676" s="296" t="s">
        <v>20</v>
      </c>
      <c r="F676" s="44" t="s">
        <v>1434</v>
      </c>
      <c r="G676" s="289" t="s">
        <v>184</v>
      </c>
      <c r="H676" s="589">
        <v>608.66445999999996</v>
      </c>
      <c r="I676" s="289">
        <v>1</v>
      </c>
      <c r="J676" s="589">
        <v>608.66445999999996</v>
      </c>
      <c r="K676" s="589">
        <v>608.66445999999996</v>
      </c>
      <c r="L676" s="296">
        <v>1</v>
      </c>
      <c r="M676" s="589">
        <v>608.66445999999996</v>
      </c>
      <c r="N676" s="6" t="s">
        <v>1437</v>
      </c>
      <c r="O676" s="290">
        <v>45544</v>
      </c>
      <c r="P676" s="33" t="str">
        <f>HYPERLINK("https://my.zakupivli.pro/remote/dispatcher/state_purchase_view/53189619", "UA-2024-09-09-012658-a")</f>
        <v>UA-2024-09-09-012658-a</v>
      </c>
      <c r="Q676" s="296">
        <v>608.66445999999996</v>
      </c>
      <c r="R676" s="296">
        <v>1</v>
      </c>
      <c r="S676" s="296">
        <v>608.66445999999996</v>
      </c>
      <c r="T676" s="297">
        <v>45544</v>
      </c>
      <c r="U676" s="289"/>
      <c r="V676" s="296" t="s">
        <v>59</v>
      </c>
    </row>
    <row r="677" spans="1:22" ht="62.4" x14ac:dyDescent="0.3">
      <c r="A677" s="289">
        <v>671</v>
      </c>
      <c r="B677" s="298" t="s">
        <v>40</v>
      </c>
      <c r="C677" s="44" t="s">
        <v>73</v>
      </c>
      <c r="D677" s="289"/>
      <c r="E677" s="298" t="s">
        <v>75</v>
      </c>
      <c r="F677" s="44" t="s">
        <v>1438</v>
      </c>
      <c r="G677" s="289" t="s">
        <v>184</v>
      </c>
      <c r="H677" s="589">
        <v>127.15318000000001</v>
      </c>
      <c r="I677" s="289">
        <v>1</v>
      </c>
      <c r="J677" s="589">
        <v>127.15318000000001</v>
      </c>
      <c r="K677" s="589">
        <v>127.15318000000001</v>
      </c>
      <c r="L677" s="298">
        <v>1</v>
      </c>
      <c r="M677" s="589">
        <v>127.15318000000001</v>
      </c>
      <c r="N677" s="6" t="s">
        <v>1439</v>
      </c>
      <c r="O677" s="299">
        <v>45544</v>
      </c>
      <c r="P677" s="33" t="str">
        <f>HYPERLINK("https://my.zakupivli.pro/remote/dispatcher/state_purchase_view/53208764", "UA-2024-09-10-007035-a")</f>
        <v>UA-2024-09-10-007035-a</v>
      </c>
      <c r="Q677" s="298">
        <v>127.15318000000001</v>
      </c>
      <c r="R677" s="298">
        <v>1</v>
      </c>
      <c r="S677" s="298">
        <v>127.15318000000001</v>
      </c>
      <c r="T677" s="299">
        <v>45544</v>
      </c>
      <c r="U677" s="289"/>
      <c r="V677" s="298" t="s">
        <v>59</v>
      </c>
    </row>
    <row r="678" spans="1:22" ht="62.4" x14ac:dyDescent="0.3">
      <c r="A678" s="289">
        <v>672</v>
      </c>
      <c r="B678" s="300" t="s">
        <v>21</v>
      </c>
      <c r="C678" s="44" t="s">
        <v>405</v>
      </c>
      <c r="D678" s="289"/>
      <c r="E678" s="300" t="s">
        <v>88</v>
      </c>
      <c r="F678" s="44" t="s">
        <v>1440</v>
      </c>
      <c r="G678" s="289" t="s">
        <v>185</v>
      </c>
      <c r="I678" s="289">
        <v>30</v>
      </c>
      <c r="J678" s="589">
        <v>505.92</v>
      </c>
      <c r="K678" s="589"/>
      <c r="L678" s="300">
        <v>30</v>
      </c>
      <c r="M678" s="589">
        <v>505.92</v>
      </c>
      <c r="N678" s="6" t="s">
        <v>1441</v>
      </c>
      <c r="O678" s="290">
        <v>45546</v>
      </c>
      <c r="P678" s="33" t="str">
        <f>HYPERLINK("https://my.zakupivli.pro/remote/dispatcher/state_purchase_view/53237037", "UA-2024-09-11-004952-a")</f>
        <v>UA-2024-09-11-004952-a</v>
      </c>
      <c r="Q678" s="289"/>
      <c r="R678" s="289">
        <v>30</v>
      </c>
      <c r="S678" s="289">
        <v>505.92</v>
      </c>
      <c r="T678" s="290">
        <v>45565</v>
      </c>
      <c r="U678" s="289"/>
      <c r="V678" s="289"/>
    </row>
    <row r="679" spans="1:22" ht="62.4" x14ac:dyDescent="0.3">
      <c r="A679" s="289">
        <v>673</v>
      </c>
      <c r="B679" s="301" t="s">
        <v>21</v>
      </c>
      <c r="C679" s="44" t="s">
        <v>893</v>
      </c>
      <c r="D679" s="289"/>
      <c r="E679" s="301" t="s">
        <v>88</v>
      </c>
      <c r="F679" s="44" t="s">
        <v>1442</v>
      </c>
      <c r="G679" s="289" t="s">
        <v>185</v>
      </c>
      <c r="H679" s="589"/>
      <c r="I679" s="289">
        <v>30</v>
      </c>
      <c r="J679" s="589">
        <v>1174</v>
      </c>
      <c r="K679" s="589"/>
      <c r="L679" s="301">
        <v>30</v>
      </c>
      <c r="M679" s="589">
        <v>1174</v>
      </c>
      <c r="N679" s="6" t="s">
        <v>1445</v>
      </c>
      <c r="O679" s="290">
        <v>45547</v>
      </c>
      <c r="P679" s="33" t="str">
        <f>HYPERLINK("https://my.zakupivli.pro/remote/dispatcher/state_purchase_view/53279231", "UA-2024-09-12-009706-a")</f>
        <v>UA-2024-09-12-009706-a</v>
      </c>
      <c r="Q679" s="289"/>
      <c r="R679" s="289">
        <v>30</v>
      </c>
      <c r="S679" s="117">
        <v>1103.5999999999999</v>
      </c>
      <c r="T679" s="290">
        <v>45561</v>
      </c>
      <c r="U679" s="289"/>
      <c r="V679" s="289"/>
    </row>
    <row r="680" spans="1:22" ht="78" x14ac:dyDescent="0.3">
      <c r="A680" s="289">
        <v>674</v>
      </c>
      <c r="B680" s="301" t="s">
        <v>21</v>
      </c>
      <c r="C680" s="44" t="s">
        <v>1444</v>
      </c>
      <c r="D680" s="289"/>
      <c r="E680" s="301" t="s">
        <v>75</v>
      </c>
      <c r="F680" s="44" t="s">
        <v>1443</v>
      </c>
      <c r="G680" s="289" t="s">
        <v>186</v>
      </c>
      <c r="H680" s="589"/>
      <c r="I680" s="289">
        <v>7</v>
      </c>
      <c r="J680" s="589">
        <v>557.5</v>
      </c>
      <c r="K680" s="589"/>
      <c r="L680" s="301">
        <v>7</v>
      </c>
      <c r="M680" s="589">
        <v>557.5</v>
      </c>
      <c r="N680" s="6" t="s">
        <v>1446</v>
      </c>
      <c r="O680" s="302">
        <v>45547</v>
      </c>
      <c r="P680" s="33" t="str">
        <f>HYPERLINK("https://my.zakupivli.pro/remote/dispatcher/state_purchase_view/53281103", "UA-2024-09-12-010471-a")</f>
        <v>UA-2024-09-12-010471-a</v>
      </c>
      <c r="Q680" s="289"/>
      <c r="R680" s="289"/>
      <c r="S680" s="289"/>
      <c r="T680" s="290"/>
      <c r="U680" s="311" t="s">
        <v>93</v>
      </c>
      <c r="V680" s="289"/>
    </row>
    <row r="681" spans="1:22" ht="62.4" x14ac:dyDescent="0.3">
      <c r="A681" s="304">
        <v>675</v>
      </c>
      <c r="B681" s="304" t="s">
        <v>21</v>
      </c>
      <c r="C681" s="44" t="s">
        <v>30</v>
      </c>
      <c r="D681" s="304"/>
      <c r="E681" s="304" t="s">
        <v>75</v>
      </c>
      <c r="F681" s="44" t="s">
        <v>1447</v>
      </c>
      <c r="G681" s="304" t="s">
        <v>186</v>
      </c>
      <c r="I681" s="304">
        <v>3</v>
      </c>
      <c r="J681" s="589">
        <v>82.756500000000003</v>
      </c>
      <c r="K681" s="589"/>
      <c r="L681" s="304">
        <v>3</v>
      </c>
      <c r="M681" s="589">
        <v>82.756500000000003</v>
      </c>
      <c r="N681" s="6" t="s">
        <v>1452</v>
      </c>
      <c r="O681" s="303">
        <v>45548</v>
      </c>
      <c r="P681" s="33" t="str">
        <f>HYPERLINK("https://my.zakupivli.pro/remote/dispatcher/state_purchase_view/53295317", "UA-2024-09-13-002771-a")</f>
        <v>UA-2024-09-13-002771-a</v>
      </c>
      <c r="Q681" s="304"/>
      <c r="R681" s="304">
        <v>3</v>
      </c>
      <c r="S681" s="304">
        <v>82.756500000000003</v>
      </c>
      <c r="T681" s="303">
        <v>45548</v>
      </c>
      <c r="U681" s="304"/>
      <c r="V681" s="304" t="s">
        <v>59</v>
      </c>
    </row>
    <row r="682" spans="1:22" ht="78" x14ac:dyDescent="0.3">
      <c r="A682" s="304">
        <v>676</v>
      </c>
      <c r="B682" s="304" t="s">
        <v>40</v>
      </c>
      <c r="C682" s="44" t="s">
        <v>884</v>
      </c>
      <c r="D682" s="304"/>
      <c r="E682" s="304" t="s">
        <v>20</v>
      </c>
      <c r="F682" s="44" t="s">
        <v>1448</v>
      </c>
      <c r="G682" s="304" t="s">
        <v>184</v>
      </c>
      <c r="H682" s="589">
        <v>174.4562</v>
      </c>
      <c r="I682" s="304">
        <v>1</v>
      </c>
      <c r="J682" s="589">
        <v>174.4562</v>
      </c>
      <c r="K682" s="589">
        <v>174.4562</v>
      </c>
      <c r="L682" s="304">
        <v>1</v>
      </c>
      <c r="M682" s="589">
        <v>174.4562</v>
      </c>
      <c r="N682" s="6" t="s">
        <v>1453</v>
      </c>
      <c r="O682" s="303">
        <v>45548</v>
      </c>
      <c r="P682" s="33" t="str">
        <f>HYPERLINK("https://my.zakupivli.pro/remote/dispatcher/state_purchase_view/53297243", "UA-2024-09-13-003709-a")</f>
        <v>UA-2024-09-13-003709-a</v>
      </c>
      <c r="Q682" s="304">
        <v>174.4562</v>
      </c>
      <c r="R682" s="304">
        <v>1</v>
      </c>
      <c r="S682" s="304">
        <v>174.4562</v>
      </c>
      <c r="T682" s="303">
        <v>45548</v>
      </c>
      <c r="U682" s="304"/>
      <c r="V682" s="304" t="s">
        <v>59</v>
      </c>
    </row>
    <row r="683" spans="1:22" ht="62.4" x14ac:dyDescent="0.3">
      <c r="A683" s="304">
        <v>677</v>
      </c>
      <c r="B683" s="304" t="s">
        <v>40</v>
      </c>
      <c r="C683" s="44" t="s">
        <v>884</v>
      </c>
      <c r="D683" s="304"/>
      <c r="E683" s="304" t="s">
        <v>20</v>
      </c>
      <c r="F683" s="44" t="s">
        <v>1449</v>
      </c>
      <c r="G683" s="304" t="s">
        <v>184</v>
      </c>
      <c r="H683" s="589">
        <v>118.7747</v>
      </c>
      <c r="I683" s="304">
        <v>1</v>
      </c>
      <c r="J683" s="589">
        <v>118.7747</v>
      </c>
      <c r="K683" s="589">
        <v>118.7747</v>
      </c>
      <c r="L683" s="304">
        <v>1</v>
      </c>
      <c r="M683" s="589">
        <v>118.7747</v>
      </c>
      <c r="N683" s="6" t="s">
        <v>1454</v>
      </c>
      <c r="O683" s="303">
        <v>45548</v>
      </c>
      <c r="P683" s="33" t="str">
        <f>HYPERLINK("https://my.zakupivli.pro/remote/dispatcher/state_purchase_view/53311753", "UA-2024-09-13-010422-a")</f>
        <v>UA-2024-09-13-010422-a</v>
      </c>
      <c r="Q683" s="304">
        <v>118.7747</v>
      </c>
      <c r="R683" s="304">
        <v>1</v>
      </c>
      <c r="S683" s="304">
        <v>118.7747</v>
      </c>
      <c r="T683" s="303">
        <v>45548</v>
      </c>
      <c r="U683" s="304"/>
      <c r="V683" s="304" t="s">
        <v>59</v>
      </c>
    </row>
    <row r="684" spans="1:22" ht="62.4" x14ac:dyDescent="0.3">
      <c r="A684" s="304">
        <v>678</v>
      </c>
      <c r="B684" s="304" t="s">
        <v>21</v>
      </c>
      <c r="C684" s="44" t="s">
        <v>1451</v>
      </c>
      <c r="D684" s="313" t="s">
        <v>58</v>
      </c>
      <c r="E684" s="304" t="s">
        <v>88</v>
      </c>
      <c r="F684" s="44" t="s">
        <v>1450</v>
      </c>
      <c r="G684" s="304" t="s">
        <v>185</v>
      </c>
      <c r="H684" s="589"/>
      <c r="I684" s="304">
        <v>445</v>
      </c>
      <c r="J684" s="589">
        <v>665.88</v>
      </c>
      <c r="K684" s="589"/>
      <c r="L684" s="304">
        <v>445</v>
      </c>
      <c r="M684" s="589">
        <v>665.88</v>
      </c>
      <c r="N684" s="6" t="s">
        <v>1455</v>
      </c>
      <c r="O684" s="303">
        <v>45548</v>
      </c>
      <c r="P684" s="33" t="str">
        <f>HYPERLINK("https://my.zakupivli.pro/remote/dispatcher/state_purchase_view/53313149", "UA-2024-09-13-010785-a")</f>
        <v>UA-2024-09-13-010785-a</v>
      </c>
      <c r="Q684" s="304"/>
      <c r="R684" s="304">
        <v>445</v>
      </c>
      <c r="S684" s="304">
        <v>622.28399999999999</v>
      </c>
      <c r="T684" s="303">
        <v>45568</v>
      </c>
      <c r="U684" s="304"/>
      <c r="V684" s="304"/>
    </row>
    <row r="685" spans="1:22" ht="62.4" x14ac:dyDescent="0.3">
      <c r="A685" s="305">
        <v>679</v>
      </c>
      <c r="B685" s="305" t="s">
        <v>21</v>
      </c>
      <c r="C685" s="44" t="s">
        <v>1458</v>
      </c>
      <c r="D685" s="313" t="s">
        <v>58</v>
      </c>
      <c r="E685" s="305" t="s">
        <v>88</v>
      </c>
      <c r="F685" s="44" t="s">
        <v>1456</v>
      </c>
      <c r="G685" s="305" t="s">
        <v>186</v>
      </c>
      <c r="H685" s="589"/>
      <c r="I685" s="305">
        <v>8</v>
      </c>
      <c r="J685" s="589">
        <v>324.30833000000001</v>
      </c>
      <c r="K685" s="589"/>
      <c r="L685" s="305">
        <v>8</v>
      </c>
      <c r="M685" s="589">
        <v>324.30833000000001</v>
      </c>
      <c r="N685" s="6" t="s">
        <v>1459</v>
      </c>
      <c r="O685" s="306">
        <v>45555</v>
      </c>
      <c r="P685" s="120" t="str">
        <f>HYPERLINK("https://my.zakupivli.pro/remote/dispatcher/state_purchase_view/53457069", "UA-2024-09-20-001099-a")</f>
        <v>UA-2024-09-20-001099-a</v>
      </c>
      <c r="Q685" s="305"/>
      <c r="R685" s="305">
        <v>8</v>
      </c>
      <c r="S685" s="305">
        <v>312.8689</v>
      </c>
      <c r="T685" s="306">
        <v>45579</v>
      </c>
      <c r="U685" s="305"/>
      <c r="V685" s="305"/>
    </row>
    <row r="686" spans="1:22" ht="46.8" x14ac:dyDescent="0.3">
      <c r="A686" s="305">
        <v>680</v>
      </c>
      <c r="B686" s="305" t="s">
        <v>21</v>
      </c>
      <c r="C686" s="44" t="s">
        <v>1435</v>
      </c>
      <c r="D686" s="313" t="s">
        <v>58</v>
      </c>
      <c r="E686" s="305" t="s">
        <v>88</v>
      </c>
      <c r="F686" s="44" t="s">
        <v>1457</v>
      </c>
      <c r="G686" s="305" t="s">
        <v>185</v>
      </c>
      <c r="H686" s="589"/>
      <c r="I686" s="305">
        <v>33</v>
      </c>
      <c r="J686" s="589">
        <v>566.92449999999997</v>
      </c>
      <c r="K686" s="589"/>
      <c r="L686" s="305">
        <v>33</v>
      </c>
      <c r="M686" s="589">
        <v>566.92449999999997</v>
      </c>
      <c r="N686" s="6" t="s">
        <v>1460</v>
      </c>
      <c r="O686" s="306">
        <v>45554</v>
      </c>
      <c r="P686" s="120" t="str">
        <f>HYPERLINK("https://my.zakupivli.pro/remote/dispatcher/state_purchase_view/53451774", "UA-2024-09-19-013922-a")</f>
        <v>UA-2024-09-19-013922-a</v>
      </c>
      <c r="Q686" s="305"/>
      <c r="R686" s="305">
        <v>33</v>
      </c>
      <c r="S686" s="305">
        <v>547.15606000000002</v>
      </c>
      <c r="T686" s="306">
        <v>45568</v>
      </c>
      <c r="U686" s="305"/>
      <c r="V686" s="305"/>
    </row>
    <row r="687" spans="1:22" ht="62.4" x14ac:dyDescent="0.3">
      <c r="A687" s="305">
        <v>681</v>
      </c>
      <c r="B687" s="307" t="s">
        <v>40</v>
      </c>
      <c r="C687" s="44" t="s">
        <v>884</v>
      </c>
      <c r="D687" s="305"/>
      <c r="E687" s="307" t="s">
        <v>20</v>
      </c>
      <c r="F687" s="44" t="s">
        <v>1461</v>
      </c>
      <c r="G687" s="305" t="s">
        <v>184</v>
      </c>
      <c r="H687" s="589">
        <v>52.655290000000001</v>
      </c>
      <c r="I687" s="305">
        <v>1</v>
      </c>
      <c r="J687" s="589">
        <v>52.655290000000001</v>
      </c>
      <c r="K687" s="589">
        <v>52.655290000000001</v>
      </c>
      <c r="L687" s="307">
        <v>1</v>
      </c>
      <c r="M687" s="589">
        <v>52.655290000000001</v>
      </c>
      <c r="N687" s="6" t="s">
        <v>1467</v>
      </c>
      <c r="O687" s="306">
        <v>45558</v>
      </c>
      <c r="P687" s="33" t="str">
        <f>HYPERLINK("https://my.zakupivli.pro/remote/dispatcher/state_purchase_view/53509367", "UA-2024-09-23-009602-a")</f>
        <v>UA-2024-09-23-009602-a</v>
      </c>
      <c r="Q687" s="307">
        <v>52.655290000000001</v>
      </c>
      <c r="R687" s="307">
        <v>1</v>
      </c>
      <c r="S687" s="307">
        <v>52.655290000000001</v>
      </c>
      <c r="T687" s="308">
        <v>45558</v>
      </c>
      <c r="U687" s="305"/>
      <c r="V687" s="307" t="s">
        <v>59</v>
      </c>
    </row>
    <row r="688" spans="1:22" ht="78" x14ac:dyDescent="0.3">
      <c r="A688" s="305">
        <v>682</v>
      </c>
      <c r="B688" s="307" t="s">
        <v>40</v>
      </c>
      <c r="C688" s="44" t="s">
        <v>884</v>
      </c>
      <c r="D688" s="305"/>
      <c r="E688" s="307" t="s">
        <v>20</v>
      </c>
      <c r="F688" s="44" t="s">
        <v>1462</v>
      </c>
      <c r="G688" s="305" t="s">
        <v>184</v>
      </c>
      <c r="H688" s="589">
        <v>78.539169999999999</v>
      </c>
      <c r="I688" s="307">
        <v>1</v>
      </c>
      <c r="J688" s="589">
        <v>78.539169999999999</v>
      </c>
      <c r="K688" s="589">
        <v>78.539169999999999</v>
      </c>
      <c r="L688" s="307">
        <v>1</v>
      </c>
      <c r="M688" s="589">
        <v>78.539169999999999</v>
      </c>
      <c r="N688" s="6" t="s">
        <v>1468</v>
      </c>
      <c r="O688" s="308">
        <v>45558</v>
      </c>
      <c r="P688" s="33" t="str">
        <f>HYPERLINK("https://my.zakupivli.pro/remote/dispatcher/state_purchase_view/53498923", "UA-2024-09-23-004972-a")</f>
        <v>UA-2024-09-23-004972-a</v>
      </c>
      <c r="Q688" s="307">
        <v>78.539169999999999</v>
      </c>
      <c r="R688" s="307">
        <v>1</v>
      </c>
      <c r="S688" s="307">
        <v>78.539169999999999</v>
      </c>
      <c r="T688" s="308">
        <v>45558</v>
      </c>
      <c r="U688" s="305"/>
      <c r="V688" s="307" t="s">
        <v>59</v>
      </c>
    </row>
    <row r="689" spans="1:22" ht="62.4" x14ac:dyDescent="0.3">
      <c r="A689" s="305">
        <v>683</v>
      </c>
      <c r="B689" s="307" t="s">
        <v>40</v>
      </c>
      <c r="C689" s="44" t="s">
        <v>884</v>
      </c>
      <c r="D689" s="305"/>
      <c r="E689" s="307" t="s">
        <v>20</v>
      </c>
      <c r="F689" s="44" t="s">
        <v>1463</v>
      </c>
      <c r="G689" s="305" t="s">
        <v>184</v>
      </c>
      <c r="H689" s="589">
        <v>112.74850000000001</v>
      </c>
      <c r="I689" s="307">
        <v>1</v>
      </c>
      <c r="J689" s="589">
        <v>112.74850000000001</v>
      </c>
      <c r="K689" s="589">
        <v>112.74850000000001</v>
      </c>
      <c r="L689" s="307">
        <v>1</v>
      </c>
      <c r="M689" s="589">
        <v>112.74850000000001</v>
      </c>
      <c r="N689" s="6" t="s">
        <v>1469</v>
      </c>
      <c r="O689" s="308">
        <v>45558</v>
      </c>
      <c r="P689" s="33" t="str">
        <f>HYPERLINK("https://my.zakupivli.pro/remote/dispatcher/state_purchase_view/53497297", "UA-2024-09-23-004311-a")</f>
        <v>UA-2024-09-23-004311-a</v>
      </c>
      <c r="Q689" s="307">
        <v>112.74850000000001</v>
      </c>
      <c r="R689" s="307">
        <v>1</v>
      </c>
      <c r="S689" s="307">
        <v>112.74850000000001</v>
      </c>
      <c r="T689" s="308">
        <v>45558</v>
      </c>
      <c r="U689" s="305"/>
      <c r="V689" s="307" t="s">
        <v>59</v>
      </c>
    </row>
    <row r="690" spans="1:22" ht="62.4" x14ac:dyDescent="0.3">
      <c r="A690" s="305">
        <v>684</v>
      </c>
      <c r="B690" s="307" t="s">
        <v>40</v>
      </c>
      <c r="C690" s="44" t="s">
        <v>1466</v>
      </c>
      <c r="D690" s="305"/>
      <c r="E690" s="307" t="s">
        <v>75</v>
      </c>
      <c r="F690" s="44" t="s">
        <v>1464</v>
      </c>
      <c r="G690" s="305" t="s">
        <v>1149</v>
      </c>
      <c r="H690" s="589">
        <v>83.3</v>
      </c>
      <c r="I690" s="307">
        <v>1</v>
      </c>
      <c r="J690" s="589">
        <v>83.3</v>
      </c>
      <c r="K690" s="589">
        <v>83.3</v>
      </c>
      <c r="L690" s="307">
        <v>1</v>
      </c>
      <c r="M690" s="589">
        <v>83.3</v>
      </c>
      <c r="N690" s="6" t="s">
        <v>1470</v>
      </c>
      <c r="O690" s="308">
        <v>45558</v>
      </c>
      <c r="P690" s="33" t="str">
        <f>HYPERLINK("https://my.zakupivli.pro/remote/dispatcher/state_purchase_view/53492810", "UA-2024-09-23-002326-a")</f>
        <v>UA-2024-09-23-002326-a</v>
      </c>
      <c r="Q690" s="117">
        <v>83.3</v>
      </c>
      <c r="R690" s="307">
        <v>1</v>
      </c>
      <c r="S690" s="117">
        <v>83.3</v>
      </c>
      <c r="T690" s="306">
        <v>45554</v>
      </c>
      <c r="U690" s="305"/>
      <c r="V690" s="307" t="s">
        <v>59</v>
      </c>
    </row>
    <row r="691" spans="1:22" ht="62.4" x14ac:dyDescent="0.3">
      <c r="A691" s="305">
        <v>685</v>
      </c>
      <c r="B691" s="307" t="s">
        <v>40</v>
      </c>
      <c r="C691" s="44" t="s">
        <v>1466</v>
      </c>
      <c r="D691" s="305"/>
      <c r="E691" s="307" t="s">
        <v>75</v>
      </c>
      <c r="F691" s="44" t="s">
        <v>1465</v>
      </c>
      <c r="G691" s="305" t="s">
        <v>1149</v>
      </c>
      <c r="H691" s="589">
        <v>99.29</v>
      </c>
      <c r="I691" s="307">
        <v>1</v>
      </c>
      <c r="J691" s="589">
        <v>99.29</v>
      </c>
      <c r="K691" s="589">
        <v>99.29</v>
      </c>
      <c r="L691" s="307">
        <v>1</v>
      </c>
      <c r="M691" s="589">
        <v>99.29</v>
      </c>
      <c r="N691" s="6" t="s">
        <v>1471</v>
      </c>
      <c r="O691" s="308">
        <v>45558</v>
      </c>
      <c r="P691" s="33" t="str">
        <f>HYPERLINK("https://my.zakupivli.pro/remote/dispatcher/state_purchase_view/53490995", "UA-2024-09-23-001580-a")</f>
        <v>UA-2024-09-23-001580-a</v>
      </c>
      <c r="Q691" s="307">
        <v>99.29</v>
      </c>
      <c r="R691" s="307">
        <v>1</v>
      </c>
      <c r="S691" s="307">
        <v>99.29</v>
      </c>
      <c r="T691" s="306">
        <v>45552</v>
      </c>
      <c r="U691" s="305"/>
      <c r="V691" s="307" t="s">
        <v>59</v>
      </c>
    </row>
    <row r="692" spans="1:22" ht="62.4" x14ac:dyDescent="0.3">
      <c r="A692" s="305">
        <v>686</v>
      </c>
      <c r="B692" s="309" t="s">
        <v>40</v>
      </c>
      <c r="C692" s="44" t="s">
        <v>884</v>
      </c>
      <c r="D692" s="305"/>
      <c r="E692" s="309" t="s">
        <v>20</v>
      </c>
      <c r="F692" s="44" t="s">
        <v>1472</v>
      </c>
      <c r="G692" s="309" t="s">
        <v>184</v>
      </c>
      <c r="H692" s="589">
        <v>296.12436000000002</v>
      </c>
      <c r="I692" s="305">
        <v>1</v>
      </c>
      <c r="J692" s="589">
        <v>296.12436000000002</v>
      </c>
      <c r="K692" s="589">
        <v>296.12436000000002</v>
      </c>
      <c r="L692" s="309">
        <v>1</v>
      </c>
      <c r="M692" s="589">
        <v>296.12436000000002</v>
      </c>
      <c r="N692" s="6" t="s">
        <v>1479</v>
      </c>
      <c r="O692" s="306">
        <v>45560</v>
      </c>
      <c r="P692" s="33" t="str">
        <f>HYPERLINK("https://my.zakupivli.pro/remote/dispatcher/state_purchase_view/53583248", "UA-2024-09-25-012201-a")</f>
        <v>UA-2024-09-25-012201-a</v>
      </c>
      <c r="Q692" s="309">
        <v>296.12436000000002</v>
      </c>
      <c r="R692" s="309">
        <v>1</v>
      </c>
      <c r="S692" s="309">
        <v>296.12436000000002</v>
      </c>
      <c r="T692" s="306">
        <v>45559</v>
      </c>
      <c r="U692" s="305"/>
      <c r="V692" s="309" t="s">
        <v>59</v>
      </c>
    </row>
    <row r="693" spans="1:22" ht="62.4" x14ac:dyDescent="0.3">
      <c r="A693" s="305">
        <v>687</v>
      </c>
      <c r="B693" s="309" t="s">
        <v>21</v>
      </c>
      <c r="C693" s="44" t="s">
        <v>1217</v>
      </c>
      <c r="D693" s="305"/>
      <c r="E693" s="309" t="s">
        <v>75</v>
      </c>
      <c r="F693" s="44" t="s">
        <v>1473</v>
      </c>
      <c r="G693" s="305" t="s">
        <v>185</v>
      </c>
      <c r="H693" s="589"/>
      <c r="I693" s="305">
        <v>142</v>
      </c>
      <c r="J693" s="589">
        <v>2096.3649999999998</v>
      </c>
      <c r="K693" s="589"/>
      <c r="L693" s="309">
        <v>142</v>
      </c>
      <c r="M693" s="589">
        <v>2096.3649999999998</v>
      </c>
      <c r="N693" s="6" t="s">
        <v>1480</v>
      </c>
      <c r="O693" s="310">
        <v>45560</v>
      </c>
      <c r="P693" s="33" t="str">
        <f>HYPERLINK("https://my.zakupivli.pro/remote/dispatcher/state_purchase_view/53577857", "UA-2024-09-25-009794-a")</f>
        <v>UA-2024-09-25-009794-a</v>
      </c>
      <c r="R693" s="305">
        <v>142</v>
      </c>
      <c r="S693" s="305">
        <v>1684.4880000000001</v>
      </c>
      <c r="T693" s="306">
        <v>45586</v>
      </c>
      <c r="U693" s="305"/>
      <c r="V693" s="305"/>
    </row>
    <row r="694" spans="1:22" ht="62.4" x14ac:dyDescent="0.3">
      <c r="A694" s="305">
        <v>688</v>
      </c>
      <c r="B694" s="309" t="s">
        <v>40</v>
      </c>
      <c r="C694" s="44" t="s">
        <v>884</v>
      </c>
      <c r="D694" s="305"/>
      <c r="E694" s="309" t="s">
        <v>20</v>
      </c>
      <c r="F694" s="44" t="s">
        <v>1474</v>
      </c>
      <c r="G694" s="309" t="s">
        <v>184</v>
      </c>
      <c r="H694" s="589">
        <v>137.95366999999999</v>
      </c>
      <c r="I694" s="305">
        <v>1</v>
      </c>
      <c r="J694" s="589">
        <v>137.95366999999999</v>
      </c>
      <c r="K694" s="589">
        <v>137.95366999999999</v>
      </c>
      <c r="L694" s="309">
        <v>1</v>
      </c>
      <c r="M694" s="589">
        <v>137.95366999999999</v>
      </c>
      <c r="N694" s="6" t="s">
        <v>1481</v>
      </c>
      <c r="O694" s="310">
        <v>45560</v>
      </c>
      <c r="P694" s="33" t="str">
        <f>HYPERLINK("https://my.zakupivli.pro/remote/dispatcher/state_purchase_view/53556779", "UA-2024-09-25-000210-a")</f>
        <v>UA-2024-09-25-000210-a</v>
      </c>
      <c r="Q694" s="309">
        <v>137.95366999999999</v>
      </c>
      <c r="R694" s="309">
        <v>1</v>
      </c>
      <c r="S694" s="309">
        <v>137.95366999999999</v>
      </c>
      <c r="T694" s="310">
        <v>45559</v>
      </c>
      <c r="U694" s="305"/>
      <c r="V694" s="309" t="s">
        <v>59</v>
      </c>
    </row>
    <row r="695" spans="1:22" ht="62.4" x14ac:dyDescent="0.3">
      <c r="A695" s="305">
        <v>689</v>
      </c>
      <c r="B695" s="309" t="s">
        <v>40</v>
      </c>
      <c r="C695" s="44" t="s">
        <v>884</v>
      </c>
      <c r="D695" s="305"/>
      <c r="E695" s="309" t="s">
        <v>20</v>
      </c>
      <c r="F695" s="44" t="s">
        <v>1475</v>
      </c>
      <c r="G695" s="309" t="s">
        <v>184</v>
      </c>
      <c r="H695" s="589">
        <v>364.10131000000001</v>
      </c>
      <c r="I695" s="305">
        <v>1</v>
      </c>
      <c r="J695" s="589">
        <v>364.10131000000001</v>
      </c>
      <c r="K695" s="589">
        <v>364.10131000000001</v>
      </c>
      <c r="L695" s="309">
        <v>1</v>
      </c>
      <c r="M695" s="589">
        <v>364.10131000000001</v>
      </c>
      <c r="N695" s="6" t="s">
        <v>1482</v>
      </c>
      <c r="O695" s="310">
        <v>45560</v>
      </c>
      <c r="P695" s="33" t="str">
        <f>HYPERLINK("https://my.zakupivli.pro/remote/dispatcher/state_purchase_view/53556554", "UA-2024-09-25-000110-a")</f>
        <v>UA-2024-09-25-000110-a</v>
      </c>
      <c r="Q695" s="309">
        <v>364.10131000000001</v>
      </c>
      <c r="R695" s="309">
        <v>1</v>
      </c>
      <c r="S695" s="309">
        <v>364.10131000000001</v>
      </c>
      <c r="T695" s="310">
        <v>45559</v>
      </c>
      <c r="U695" s="305"/>
      <c r="V695" s="309" t="s">
        <v>59</v>
      </c>
    </row>
    <row r="696" spans="1:22" ht="62.4" x14ac:dyDescent="0.3">
      <c r="A696" s="305">
        <v>690</v>
      </c>
      <c r="B696" s="309" t="s">
        <v>21</v>
      </c>
      <c r="C696" s="44" t="s">
        <v>1478</v>
      </c>
      <c r="D696" s="305"/>
      <c r="E696" s="309" t="s">
        <v>88</v>
      </c>
      <c r="F696" s="44" t="s">
        <v>1476</v>
      </c>
      <c r="G696" s="305" t="s">
        <v>185</v>
      </c>
      <c r="H696" s="589"/>
      <c r="I696" s="305">
        <v>3</v>
      </c>
      <c r="J696" s="589">
        <v>75</v>
      </c>
      <c r="K696" s="589"/>
      <c r="L696" s="309">
        <v>3</v>
      </c>
      <c r="M696" s="589">
        <v>75</v>
      </c>
      <c r="N696" s="6" t="s">
        <v>1483</v>
      </c>
      <c r="O696" s="310">
        <v>45560</v>
      </c>
      <c r="P696" s="33" t="str">
        <f>HYPERLINK("https://my.zakupivli.pro/remote/dispatcher/state_purchase_view/53556470", "UA-2024-09-25-000091-a")</f>
        <v>UA-2024-09-25-000091-a</v>
      </c>
      <c r="Q696" s="305"/>
      <c r="R696" s="309">
        <v>3</v>
      </c>
      <c r="S696" s="117">
        <v>75</v>
      </c>
      <c r="T696" s="310">
        <v>45559</v>
      </c>
      <c r="U696" s="305"/>
      <c r="V696" s="309" t="s">
        <v>59</v>
      </c>
    </row>
    <row r="697" spans="1:22" ht="62.4" x14ac:dyDescent="0.3">
      <c r="A697" s="305">
        <v>691</v>
      </c>
      <c r="B697" s="309" t="s">
        <v>21</v>
      </c>
      <c r="C697" s="44" t="s">
        <v>405</v>
      </c>
      <c r="D697" s="305"/>
      <c r="E697" s="309" t="s">
        <v>88</v>
      </c>
      <c r="F697" s="44" t="s">
        <v>1477</v>
      </c>
      <c r="G697" s="305" t="s">
        <v>185</v>
      </c>
      <c r="H697" s="589"/>
      <c r="I697" s="305">
        <v>15</v>
      </c>
      <c r="J697" s="589">
        <v>56.25</v>
      </c>
      <c r="K697" s="589"/>
      <c r="L697" s="309">
        <v>15</v>
      </c>
      <c r="M697" s="589">
        <v>56.25</v>
      </c>
      <c r="N697" s="6" t="s">
        <v>1484</v>
      </c>
      <c r="O697" s="310">
        <v>45560</v>
      </c>
      <c r="P697" s="33" t="str">
        <f>HYPERLINK("https://my.zakupivli.pro/remote/dispatcher/state_purchase_view/53556454", "UA-2024-09-25-000083-a")</f>
        <v>UA-2024-09-25-000083-a</v>
      </c>
      <c r="Q697" s="305"/>
      <c r="R697" s="309">
        <v>15</v>
      </c>
      <c r="S697" s="309">
        <v>56.25</v>
      </c>
      <c r="T697" s="310">
        <v>45559</v>
      </c>
      <c r="U697" s="305"/>
      <c r="V697" s="309" t="s">
        <v>59</v>
      </c>
    </row>
    <row r="698" spans="1:22" ht="78" x14ac:dyDescent="0.3">
      <c r="A698" s="305">
        <v>692</v>
      </c>
      <c r="B698" s="311" t="s">
        <v>40</v>
      </c>
      <c r="C698" s="44" t="s">
        <v>884</v>
      </c>
      <c r="D698" s="305"/>
      <c r="E698" s="311" t="s">
        <v>20</v>
      </c>
      <c r="F698" s="44" t="s">
        <v>1485</v>
      </c>
      <c r="G698" s="311" t="s">
        <v>184</v>
      </c>
      <c r="H698" s="589">
        <v>192.17121</v>
      </c>
      <c r="I698" s="305">
        <v>1</v>
      </c>
      <c r="J698" s="589">
        <v>192.17121</v>
      </c>
      <c r="K698" s="589">
        <v>192.17121</v>
      </c>
      <c r="L698" s="311">
        <v>1</v>
      </c>
      <c r="M698" s="589">
        <v>192.17121</v>
      </c>
      <c r="N698" s="6" t="s">
        <v>1487</v>
      </c>
      <c r="O698" s="306">
        <v>45562</v>
      </c>
      <c r="P698" s="33" t="str">
        <f>HYPERLINK("https://my.zakupivli.pro/remote/dispatcher/state_purchase_view/53622436", "UA-2024-09-27-000167-a")</f>
        <v>UA-2024-09-27-000167-a</v>
      </c>
      <c r="Q698" s="311">
        <v>192.17121</v>
      </c>
      <c r="R698" s="311">
        <v>1</v>
      </c>
      <c r="S698" s="311">
        <v>192.17121</v>
      </c>
      <c r="T698" s="306">
        <v>45561</v>
      </c>
      <c r="U698" s="305"/>
      <c r="V698" s="311" t="s">
        <v>59</v>
      </c>
    </row>
    <row r="699" spans="1:22" ht="78" x14ac:dyDescent="0.3">
      <c r="A699" s="305">
        <v>693</v>
      </c>
      <c r="B699" s="311" t="s">
        <v>40</v>
      </c>
      <c r="C699" s="44" t="s">
        <v>884</v>
      </c>
      <c r="D699" s="305"/>
      <c r="E699" s="311" t="s">
        <v>20</v>
      </c>
      <c r="F699" s="44" t="s">
        <v>1486</v>
      </c>
      <c r="G699" s="311" t="s">
        <v>184</v>
      </c>
      <c r="H699" s="589">
        <v>97.990600000000001</v>
      </c>
      <c r="I699" s="305">
        <v>1</v>
      </c>
      <c r="J699" s="589">
        <v>97.990600000000001</v>
      </c>
      <c r="K699" s="589">
        <v>97.990600000000001</v>
      </c>
      <c r="L699" s="311">
        <v>1</v>
      </c>
      <c r="M699" s="589">
        <v>97.990600000000001</v>
      </c>
      <c r="N699" s="6" t="s">
        <v>1488</v>
      </c>
      <c r="O699" s="312">
        <v>45562</v>
      </c>
      <c r="P699" s="33" t="str">
        <f>HYPERLINK("https://my.zakupivli.pro/remote/dispatcher/state_purchase_view/53622364", "UA-2024-09-27-000136-a")</f>
        <v>UA-2024-09-27-000136-a</v>
      </c>
      <c r="Q699" s="311">
        <v>97.990600000000001</v>
      </c>
      <c r="R699" s="311">
        <v>1</v>
      </c>
      <c r="S699" s="311">
        <v>97.990600000000001</v>
      </c>
      <c r="T699" s="312">
        <v>45561</v>
      </c>
      <c r="U699" s="305"/>
      <c r="V699" s="311" t="s">
        <v>59</v>
      </c>
    </row>
    <row r="700" spans="1:22" ht="62.4" x14ac:dyDescent="0.3">
      <c r="A700" s="305">
        <v>694</v>
      </c>
      <c r="B700" s="305" t="s">
        <v>1150</v>
      </c>
      <c r="C700" s="520"/>
      <c r="D700" s="313" t="s">
        <v>58</v>
      </c>
      <c r="E700" s="313" t="s">
        <v>75</v>
      </c>
      <c r="F700" s="44" t="s">
        <v>1490</v>
      </c>
      <c r="G700" s="305" t="s">
        <v>1149</v>
      </c>
      <c r="H700" s="589">
        <v>875</v>
      </c>
      <c r="I700" s="305">
        <v>1</v>
      </c>
      <c r="J700" s="589">
        <v>875</v>
      </c>
      <c r="K700" s="589">
        <v>875</v>
      </c>
      <c r="L700" s="313">
        <v>1</v>
      </c>
      <c r="M700" s="589">
        <v>875</v>
      </c>
      <c r="N700" s="6" t="s">
        <v>1492</v>
      </c>
      <c r="O700" s="306">
        <v>45568</v>
      </c>
      <c r="P700" s="33" t="str">
        <f>HYPERLINK("https://my.zakupivli.pro/remote/dispatcher/state_purchase_view/53763368", "UA-2024-10-03-012179-a")</f>
        <v>UA-2024-10-03-012179-a</v>
      </c>
      <c r="Q700" s="117">
        <v>840</v>
      </c>
      <c r="R700" s="305">
        <v>1</v>
      </c>
      <c r="S700" s="117">
        <v>840</v>
      </c>
      <c r="T700" s="306">
        <v>45582</v>
      </c>
      <c r="U700" s="305"/>
      <c r="V700" s="305"/>
    </row>
    <row r="701" spans="1:22" ht="46.8" x14ac:dyDescent="0.3">
      <c r="A701" s="305">
        <v>695</v>
      </c>
      <c r="B701" s="305" t="s">
        <v>40</v>
      </c>
      <c r="C701" s="520"/>
      <c r="D701" s="313" t="s">
        <v>58</v>
      </c>
      <c r="E701" s="313" t="s">
        <v>20</v>
      </c>
      <c r="F701" s="44" t="s">
        <v>1491</v>
      </c>
      <c r="G701" s="305" t="s">
        <v>184</v>
      </c>
      <c r="H701" s="589">
        <v>443.67</v>
      </c>
      <c r="I701" s="305">
        <v>1</v>
      </c>
      <c r="J701" s="589">
        <v>443.67</v>
      </c>
      <c r="K701" s="589">
        <v>443.67</v>
      </c>
      <c r="L701" s="313">
        <v>1</v>
      </c>
      <c r="M701" s="589">
        <v>443.67</v>
      </c>
      <c r="N701" s="6" t="s">
        <v>1493</v>
      </c>
      <c r="O701" s="314">
        <v>45568</v>
      </c>
      <c r="P701" s="33" t="str">
        <f>HYPERLINK("https://my.zakupivli.pro/remote/dispatcher/state_purchase_view/53763004", "UA-2024-10-03-012005-a")</f>
        <v>UA-2024-10-03-012005-a</v>
      </c>
      <c r="Q701" s="305">
        <v>434.02</v>
      </c>
      <c r="R701" s="305">
        <v>1</v>
      </c>
      <c r="S701" s="327">
        <v>434.02</v>
      </c>
      <c r="T701" s="306">
        <v>45582</v>
      </c>
      <c r="U701" s="305"/>
      <c r="V701" s="305"/>
    </row>
    <row r="702" spans="1:22" ht="62.4" x14ac:dyDescent="0.3">
      <c r="A702" s="305">
        <v>696</v>
      </c>
      <c r="B702" s="315" t="s">
        <v>21</v>
      </c>
      <c r="C702" s="44" t="s">
        <v>1451</v>
      </c>
      <c r="D702" s="305"/>
      <c r="E702" s="315" t="s">
        <v>88</v>
      </c>
      <c r="F702" s="44" t="s">
        <v>1494</v>
      </c>
      <c r="G702" s="305" t="s">
        <v>186</v>
      </c>
      <c r="H702" s="589"/>
      <c r="I702" s="305">
        <v>6</v>
      </c>
      <c r="J702" s="589">
        <v>65.058850000000007</v>
      </c>
      <c r="K702" s="589"/>
      <c r="L702" s="315">
        <v>6</v>
      </c>
      <c r="M702" s="589">
        <v>65.058850000000007</v>
      </c>
      <c r="N702" s="6" t="s">
        <v>1495</v>
      </c>
      <c r="O702" s="306">
        <v>45574</v>
      </c>
      <c r="P702" s="120" t="str">
        <f>HYPERLINK("https://my.zakupivli.pro/remote/dispatcher/state_purchase_view/53861267", "UA-2024-10-09-000575-a")</f>
        <v>UA-2024-10-09-000575-a</v>
      </c>
      <c r="Q702" s="305"/>
      <c r="R702" s="315">
        <v>6</v>
      </c>
      <c r="S702" s="315">
        <v>65.058850000000007</v>
      </c>
      <c r="T702" s="306">
        <v>45574</v>
      </c>
      <c r="U702" s="305"/>
      <c r="V702" s="315" t="s">
        <v>59</v>
      </c>
    </row>
    <row r="703" spans="1:22" ht="78" x14ac:dyDescent="0.3">
      <c r="A703" s="305">
        <v>697</v>
      </c>
      <c r="B703" s="316" t="s">
        <v>1150</v>
      </c>
      <c r="C703" s="44" t="s">
        <v>1498</v>
      </c>
      <c r="D703" s="305"/>
      <c r="E703" s="316" t="s">
        <v>75</v>
      </c>
      <c r="F703" s="44" t="s">
        <v>1496</v>
      </c>
      <c r="G703" s="305" t="s">
        <v>1149</v>
      </c>
      <c r="H703" s="589">
        <v>1483</v>
      </c>
      <c r="I703" s="305">
        <v>1</v>
      </c>
      <c r="J703" s="589">
        <v>1483</v>
      </c>
      <c r="K703" s="589">
        <v>1483</v>
      </c>
      <c r="L703" s="316">
        <v>1</v>
      </c>
      <c r="M703" s="589">
        <v>1483</v>
      </c>
      <c r="N703" s="6" t="s">
        <v>1499</v>
      </c>
      <c r="O703" s="306">
        <v>45579</v>
      </c>
      <c r="P703" s="33" t="str">
        <f>HYPERLINK("https://my.zakupivli.pro/remote/dispatcher/state_purchase_view/53984270", "UA-2024-10-14-011744-a")</f>
        <v>UA-2024-10-14-011744-a</v>
      </c>
      <c r="Q703" s="117">
        <v>1483</v>
      </c>
      <c r="R703" s="316">
        <v>1</v>
      </c>
      <c r="S703" s="117">
        <v>1483</v>
      </c>
      <c r="T703" s="317">
        <v>45579</v>
      </c>
      <c r="U703" s="305"/>
      <c r="V703" s="316" t="s">
        <v>59</v>
      </c>
    </row>
    <row r="704" spans="1:22" ht="62.4" x14ac:dyDescent="0.3">
      <c r="A704" s="305">
        <v>698</v>
      </c>
      <c r="B704" s="316" t="s">
        <v>40</v>
      </c>
      <c r="C704" s="44" t="s">
        <v>73</v>
      </c>
      <c r="D704" s="305"/>
      <c r="E704" s="316" t="s">
        <v>75</v>
      </c>
      <c r="F704" s="44" t="s">
        <v>1497</v>
      </c>
      <c r="G704" s="305" t="s">
        <v>184</v>
      </c>
      <c r="H704" s="589">
        <v>74.103059999999999</v>
      </c>
      <c r="I704" s="305">
        <v>1</v>
      </c>
      <c r="J704" s="589">
        <v>74.103059999999999</v>
      </c>
      <c r="K704" s="589">
        <v>74.103059999999999</v>
      </c>
      <c r="L704" s="318">
        <v>1</v>
      </c>
      <c r="M704" s="589">
        <v>74.103059999999999</v>
      </c>
      <c r="N704" s="6" t="s">
        <v>1500</v>
      </c>
      <c r="O704" s="306">
        <v>45576</v>
      </c>
      <c r="P704" s="33" t="str">
        <f>HYPERLINK("https://my.zakupivli.pro/remote/dispatcher/state_purchase_view/53959780", "UA-2024-10-14-000539-a")</f>
        <v>UA-2024-10-14-000539-a</v>
      </c>
      <c r="Q704" s="318">
        <v>74.103059999999999</v>
      </c>
      <c r="R704" s="318">
        <v>1</v>
      </c>
      <c r="S704" s="318">
        <v>74.103059999999999</v>
      </c>
      <c r="T704" s="306">
        <v>45576</v>
      </c>
      <c r="U704" s="305"/>
      <c r="V704" s="316" t="s">
        <v>59</v>
      </c>
    </row>
    <row r="705" spans="1:22" ht="62.4" x14ac:dyDescent="0.3">
      <c r="A705" s="305">
        <v>699</v>
      </c>
      <c r="B705" s="319" t="s">
        <v>1150</v>
      </c>
      <c r="C705" s="44" t="s">
        <v>1400</v>
      </c>
      <c r="D705" s="305"/>
      <c r="E705" s="319" t="s">
        <v>75</v>
      </c>
      <c r="F705" s="44" t="s">
        <v>1501</v>
      </c>
      <c r="G705" s="305" t="s">
        <v>1149</v>
      </c>
      <c r="H705" s="589">
        <v>59</v>
      </c>
      <c r="I705" s="305">
        <v>1</v>
      </c>
      <c r="J705" s="589">
        <v>59</v>
      </c>
      <c r="K705" s="589">
        <v>59</v>
      </c>
      <c r="L705" s="319">
        <v>1</v>
      </c>
      <c r="M705" s="589">
        <v>59</v>
      </c>
      <c r="N705" s="6" t="s">
        <v>1502</v>
      </c>
      <c r="O705" s="306">
        <v>45581</v>
      </c>
      <c r="P705" s="120" t="str">
        <f>HYPERLINK("https://my.zakupivli.pro/remote/dispatcher/state_purchase_view/54054503", "UA-2024-10-16-012402-a")</f>
        <v>UA-2024-10-16-012402-a</v>
      </c>
      <c r="Q705" s="117">
        <v>59</v>
      </c>
      <c r="R705" s="319">
        <v>1</v>
      </c>
      <c r="S705" s="117">
        <v>59</v>
      </c>
      <c r="T705" s="320">
        <v>45581</v>
      </c>
      <c r="U705" s="305"/>
      <c r="V705" s="319" t="s">
        <v>59</v>
      </c>
    </row>
    <row r="706" spans="1:22" ht="62.4" x14ac:dyDescent="0.3">
      <c r="A706" s="305">
        <v>700</v>
      </c>
      <c r="B706" s="321" t="s">
        <v>40</v>
      </c>
      <c r="C706" s="44" t="s">
        <v>884</v>
      </c>
      <c r="D706" s="305"/>
      <c r="E706" s="321" t="s">
        <v>20</v>
      </c>
      <c r="F706" s="44" t="s">
        <v>1503</v>
      </c>
      <c r="G706" s="321" t="s">
        <v>184</v>
      </c>
      <c r="H706" s="589">
        <v>634.78561999999999</v>
      </c>
      <c r="I706" s="321">
        <v>1</v>
      </c>
      <c r="J706" s="589">
        <v>634.78561999999999</v>
      </c>
      <c r="K706" s="589">
        <v>634.78561999999999</v>
      </c>
      <c r="L706" s="321">
        <v>1</v>
      </c>
      <c r="M706" s="589">
        <v>634.78561999999999</v>
      </c>
      <c r="N706" s="6" t="s">
        <v>1507</v>
      </c>
      <c r="O706" s="306">
        <v>45582</v>
      </c>
      <c r="P706" s="33" t="str">
        <f>HYPERLINK("https://my.zakupivli.pro/remote/dispatcher/state_purchase_view/54095106", "UA-2024-10-17-014832-a")</f>
        <v>UA-2024-10-17-014832-a</v>
      </c>
      <c r="Q706" s="321">
        <v>634.78561999999999</v>
      </c>
      <c r="R706" s="321">
        <v>1</v>
      </c>
      <c r="S706" s="321">
        <v>634.78561999999999</v>
      </c>
      <c r="T706" s="322">
        <v>45582</v>
      </c>
      <c r="U706" s="305"/>
      <c r="V706" s="321" t="s">
        <v>59</v>
      </c>
    </row>
    <row r="707" spans="1:22" ht="93.6" x14ac:dyDescent="0.3">
      <c r="A707" s="305">
        <v>701</v>
      </c>
      <c r="B707" s="321" t="s">
        <v>40</v>
      </c>
      <c r="C707" s="44" t="s">
        <v>884</v>
      </c>
      <c r="D707" s="305"/>
      <c r="E707" s="321" t="s">
        <v>20</v>
      </c>
      <c r="F707" s="44" t="s">
        <v>1504</v>
      </c>
      <c r="G707" s="321" t="s">
        <v>184</v>
      </c>
      <c r="H707" s="589">
        <v>87.939769999999996</v>
      </c>
      <c r="I707" s="321">
        <v>1</v>
      </c>
      <c r="J707" s="589">
        <v>87.939769999999996</v>
      </c>
      <c r="K707" s="589">
        <v>87.939769999999996</v>
      </c>
      <c r="L707" s="321">
        <v>1</v>
      </c>
      <c r="M707" s="589">
        <v>87.939769999999996</v>
      </c>
      <c r="N707" s="6" t="s">
        <v>1508</v>
      </c>
      <c r="O707" s="322">
        <v>45582</v>
      </c>
      <c r="P707" s="33" t="str">
        <f>HYPERLINK("https://my.zakupivli.pro/remote/dispatcher/state_purchase_view/54094727", "UA-2024-10-17-014759-a")</f>
        <v>UA-2024-10-17-014759-a</v>
      </c>
      <c r="Q707" s="321">
        <v>87.939769999999996</v>
      </c>
      <c r="R707" s="321">
        <v>1</v>
      </c>
      <c r="S707" s="321">
        <v>87.939769999999996</v>
      </c>
      <c r="T707" s="322">
        <v>45582</v>
      </c>
      <c r="U707" s="305"/>
      <c r="V707" s="321" t="s">
        <v>59</v>
      </c>
    </row>
    <row r="708" spans="1:22" ht="62.4" x14ac:dyDescent="0.3">
      <c r="A708" s="305">
        <v>702</v>
      </c>
      <c r="B708" s="321" t="s">
        <v>40</v>
      </c>
      <c r="C708" s="44" t="s">
        <v>884</v>
      </c>
      <c r="D708" s="305"/>
      <c r="E708" s="321" t="s">
        <v>20</v>
      </c>
      <c r="F708" s="44" t="s">
        <v>1505</v>
      </c>
      <c r="G708" s="321" t="s">
        <v>184</v>
      </c>
      <c r="H708" s="589">
        <v>695.75840000000005</v>
      </c>
      <c r="I708" s="321">
        <v>1</v>
      </c>
      <c r="J708" s="589">
        <v>695.75840000000005</v>
      </c>
      <c r="K708" s="589">
        <v>695.75840000000005</v>
      </c>
      <c r="L708" s="321">
        <v>1</v>
      </c>
      <c r="M708" s="589">
        <v>695.75840000000005</v>
      </c>
      <c r="N708" s="6" t="s">
        <v>1509</v>
      </c>
      <c r="O708" s="322">
        <v>45582</v>
      </c>
      <c r="P708" s="33" t="str">
        <f>HYPERLINK("https://my.zakupivli.pro/remote/dispatcher/state_purchase_view/54094640", "UA-2024-10-17-014694-a")</f>
        <v>UA-2024-10-17-014694-a</v>
      </c>
      <c r="Q708" s="321">
        <v>695.75840000000005</v>
      </c>
      <c r="R708" s="321">
        <v>1</v>
      </c>
      <c r="S708" s="321">
        <v>695.75840000000005</v>
      </c>
      <c r="T708" s="322">
        <v>45582</v>
      </c>
      <c r="U708" s="305"/>
      <c r="V708" s="321" t="s">
        <v>59</v>
      </c>
    </row>
    <row r="709" spans="1:22" ht="78" x14ac:dyDescent="0.3">
      <c r="A709" s="305">
        <v>703</v>
      </c>
      <c r="B709" s="321" t="s">
        <v>40</v>
      </c>
      <c r="C709" s="44" t="s">
        <v>884</v>
      </c>
      <c r="D709" s="305"/>
      <c r="E709" s="321" t="s">
        <v>20</v>
      </c>
      <c r="F709" s="44" t="s">
        <v>1506</v>
      </c>
      <c r="G709" s="321" t="s">
        <v>184</v>
      </c>
      <c r="H709" s="589">
        <v>111.26732</v>
      </c>
      <c r="I709" s="321">
        <v>1</v>
      </c>
      <c r="J709" s="589">
        <v>111.26732</v>
      </c>
      <c r="K709" s="589">
        <v>111.26732</v>
      </c>
      <c r="L709" s="321">
        <v>1</v>
      </c>
      <c r="M709" s="589">
        <v>111.26732</v>
      </c>
      <c r="N709" s="6" t="s">
        <v>1510</v>
      </c>
      <c r="O709" s="322">
        <v>45582</v>
      </c>
      <c r="P709" s="33" t="str">
        <f>HYPERLINK("https://my.zakupivli.pro/remote/dispatcher/state_purchase_view/54094443", "UA-2024-10-17-014575-a")</f>
        <v>UA-2024-10-17-014575-a</v>
      </c>
      <c r="Q709" s="321">
        <v>111.26732</v>
      </c>
      <c r="R709" s="321">
        <v>1</v>
      </c>
      <c r="S709" s="321">
        <v>111.26732</v>
      </c>
      <c r="T709" s="322">
        <v>45582</v>
      </c>
      <c r="U709" s="305"/>
      <c r="V709" s="321" t="s">
        <v>59</v>
      </c>
    </row>
    <row r="710" spans="1:22" ht="62.4" x14ac:dyDescent="0.3">
      <c r="A710" s="305">
        <v>704</v>
      </c>
      <c r="B710" s="323" t="s">
        <v>40</v>
      </c>
      <c r="C710" s="44" t="s">
        <v>884</v>
      </c>
      <c r="D710" s="305"/>
      <c r="E710" s="323" t="s">
        <v>20</v>
      </c>
      <c r="F710" s="41" t="s">
        <v>1511</v>
      </c>
      <c r="G710" s="323" t="s">
        <v>184</v>
      </c>
      <c r="H710" s="589">
        <v>221.52010000000001</v>
      </c>
      <c r="I710" s="305">
        <v>1</v>
      </c>
      <c r="J710" s="589">
        <v>221.52010000000001</v>
      </c>
      <c r="K710" s="589">
        <v>221.52010000000001</v>
      </c>
      <c r="L710" s="323">
        <v>1</v>
      </c>
      <c r="M710" s="589">
        <v>221.52010000000001</v>
      </c>
      <c r="N710" s="6" t="s">
        <v>1512</v>
      </c>
      <c r="O710" s="324">
        <v>45586</v>
      </c>
      <c r="P710" s="33" t="str">
        <f>HYPERLINK("https://my.zakupivli.pro/remote/dispatcher/state_purchase_view/54164412", "UA-2024-10-21-012894-a")</f>
        <v>UA-2024-10-21-012894-a</v>
      </c>
      <c r="Q710" s="323">
        <v>221.52010000000001</v>
      </c>
      <c r="R710" s="323">
        <v>1</v>
      </c>
      <c r="S710" s="323">
        <v>221.52010000000001</v>
      </c>
      <c r="T710" s="324">
        <v>45582</v>
      </c>
      <c r="U710" s="305"/>
      <c r="V710" s="323" t="s">
        <v>59</v>
      </c>
    </row>
    <row r="711" spans="1:22" ht="78" x14ac:dyDescent="0.3">
      <c r="A711" s="305">
        <v>705</v>
      </c>
      <c r="B711" s="305" t="s">
        <v>21</v>
      </c>
      <c r="C711" s="44" t="s">
        <v>32</v>
      </c>
      <c r="D711" s="395" t="s">
        <v>58</v>
      </c>
      <c r="E711" s="326" t="s">
        <v>20</v>
      </c>
      <c r="F711" s="44" t="s">
        <v>1513</v>
      </c>
      <c r="G711" s="305" t="s">
        <v>186</v>
      </c>
      <c r="H711" s="589"/>
      <c r="I711" s="305">
        <v>4</v>
      </c>
      <c r="J711" s="589">
        <v>3959.16167</v>
      </c>
      <c r="K711" s="589"/>
      <c r="L711" s="326">
        <v>4</v>
      </c>
      <c r="M711" s="589">
        <v>3959.16167</v>
      </c>
      <c r="N711" s="6" t="s">
        <v>1516</v>
      </c>
      <c r="O711" s="306">
        <v>45590</v>
      </c>
      <c r="P711" s="33" t="str">
        <f>HYPERLINK("https://my.zakupivli.pro/remote/dispatcher/state_purchase_view/54304558", "UA-2024-10-25-008799-a")</f>
        <v>UA-2024-10-25-008799-a</v>
      </c>
      <c r="Q711" s="305"/>
      <c r="R711" s="305"/>
      <c r="S711" s="305"/>
      <c r="T711" s="306"/>
      <c r="U711" s="305" t="s">
        <v>93</v>
      </c>
      <c r="V711" s="305"/>
    </row>
    <row r="712" spans="1:22" ht="62.4" x14ac:dyDescent="0.3">
      <c r="A712" s="305">
        <v>706</v>
      </c>
      <c r="B712" s="326" t="s">
        <v>40</v>
      </c>
      <c r="C712" s="44" t="s">
        <v>1515</v>
      </c>
      <c r="D712" s="305"/>
      <c r="E712" s="326" t="s">
        <v>75</v>
      </c>
      <c r="F712" s="44" t="s">
        <v>1514</v>
      </c>
      <c r="G712" s="305" t="s">
        <v>184</v>
      </c>
      <c r="H712" s="589">
        <v>66.111429999999999</v>
      </c>
      <c r="I712" s="305">
        <v>1</v>
      </c>
      <c r="J712" s="589">
        <v>66.111429999999999</v>
      </c>
      <c r="K712" s="589">
        <v>66.111429999999999</v>
      </c>
      <c r="L712" s="326">
        <v>1</v>
      </c>
      <c r="M712" s="589">
        <v>66.111429999999999</v>
      </c>
      <c r="N712" s="6" t="s">
        <v>1517</v>
      </c>
      <c r="O712" s="325">
        <v>45590</v>
      </c>
      <c r="P712" s="33" t="str">
        <f>HYPERLINK("https://my.zakupivli.pro/remote/dispatcher/state_purchase_view/54293500", "UA-2024-10-25-003611-a")</f>
        <v>UA-2024-10-25-003611-a</v>
      </c>
      <c r="Q712" s="326">
        <v>66.111429999999999</v>
      </c>
      <c r="R712" s="326">
        <v>1</v>
      </c>
      <c r="S712" s="326">
        <v>66.111429999999999</v>
      </c>
      <c r="T712" s="325">
        <v>45590</v>
      </c>
      <c r="U712" s="305"/>
      <c r="V712" s="326" t="s">
        <v>59</v>
      </c>
    </row>
    <row r="713" spans="1:22" ht="62.4" x14ac:dyDescent="0.3">
      <c r="A713" s="305">
        <v>707</v>
      </c>
      <c r="B713" s="327" t="s">
        <v>40</v>
      </c>
      <c r="C713" s="332" t="s">
        <v>884</v>
      </c>
      <c r="D713" s="305"/>
      <c r="E713" s="327" t="s">
        <v>20</v>
      </c>
      <c r="F713" s="331" t="s">
        <v>1518</v>
      </c>
      <c r="G713" s="327" t="s">
        <v>184</v>
      </c>
      <c r="H713" s="589">
        <v>227.66444999999999</v>
      </c>
      <c r="I713" s="305">
        <v>1</v>
      </c>
      <c r="J713" s="589">
        <v>227.66444999999999</v>
      </c>
      <c r="K713" s="589">
        <v>227.66444999999999</v>
      </c>
      <c r="L713" s="327">
        <v>1</v>
      </c>
      <c r="M713" s="589">
        <v>227.66444999999999</v>
      </c>
      <c r="N713" s="6" t="s">
        <v>1522</v>
      </c>
      <c r="O713" s="306">
        <v>45594</v>
      </c>
      <c r="P713" s="33" t="str">
        <f>HYPERLINK("https://my.zakupivli.pro/remote/dispatcher/state_purchase_view/54376960", "UA-2024-10-29-008676-a")</f>
        <v>UA-2024-10-29-008676-a</v>
      </c>
      <c r="Q713" s="327">
        <v>227.66444999999999</v>
      </c>
      <c r="R713" s="327">
        <v>1</v>
      </c>
      <c r="S713" s="327">
        <v>227.66444999999999</v>
      </c>
      <c r="T713" s="328">
        <v>45594</v>
      </c>
      <c r="U713" s="305"/>
      <c r="V713" s="327" t="s">
        <v>59</v>
      </c>
    </row>
    <row r="714" spans="1:22" ht="62.4" x14ac:dyDescent="0.3">
      <c r="A714" s="305">
        <v>708</v>
      </c>
      <c r="B714" s="327" t="s">
        <v>40</v>
      </c>
      <c r="C714" s="332" t="s">
        <v>884</v>
      </c>
      <c r="D714" s="305"/>
      <c r="E714" s="327" t="s">
        <v>20</v>
      </c>
      <c r="F714" s="331" t="s">
        <v>1519</v>
      </c>
      <c r="G714" s="327" t="s">
        <v>184</v>
      </c>
      <c r="H714" s="589">
        <v>217.78270000000001</v>
      </c>
      <c r="I714" s="305">
        <v>1</v>
      </c>
      <c r="J714" s="589">
        <v>217.78270000000001</v>
      </c>
      <c r="K714" s="589">
        <v>217.78270000000001</v>
      </c>
      <c r="L714" s="327">
        <v>1</v>
      </c>
      <c r="M714" s="589">
        <v>217.78270000000001</v>
      </c>
      <c r="N714" s="6" t="s">
        <v>1523</v>
      </c>
      <c r="O714" s="328">
        <v>45594</v>
      </c>
      <c r="P714" s="33" t="str">
        <f>HYPERLINK("https://my.zakupivli.pro/remote/dispatcher/state_purchase_view/54376354", "UA-2024-10-29-008424-a")</f>
        <v>UA-2024-10-29-008424-a</v>
      </c>
      <c r="Q714" s="327">
        <v>217.78270000000001</v>
      </c>
      <c r="R714" s="327">
        <v>1</v>
      </c>
      <c r="S714" s="327">
        <v>217.78270000000001</v>
      </c>
      <c r="T714" s="328">
        <v>45594</v>
      </c>
      <c r="U714" s="305"/>
      <c r="V714" s="327" t="s">
        <v>59</v>
      </c>
    </row>
    <row r="715" spans="1:22" ht="62.4" x14ac:dyDescent="0.3">
      <c r="A715" s="305">
        <v>709</v>
      </c>
      <c r="B715" s="327" t="s">
        <v>40</v>
      </c>
      <c r="C715" s="332" t="s">
        <v>884</v>
      </c>
      <c r="D715" s="305"/>
      <c r="E715" s="327" t="s">
        <v>20</v>
      </c>
      <c r="F715" s="331" t="s">
        <v>1520</v>
      </c>
      <c r="G715" s="327" t="s">
        <v>184</v>
      </c>
      <c r="H715" s="589">
        <v>92.776589999999999</v>
      </c>
      <c r="I715" s="305">
        <v>1</v>
      </c>
      <c r="J715" s="589">
        <v>92.776589999999999</v>
      </c>
      <c r="K715" s="589">
        <v>92.776589999999999</v>
      </c>
      <c r="L715" s="327">
        <v>1</v>
      </c>
      <c r="M715" s="589">
        <v>92.776589999999999</v>
      </c>
      <c r="N715" s="6" t="s">
        <v>1524</v>
      </c>
      <c r="O715" s="328">
        <v>45594</v>
      </c>
      <c r="P715" s="33" t="str">
        <f>HYPERLINK("https://my.zakupivli.pro/remote/dispatcher/state_purchase_view/54375854", "UA-2024-10-29-008170-a")</f>
        <v>UA-2024-10-29-008170-a</v>
      </c>
      <c r="Q715" s="327">
        <v>92.776589999999999</v>
      </c>
      <c r="R715" s="327">
        <v>1</v>
      </c>
      <c r="S715" s="327">
        <v>92.776589999999999</v>
      </c>
      <c r="T715" s="328">
        <v>45594</v>
      </c>
      <c r="U715" s="305"/>
      <c r="V715" s="327" t="s">
        <v>59</v>
      </c>
    </row>
    <row r="716" spans="1:22" ht="62.4" x14ac:dyDescent="0.3">
      <c r="A716" s="305">
        <v>710</v>
      </c>
      <c r="B716" s="327" t="s">
        <v>21</v>
      </c>
      <c r="C716" s="332" t="s">
        <v>300</v>
      </c>
      <c r="D716" s="305"/>
      <c r="E716" s="327" t="s">
        <v>20</v>
      </c>
      <c r="F716" s="331" t="s">
        <v>1521</v>
      </c>
      <c r="G716" s="305" t="s">
        <v>1526</v>
      </c>
      <c r="H716" s="589">
        <v>8.0710000000000004E-2</v>
      </c>
      <c r="I716" s="305">
        <v>1000</v>
      </c>
      <c r="J716" s="589">
        <v>80.709999999999994</v>
      </c>
      <c r="K716" s="589">
        <v>8.0710000000000004E-2</v>
      </c>
      <c r="L716" s="327">
        <v>1000</v>
      </c>
      <c r="M716" s="589">
        <v>80.709999999999994</v>
      </c>
      <c r="N716" s="6" t="s">
        <v>1525</v>
      </c>
      <c r="O716" s="328">
        <v>45594</v>
      </c>
      <c r="P716" s="33" t="str">
        <f>HYPERLINK("https://my.zakupivli.pro/remote/dispatcher/state_purchase_view/54362853", "UA-2024-10-29-002264-a")</f>
        <v>UA-2024-10-29-002264-a</v>
      </c>
      <c r="Q716" s="327">
        <v>8.0710000000000004E-2</v>
      </c>
      <c r="R716" s="327">
        <v>1000</v>
      </c>
      <c r="S716" s="327">
        <v>80.709999999999994</v>
      </c>
      <c r="T716" s="328">
        <v>45594</v>
      </c>
      <c r="U716" s="305"/>
      <c r="V716" s="327" t="s">
        <v>59</v>
      </c>
    </row>
    <row r="717" spans="1:22" ht="93.6" x14ac:dyDescent="0.3">
      <c r="A717" s="305">
        <v>711</v>
      </c>
      <c r="B717" s="329" t="s">
        <v>40</v>
      </c>
      <c r="C717" s="44" t="s">
        <v>41</v>
      </c>
      <c r="D717" s="305"/>
      <c r="E717" s="329" t="s">
        <v>20</v>
      </c>
      <c r="F717" s="44" t="s">
        <v>1527</v>
      </c>
      <c r="G717" s="329" t="s">
        <v>184</v>
      </c>
      <c r="H717" s="589">
        <v>829.03994</v>
      </c>
      <c r="I717" s="305">
        <v>1</v>
      </c>
      <c r="J717" s="589">
        <v>829.03994</v>
      </c>
      <c r="K717" s="589">
        <v>829.03994</v>
      </c>
      <c r="L717" s="329">
        <v>1</v>
      </c>
      <c r="M717" s="589">
        <v>829.03994</v>
      </c>
      <c r="N717" s="6" t="s">
        <v>1531</v>
      </c>
      <c r="O717" s="306">
        <v>45595</v>
      </c>
      <c r="P717" s="33" t="str">
        <f>HYPERLINK("https://my.zakupivli.pro/remote/dispatcher/state_purchase_view/54409626", "UA-2024-10-30-007644-a")</f>
        <v>UA-2024-10-30-007644-a</v>
      </c>
      <c r="Q717" s="329">
        <v>829.03994</v>
      </c>
      <c r="R717" s="329">
        <v>1</v>
      </c>
      <c r="S717" s="329">
        <v>829.03994</v>
      </c>
      <c r="T717" s="330">
        <v>45595</v>
      </c>
      <c r="U717" s="305"/>
      <c r="V717" s="329" t="s">
        <v>59</v>
      </c>
    </row>
    <row r="718" spans="1:22" ht="93.6" x14ac:dyDescent="0.3">
      <c r="A718" s="305">
        <v>712</v>
      </c>
      <c r="B718" s="329" t="s">
        <v>40</v>
      </c>
      <c r="C718" s="44" t="s">
        <v>41</v>
      </c>
      <c r="D718" s="305"/>
      <c r="E718" s="329" t="s">
        <v>20</v>
      </c>
      <c r="F718" s="44" t="s">
        <v>1528</v>
      </c>
      <c r="G718" s="329" t="s">
        <v>184</v>
      </c>
      <c r="H718" s="589">
        <v>678.22518000000002</v>
      </c>
      <c r="I718" s="305">
        <v>1</v>
      </c>
      <c r="J718" s="589">
        <v>678.22518000000002</v>
      </c>
      <c r="K718" s="589">
        <v>678.22518000000002</v>
      </c>
      <c r="L718" s="329">
        <v>1</v>
      </c>
      <c r="M718" s="589">
        <v>678.22518000000002</v>
      </c>
      <c r="N718" s="6" t="s">
        <v>1532</v>
      </c>
      <c r="O718" s="330">
        <v>45595</v>
      </c>
      <c r="P718" s="33" t="str">
        <f>HYPERLINK("https://my.zakupivli.pro/remote/dispatcher/state_purchase_view/54409008", "UA-2024-10-30-007410-a")</f>
        <v>UA-2024-10-30-007410-a</v>
      </c>
      <c r="Q718" s="329">
        <v>678.22518000000002</v>
      </c>
      <c r="R718" s="329">
        <v>1</v>
      </c>
      <c r="S718" s="329">
        <v>678.22518000000002</v>
      </c>
      <c r="T718" s="330">
        <v>45595</v>
      </c>
      <c r="U718" s="305"/>
      <c r="V718" s="329" t="s">
        <v>59</v>
      </c>
    </row>
    <row r="719" spans="1:22" ht="62.4" x14ac:dyDescent="0.3">
      <c r="A719" s="305">
        <v>713</v>
      </c>
      <c r="B719" s="329" t="s">
        <v>40</v>
      </c>
      <c r="C719" s="44" t="s">
        <v>884</v>
      </c>
      <c r="D719" s="305"/>
      <c r="E719" s="329" t="s">
        <v>20</v>
      </c>
      <c r="F719" s="44" t="s">
        <v>1529</v>
      </c>
      <c r="G719" s="329" t="s">
        <v>184</v>
      </c>
      <c r="H719" s="589">
        <v>327.16228999999998</v>
      </c>
      <c r="I719" s="305">
        <v>1</v>
      </c>
      <c r="J719" s="589">
        <v>327.16228999999998</v>
      </c>
      <c r="K719" s="589">
        <v>327.16228999999998</v>
      </c>
      <c r="L719" s="329">
        <v>1</v>
      </c>
      <c r="M719" s="589">
        <v>327.16228999999998</v>
      </c>
      <c r="N719" s="6" t="s">
        <v>1533</v>
      </c>
      <c r="O719" s="330">
        <v>45595</v>
      </c>
      <c r="P719" s="33" t="str">
        <f>HYPERLINK("https://my.zakupivli.pro/remote/dispatcher/state_purchase_view/54407139", "UA-2024-10-30-006594-a")</f>
        <v>UA-2024-10-30-006594-a</v>
      </c>
      <c r="Q719" s="329">
        <v>327.16228999999998</v>
      </c>
      <c r="R719" s="329">
        <v>1</v>
      </c>
      <c r="S719" s="329">
        <v>327.16228999999998</v>
      </c>
      <c r="T719" s="330">
        <v>45595</v>
      </c>
      <c r="U719" s="305"/>
      <c r="V719" s="329" t="s">
        <v>59</v>
      </c>
    </row>
    <row r="720" spans="1:22" ht="62.4" x14ac:dyDescent="0.3">
      <c r="A720" s="305">
        <v>714</v>
      </c>
      <c r="B720" s="329" t="s">
        <v>40</v>
      </c>
      <c r="C720" s="44" t="s">
        <v>884</v>
      </c>
      <c r="D720" s="305"/>
      <c r="E720" s="329" t="s">
        <v>20</v>
      </c>
      <c r="F720" s="44" t="s">
        <v>1530</v>
      </c>
      <c r="G720" s="329" t="s">
        <v>184</v>
      </c>
      <c r="H720" s="589">
        <v>137.55618999999999</v>
      </c>
      <c r="I720" s="305">
        <v>1</v>
      </c>
      <c r="J720" s="589">
        <v>137.55618999999999</v>
      </c>
      <c r="K720" s="589">
        <v>137.55618999999999</v>
      </c>
      <c r="L720" s="329">
        <v>1</v>
      </c>
      <c r="M720" s="589">
        <v>137.55618999999999</v>
      </c>
      <c r="N720" s="6" t="s">
        <v>1534</v>
      </c>
      <c r="O720" s="330">
        <v>45595</v>
      </c>
      <c r="P720" s="33" t="str">
        <f>HYPERLINK("https://my.zakupivli.pro/remote/dispatcher/state_purchase_view/54403612", "UA-2024-10-30-005005-a")</f>
        <v>UA-2024-10-30-005005-a</v>
      </c>
      <c r="Q720" s="329">
        <v>137.55618999999999</v>
      </c>
      <c r="R720" s="329">
        <v>1</v>
      </c>
      <c r="S720" s="329">
        <v>137.55618999999999</v>
      </c>
      <c r="T720" s="330">
        <v>45595</v>
      </c>
      <c r="U720" s="305"/>
      <c r="V720" s="329" t="s">
        <v>59</v>
      </c>
    </row>
    <row r="721" spans="1:22" ht="62.4" x14ac:dyDescent="0.3">
      <c r="A721" s="305">
        <v>715</v>
      </c>
      <c r="B721" s="333" t="s">
        <v>21</v>
      </c>
      <c r="C721" s="44" t="s">
        <v>412</v>
      </c>
      <c r="D721" s="305"/>
      <c r="E721" s="333" t="s">
        <v>20</v>
      </c>
      <c r="F721" s="44" t="s">
        <v>1386</v>
      </c>
      <c r="G721" s="305" t="s">
        <v>185</v>
      </c>
      <c r="H721" s="589">
        <v>71.625</v>
      </c>
      <c r="I721" s="305">
        <v>1</v>
      </c>
      <c r="J721" s="589">
        <v>71.625</v>
      </c>
      <c r="K721" s="589">
        <v>71.625</v>
      </c>
      <c r="L721" s="333">
        <v>1</v>
      </c>
      <c r="M721" s="589">
        <v>71.625</v>
      </c>
      <c r="N721" s="6" t="s">
        <v>1541</v>
      </c>
      <c r="O721" s="306">
        <v>45566</v>
      </c>
      <c r="P721" s="33" t="str">
        <f>HYPERLINK("https://my.zakupivli.pro/remote/dispatcher/state_purchase_view/54476090", "UA-2024-11-01-010548-a")</f>
        <v>UA-2024-11-01-010548-a</v>
      </c>
      <c r="Q721" s="333">
        <v>71.625</v>
      </c>
      <c r="R721" s="333">
        <v>1</v>
      </c>
      <c r="S721" s="333">
        <v>71.625</v>
      </c>
      <c r="T721" s="334">
        <v>45566</v>
      </c>
      <c r="U721" s="305"/>
      <c r="V721" s="333" t="s">
        <v>59</v>
      </c>
    </row>
    <row r="722" spans="1:22" ht="78" x14ac:dyDescent="0.3">
      <c r="A722" s="305">
        <v>716</v>
      </c>
      <c r="B722" s="333" t="s">
        <v>40</v>
      </c>
      <c r="C722" s="44" t="s">
        <v>884</v>
      </c>
      <c r="D722" s="305"/>
      <c r="E722" s="333" t="s">
        <v>20</v>
      </c>
      <c r="F722" s="44" t="s">
        <v>1535</v>
      </c>
      <c r="G722" s="305" t="s">
        <v>184</v>
      </c>
      <c r="H722" s="589">
        <v>77.515150000000006</v>
      </c>
      <c r="I722" s="305">
        <v>1</v>
      </c>
      <c r="J722" s="589">
        <v>77.515150000000006</v>
      </c>
      <c r="K722" s="589">
        <v>77.515150000000006</v>
      </c>
      <c r="L722" s="333">
        <v>1</v>
      </c>
      <c r="M722" s="589">
        <v>77.515150000000006</v>
      </c>
      <c r="N722" s="6" t="s">
        <v>1542</v>
      </c>
      <c r="O722" s="334">
        <v>45566</v>
      </c>
      <c r="P722" s="33" t="str">
        <f>HYPERLINK("https://my.zakupivli.pro/remote/dispatcher/state_purchase_view/54470389", "UA-2024-11-01-007893-a")</f>
        <v>UA-2024-11-01-007893-a</v>
      </c>
      <c r="Q722" s="333">
        <v>77.515150000000006</v>
      </c>
      <c r="R722" s="333">
        <v>1</v>
      </c>
      <c r="S722" s="333">
        <v>77.515150000000006</v>
      </c>
      <c r="T722" s="334">
        <v>45566</v>
      </c>
      <c r="U722" s="305"/>
      <c r="V722" s="333" t="s">
        <v>59</v>
      </c>
    </row>
    <row r="723" spans="1:22" ht="62.4" x14ac:dyDescent="0.3">
      <c r="A723" s="305">
        <v>717</v>
      </c>
      <c r="B723" s="333" t="s">
        <v>21</v>
      </c>
      <c r="C723" s="44" t="s">
        <v>30</v>
      </c>
      <c r="D723" s="305"/>
      <c r="E723" s="333" t="s">
        <v>75</v>
      </c>
      <c r="F723" s="44" t="s">
        <v>1536</v>
      </c>
      <c r="G723" s="305" t="s">
        <v>185</v>
      </c>
      <c r="H723" s="589">
        <v>0.14299999999999999</v>
      </c>
      <c r="I723" s="305">
        <v>550</v>
      </c>
      <c r="J723" s="589">
        <v>78.650000000000006</v>
      </c>
      <c r="K723" s="589">
        <v>0.14299999999999999</v>
      </c>
      <c r="L723" s="333">
        <v>550</v>
      </c>
      <c r="M723" s="589">
        <v>78.650000000000006</v>
      </c>
      <c r="N723" s="6" t="s">
        <v>1543</v>
      </c>
      <c r="O723" s="334">
        <v>45566</v>
      </c>
      <c r="P723" s="33" t="str">
        <f>HYPERLINK("https://my.zakupivli.pro/remote/dispatcher/state_purchase_view/54459170", "UA-2024-11-01-003014-a")</f>
        <v>UA-2024-11-01-003014-a</v>
      </c>
      <c r="Q723" s="333">
        <v>0.14299999999999999</v>
      </c>
      <c r="R723" s="333">
        <v>550</v>
      </c>
      <c r="S723" s="333">
        <v>78.650000000000006</v>
      </c>
      <c r="T723" s="334">
        <v>45566</v>
      </c>
      <c r="U723" s="305"/>
      <c r="V723" s="333" t="s">
        <v>59</v>
      </c>
    </row>
    <row r="724" spans="1:22" ht="93.6" x14ac:dyDescent="0.3">
      <c r="A724" s="305">
        <v>718</v>
      </c>
      <c r="B724" s="333" t="s">
        <v>40</v>
      </c>
      <c r="C724" s="44" t="s">
        <v>884</v>
      </c>
      <c r="D724" s="305"/>
      <c r="E724" s="333" t="s">
        <v>20</v>
      </c>
      <c r="F724" s="44" t="s">
        <v>1537</v>
      </c>
      <c r="G724" s="305" t="s">
        <v>184</v>
      </c>
      <c r="H724" s="589">
        <v>108.8648</v>
      </c>
      <c r="I724" s="305">
        <v>1</v>
      </c>
      <c r="J724" s="589">
        <v>108.8648</v>
      </c>
      <c r="K724" s="589">
        <v>108.8648</v>
      </c>
      <c r="L724" s="333">
        <v>1</v>
      </c>
      <c r="M724" s="589">
        <v>108.8648</v>
      </c>
      <c r="N724" s="6" t="s">
        <v>1544</v>
      </c>
      <c r="O724" s="334">
        <v>45566</v>
      </c>
      <c r="P724" s="33" t="str">
        <f>HYPERLINK("https://my.zakupivli.pro/remote/dispatcher/state_purchase_view/54453684", "UA-2024-11-01-000488-a")</f>
        <v>UA-2024-11-01-000488-a</v>
      </c>
      <c r="Q724" s="333">
        <v>108.8648</v>
      </c>
      <c r="R724" s="333">
        <v>1</v>
      </c>
      <c r="S724" s="333">
        <v>108.8648</v>
      </c>
      <c r="T724" s="306">
        <v>45596</v>
      </c>
      <c r="U724" s="305"/>
      <c r="V724" s="333" t="s">
        <v>59</v>
      </c>
    </row>
    <row r="725" spans="1:22" ht="62.4" x14ac:dyDescent="0.3">
      <c r="A725" s="305">
        <v>719</v>
      </c>
      <c r="B725" s="333" t="s">
        <v>40</v>
      </c>
      <c r="C725" s="44" t="s">
        <v>884</v>
      </c>
      <c r="D725" s="305"/>
      <c r="E725" s="333" t="s">
        <v>20</v>
      </c>
      <c r="F725" s="44" t="s">
        <v>1538</v>
      </c>
      <c r="G725" s="305" t="s">
        <v>184</v>
      </c>
      <c r="H725" s="589">
        <v>165.26864</v>
      </c>
      <c r="I725" s="305">
        <v>1</v>
      </c>
      <c r="J725" s="589">
        <v>165.26864</v>
      </c>
      <c r="K725" s="589">
        <v>165.26864</v>
      </c>
      <c r="L725" s="333">
        <v>1</v>
      </c>
      <c r="M725" s="589">
        <v>165.26864</v>
      </c>
      <c r="N725" s="6" t="s">
        <v>1545</v>
      </c>
      <c r="O725" s="334">
        <v>45566</v>
      </c>
      <c r="P725" s="33" t="str">
        <f>HYPERLINK("https://my.zakupivli.pro/remote/dispatcher/state_purchase_view/54453325", "UA-2024-11-01-000327-a")</f>
        <v>UA-2024-11-01-000327-a</v>
      </c>
      <c r="Q725" s="333">
        <v>165.26864</v>
      </c>
      <c r="R725" s="333">
        <v>1</v>
      </c>
      <c r="S725" s="333">
        <v>165.26864</v>
      </c>
      <c r="T725" s="334">
        <v>45596</v>
      </c>
      <c r="U725" s="305"/>
      <c r="V725" s="333" t="s">
        <v>59</v>
      </c>
    </row>
    <row r="726" spans="1:22" ht="62.4" x14ac:dyDescent="0.3">
      <c r="A726" s="305">
        <v>720</v>
      </c>
      <c r="B726" s="333" t="s">
        <v>40</v>
      </c>
      <c r="C726" s="44" t="s">
        <v>884</v>
      </c>
      <c r="D726" s="305"/>
      <c r="E726" s="333" t="s">
        <v>20</v>
      </c>
      <c r="F726" s="44" t="s">
        <v>1539</v>
      </c>
      <c r="G726" s="305" t="s">
        <v>184</v>
      </c>
      <c r="H726" s="589">
        <v>77.242069999999998</v>
      </c>
      <c r="I726" s="305">
        <v>1</v>
      </c>
      <c r="J726" s="589">
        <v>77.242069999999998</v>
      </c>
      <c r="K726" s="589">
        <v>77.242069999999998</v>
      </c>
      <c r="L726" s="333">
        <v>1</v>
      </c>
      <c r="M726" s="589">
        <v>77.242069999999998</v>
      </c>
      <c r="N726" s="6" t="s">
        <v>1546</v>
      </c>
      <c r="O726" s="334">
        <v>45566</v>
      </c>
      <c r="P726" s="33" t="str">
        <f>HYPERLINK("https://my.zakupivli.pro/remote/dispatcher/state_purchase_view/54453220", "UA-2024-11-01-000272-a")</f>
        <v>UA-2024-11-01-000272-a</v>
      </c>
      <c r="Q726" s="333">
        <v>77.242069999999998</v>
      </c>
      <c r="R726" s="333">
        <v>1</v>
      </c>
      <c r="S726" s="333">
        <v>77.242069999999998</v>
      </c>
      <c r="T726" s="306">
        <v>45596</v>
      </c>
      <c r="U726" s="305"/>
      <c r="V726" s="333" t="s">
        <v>59</v>
      </c>
    </row>
    <row r="727" spans="1:22" ht="78" x14ac:dyDescent="0.3">
      <c r="A727" s="305">
        <v>721</v>
      </c>
      <c r="B727" s="333" t="s">
        <v>40</v>
      </c>
      <c r="C727" s="44" t="s">
        <v>884</v>
      </c>
      <c r="D727" s="305"/>
      <c r="E727" s="333" t="s">
        <v>20</v>
      </c>
      <c r="F727" s="44" t="s">
        <v>1540</v>
      </c>
      <c r="G727" s="305" t="s">
        <v>184</v>
      </c>
      <c r="H727" s="589">
        <v>76.717250000000007</v>
      </c>
      <c r="I727" s="305">
        <v>1</v>
      </c>
      <c r="J727" s="589">
        <v>76.717250000000007</v>
      </c>
      <c r="K727" s="589">
        <v>76.717250000000007</v>
      </c>
      <c r="L727" s="333">
        <v>1</v>
      </c>
      <c r="M727" s="589">
        <v>76.717250000000007</v>
      </c>
      <c r="N727" s="6" t="s">
        <v>1547</v>
      </c>
      <c r="O727" s="334">
        <v>45566</v>
      </c>
      <c r="P727" s="33" t="str">
        <f>HYPERLINK("https://my.zakupivli.pro/remote/dispatcher/state_purchase_view/54453100", "UA-2024-11-01-000223-a")</f>
        <v>UA-2024-11-01-000223-a</v>
      </c>
      <c r="Q727" s="333">
        <v>76.717250000000007</v>
      </c>
      <c r="R727" s="333">
        <v>1</v>
      </c>
      <c r="S727" s="333">
        <v>76.717250000000007</v>
      </c>
      <c r="T727" s="334">
        <v>45596</v>
      </c>
      <c r="U727" s="305"/>
      <c r="V727" s="333" t="s">
        <v>59</v>
      </c>
    </row>
    <row r="728" spans="1:22" ht="78" x14ac:dyDescent="0.3">
      <c r="A728" s="305">
        <v>722</v>
      </c>
      <c r="B728" s="335" t="s">
        <v>40</v>
      </c>
      <c r="C728" s="44" t="s">
        <v>884</v>
      </c>
      <c r="D728" s="305"/>
      <c r="E728" s="335" t="s">
        <v>20</v>
      </c>
      <c r="F728" s="44" t="s">
        <v>1548</v>
      </c>
      <c r="G728" s="335" t="s">
        <v>184</v>
      </c>
      <c r="H728" s="589">
        <v>588.98168999999996</v>
      </c>
      <c r="I728" s="305">
        <v>1</v>
      </c>
      <c r="J728" s="589">
        <v>588.98168999999996</v>
      </c>
      <c r="K728" s="589">
        <v>588.98168999999996</v>
      </c>
      <c r="L728" s="335">
        <v>1</v>
      </c>
      <c r="M728" s="589">
        <v>588.98168999999996</v>
      </c>
      <c r="N728" s="6" t="s">
        <v>1549</v>
      </c>
      <c r="O728" s="306">
        <v>45601</v>
      </c>
      <c r="P728" s="33" t="str">
        <f>HYPERLINK("https://my.zakupivli.pro/remote/dispatcher/state_purchase_view/54552115", "UA-2024-11-05-013976-a")</f>
        <v>UA-2024-11-05-013976-a</v>
      </c>
      <c r="Q728" s="335">
        <v>588.98168999999996</v>
      </c>
      <c r="R728" s="335">
        <v>1</v>
      </c>
      <c r="S728" s="335">
        <v>588.98168999999996</v>
      </c>
      <c r="T728" s="306">
        <v>45601</v>
      </c>
      <c r="U728" s="305"/>
      <c r="V728" s="335" t="s">
        <v>59</v>
      </c>
    </row>
    <row r="729" spans="1:22" ht="140.4" x14ac:dyDescent="0.3">
      <c r="A729" s="305">
        <v>723</v>
      </c>
      <c r="B729" s="305" t="s">
        <v>1150</v>
      </c>
      <c r="C729" s="44" t="s">
        <v>1400</v>
      </c>
      <c r="D729" s="395" t="s">
        <v>58</v>
      </c>
      <c r="E729" s="336" t="s">
        <v>75</v>
      </c>
      <c r="F729" s="44" t="s">
        <v>1550</v>
      </c>
      <c r="G729" s="305" t="s">
        <v>1149</v>
      </c>
      <c r="H729" s="589">
        <v>480</v>
      </c>
      <c r="I729" s="305">
        <v>1</v>
      </c>
      <c r="J729" s="589">
        <v>480</v>
      </c>
      <c r="K729" s="589">
        <v>480</v>
      </c>
      <c r="L729" s="336">
        <v>1</v>
      </c>
      <c r="M729" s="589">
        <v>480</v>
      </c>
      <c r="N729" s="6" t="s">
        <v>1554</v>
      </c>
      <c r="O729" s="306">
        <v>45602</v>
      </c>
      <c r="P729" s="33" t="str">
        <f>HYPERLINK("https://my.zakupivli.pro/remote/dispatcher/state_purchase_view/54591270", "UA-2024-11-06-015235-a")</f>
        <v>UA-2024-11-06-015235-a</v>
      </c>
      <c r="Q729" s="117">
        <v>480</v>
      </c>
      <c r="R729" s="305">
        <v>1</v>
      </c>
      <c r="S729" s="117">
        <v>480</v>
      </c>
      <c r="T729" s="306">
        <v>45618</v>
      </c>
      <c r="U729" s="305"/>
      <c r="V729" s="305"/>
    </row>
    <row r="730" spans="1:22" ht="62.4" x14ac:dyDescent="0.3">
      <c r="A730" s="305">
        <v>724</v>
      </c>
      <c r="B730" s="305" t="s">
        <v>21</v>
      </c>
      <c r="C730" s="44" t="s">
        <v>893</v>
      </c>
      <c r="D730" s="305"/>
      <c r="E730" s="336" t="s">
        <v>75</v>
      </c>
      <c r="F730" s="44" t="s">
        <v>1551</v>
      </c>
      <c r="G730" s="305" t="s">
        <v>186</v>
      </c>
      <c r="H730" s="589"/>
      <c r="I730" s="305">
        <v>7</v>
      </c>
      <c r="J730" s="589">
        <v>67.769000000000005</v>
      </c>
      <c r="K730" s="589"/>
      <c r="L730" s="336">
        <v>7</v>
      </c>
      <c r="M730" s="589">
        <v>67.769000000000005</v>
      </c>
      <c r="N730" s="6" t="s">
        <v>1555</v>
      </c>
      <c r="O730" s="337">
        <v>45602</v>
      </c>
      <c r="P730" s="33" t="str">
        <f>HYPERLINK("https://my.zakupivli.pro/remote/dispatcher/state_purchase_view/54590134", "UA-2024-11-06-014697-a")</f>
        <v>UA-2024-11-06-014697-a</v>
      </c>
      <c r="Q730" s="305"/>
      <c r="R730" s="336">
        <v>7</v>
      </c>
      <c r="S730" s="336">
        <v>67.769000000000005</v>
      </c>
      <c r="T730" s="337">
        <v>45602</v>
      </c>
      <c r="U730" s="305"/>
      <c r="V730" s="336" t="s">
        <v>59</v>
      </c>
    </row>
    <row r="731" spans="1:22" ht="93.6" x14ac:dyDescent="0.3">
      <c r="A731" s="305">
        <v>725</v>
      </c>
      <c r="B731" s="305" t="s">
        <v>1150</v>
      </c>
      <c r="C731" s="44" t="s">
        <v>1553</v>
      </c>
      <c r="D731" s="395" t="s">
        <v>58</v>
      </c>
      <c r="E731" s="336" t="s">
        <v>75</v>
      </c>
      <c r="F731" s="44" t="s">
        <v>1552</v>
      </c>
      <c r="G731" s="305" t="s">
        <v>1149</v>
      </c>
      <c r="H731" s="589">
        <v>1400</v>
      </c>
      <c r="I731" s="305">
        <v>1</v>
      </c>
      <c r="J731" s="589">
        <v>1400</v>
      </c>
      <c r="K731" s="589">
        <v>1400</v>
      </c>
      <c r="L731" s="336">
        <v>1</v>
      </c>
      <c r="M731" s="589">
        <v>1400</v>
      </c>
      <c r="N731" s="6" t="s">
        <v>1556</v>
      </c>
      <c r="O731" s="337">
        <v>45602</v>
      </c>
      <c r="P731" s="33" t="str">
        <f>HYPERLINK("https://my.zakupivli.pro/remote/dispatcher/state_purchase_view/54588242", "UA-2024-11-06-013838-a")</f>
        <v>UA-2024-11-06-013838-a</v>
      </c>
      <c r="Q731" s="305">
        <v>1233.3333399999999</v>
      </c>
      <c r="R731" s="305">
        <v>1</v>
      </c>
      <c r="S731" s="358">
        <v>1233.3333399999999</v>
      </c>
      <c r="T731" s="306">
        <v>45617</v>
      </c>
      <c r="U731" s="305"/>
      <c r="V731" s="305"/>
    </row>
    <row r="732" spans="1:22" ht="62.4" x14ac:dyDescent="0.3">
      <c r="A732" s="305">
        <v>726</v>
      </c>
      <c r="B732" s="339" t="s">
        <v>1150</v>
      </c>
      <c r="C732" s="44" t="s">
        <v>1400</v>
      </c>
      <c r="D732" s="305"/>
      <c r="E732" s="339" t="s">
        <v>75</v>
      </c>
      <c r="F732" s="223" t="s">
        <v>1429</v>
      </c>
      <c r="G732" s="305" t="s">
        <v>1149</v>
      </c>
      <c r="H732" s="589">
        <v>56</v>
      </c>
      <c r="I732" s="305">
        <v>1</v>
      </c>
      <c r="J732" s="589">
        <v>56</v>
      </c>
      <c r="K732" s="589">
        <v>56</v>
      </c>
      <c r="L732" s="339">
        <v>1</v>
      </c>
      <c r="M732" s="589">
        <v>56</v>
      </c>
      <c r="N732" s="6" t="s">
        <v>1557</v>
      </c>
      <c r="O732" s="306">
        <v>45603</v>
      </c>
      <c r="P732" s="33" t="str">
        <f>HYPERLINK("https://my.zakupivli.pro/remote/dispatcher/state_purchase_view/54604192", "UA-2024-11-07-003266-a")</f>
        <v>UA-2024-11-07-003266-a</v>
      </c>
      <c r="Q732" s="117">
        <v>56</v>
      </c>
      <c r="R732" s="339">
        <v>1</v>
      </c>
      <c r="S732" s="117">
        <v>56</v>
      </c>
      <c r="T732" s="338">
        <v>45603</v>
      </c>
      <c r="U732" s="305"/>
      <c r="V732" s="339" t="s">
        <v>59</v>
      </c>
    </row>
    <row r="733" spans="1:22" ht="62.4" x14ac:dyDescent="0.3">
      <c r="A733" s="340">
        <v>727</v>
      </c>
      <c r="B733" s="340" t="s">
        <v>21</v>
      </c>
      <c r="C733" s="44" t="s">
        <v>300</v>
      </c>
      <c r="D733" s="340"/>
      <c r="E733" s="340" t="s">
        <v>20</v>
      </c>
      <c r="F733" s="44" t="s">
        <v>1558</v>
      </c>
      <c r="G733" s="340" t="s">
        <v>1526</v>
      </c>
      <c r="H733" s="589">
        <v>8.0710000000000004E-2</v>
      </c>
      <c r="I733" s="340">
        <v>1000</v>
      </c>
      <c r="J733" s="589">
        <v>80.709999999999994</v>
      </c>
      <c r="K733" s="589">
        <v>8.0710000000000004E-2</v>
      </c>
      <c r="L733" s="340">
        <v>1000</v>
      </c>
      <c r="M733" s="589">
        <v>80.709999999999994</v>
      </c>
      <c r="N733" s="6" t="s">
        <v>1560</v>
      </c>
      <c r="O733" s="341">
        <v>45604</v>
      </c>
      <c r="P733" s="33" t="str">
        <f>HYPERLINK("https://my.zakupivli.pro/remote/dispatcher/state_purchase_view/54641995", "UA-2024-11-08-003305-a")</f>
        <v>UA-2024-11-08-003305-a</v>
      </c>
      <c r="Q733" s="340">
        <v>8.0710000000000004E-2</v>
      </c>
      <c r="R733" s="340">
        <v>1000</v>
      </c>
      <c r="S733" s="117">
        <v>80.709999999999994</v>
      </c>
      <c r="T733" s="341">
        <v>45604</v>
      </c>
      <c r="U733" s="340"/>
      <c r="V733" s="340" t="s">
        <v>59</v>
      </c>
    </row>
    <row r="734" spans="1:22" ht="62.4" x14ac:dyDescent="0.3">
      <c r="A734" s="340">
        <v>728</v>
      </c>
      <c r="B734" s="340" t="s">
        <v>21</v>
      </c>
      <c r="C734" s="44" t="s">
        <v>412</v>
      </c>
      <c r="D734" s="340"/>
      <c r="E734" s="340" t="s">
        <v>20</v>
      </c>
      <c r="F734" s="44" t="s">
        <v>1296</v>
      </c>
      <c r="G734" s="340" t="s">
        <v>185</v>
      </c>
      <c r="H734" s="589">
        <v>71.625</v>
      </c>
      <c r="I734" s="340">
        <v>1</v>
      </c>
      <c r="J734" s="589">
        <v>71.625</v>
      </c>
      <c r="K734" s="589">
        <v>71.625</v>
      </c>
      <c r="L734" s="340">
        <v>1</v>
      </c>
      <c r="M734" s="589">
        <v>71.625</v>
      </c>
      <c r="N734" s="6" t="s">
        <v>1561</v>
      </c>
      <c r="O734" s="341">
        <v>45604</v>
      </c>
      <c r="P734" s="33" t="str">
        <f>HYPERLINK("https://my.zakupivli.pro/remote/dispatcher/state_purchase_view/54640544", "UA-2024-11-08-002662-a")</f>
        <v>UA-2024-11-08-002662-a</v>
      </c>
      <c r="Q734" s="340">
        <v>71.625</v>
      </c>
      <c r="R734" s="340">
        <v>1</v>
      </c>
      <c r="S734" s="340">
        <v>71.625</v>
      </c>
      <c r="T734" s="341">
        <v>45604</v>
      </c>
      <c r="U734" s="340"/>
      <c r="V734" s="340" t="s">
        <v>59</v>
      </c>
    </row>
    <row r="735" spans="1:22" ht="78" x14ac:dyDescent="0.3">
      <c r="A735" s="340">
        <v>729</v>
      </c>
      <c r="B735" s="340" t="s">
        <v>21</v>
      </c>
      <c r="C735" s="44" t="s">
        <v>405</v>
      </c>
      <c r="D735" s="395" t="s">
        <v>58</v>
      </c>
      <c r="E735" s="340" t="s">
        <v>75</v>
      </c>
      <c r="F735" s="44" t="s">
        <v>1559</v>
      </c>
      <c r="G735" s="340" t="s">
        <v>186</v>
      </c>
      <c r="H735" s="589"/>
      <c r="I735" s="340">
        <v>2</v>
      </c>
      <c r="J735" s="589">
        <v>433.33332999999999</v>
      </c>
      <c r="K735" s="589"/>
      <c r="L735" s="340">
        <v>2</v>
      </c>
      <c r="M735" s="589">
        <v>433.33332999999999</v>
      </c>
      <c r="N735" s="6" t="s">
        <v>1562</v>
      </c>
      <c r="O735" s="341">
        <v>45604</v>
      </c>
      <c r="P735" s="33" t="str">
        <f>HYPERLINK("https://my.zakupivli.pro/remote/dispatcher/state_purchase_view/54634822", "UA-2024-11-08-000190-a")</f>
        <v>UA-2024-11-08-000190-a</v>
      </c>
      <c r="Q735" s="340"/>
      <c r="R735" s="340">
        <v>2</v>
      </c>
      <c r="S735" s="340">
        <v>423.54</v>
      </c>
      <c r="T735" s="341">
        <v>45621</v>
      </c>
      <c r="U735" s="340"/>
      <c r="V735" s="340"/>
    </row>
    <row r="736" spans="1:22" ht="62.4" x14ac:dyDescent="0.3">
      <c r="A736" s="342">
        <v>730</v>
      </c>
      <c r="B736" s="342" t="s">
        <v>40</v>
      </c>
      <c r="C736" s="44" t="s">
        <v>884</v>
      </c>
      <c r="D736" s="342"/>
      <c r="E736" s="342" t="s">
        <v>20</v>
      </c>
      <c r="F736" s="62" t="s">
        <v>1563</v>
      </c>
      <c r="G736" s="342" t="s">
        <v>184</v>
      </c>
      <c r="H736" s="589">
        <v>1208.4389200000001</v>
      </c>
      <c r="I736" s="342">
        <v>1</v>
      </c>
      <c r="J736" s="589">
        <v>1208.4389200000001</v>
      </c>
      <c r="K736" s="589">
        <v>1208.4389200000001</v>
      </c>
      <c r="L736" s="342">
        <v>1</v>
      </c>
      <c r="M736" s="589">
        <v>1208.4389200000001</v>
      </c>
      <c r="N736" s="6" t="s">
        <v>1565</v>
      </c>
      <c r="O736" s="343">
        <v>45608</v>
      </c>
      <c r="P736" s="33" t="str">
        <f>HYPERLINK("https://my.zakupivli.pro/remote/dispatcher/state_purchase_view/54732542", "UA-2024-11-12-010433-a")</f>
        <v>UA-2024-11-12-010433-a</v>
      </c>
      <c r="Q736" s="342">
        <v>1208.4389200000001</v>
      </c>
      <c r="R736" s="342">
        <v>1</v>
      </c>
      <c r="S736" s="342">
        <v>1208.4389200000001</v>
      </c>
      <c r="T736" s="343">
        <v>45608</v>
      </c>
      <c r="U736" s="342"/>
      <c r="V736" s="342" t="s">
        <v>59</v>
      </c>
    </row>
    <row r="737" spans="1:22" ht="62.4" x14ac:dyDescent="0.3">
      <c r="A737" s="342">
        <v>731</v>
      </c>
      <c r="B737" s="342" t="s">
        <v>40</v>
      </c>
      <c r="C737" s="44" t="s">
        <v>884</v>
      </c>
      <c r="D737" s="342"/>
      <c r="E737" s="342" t="s">
        <v>20</v>
      </c>
      <c r="F737" s="62" t="s">
        <v>1564</v>
      </c>
      <c r="G737" s="342" t="s">
        <v>184</v>
      </c>
      <c r="H737" s="589">
        <v>473.19024999999999</v>
      </c>
      <c r="I737" s="342">
        <v>1</v>
      </c>
      <c r="J737" s="589">
        <v>473.19024999999999</v>
      </c>
      <c r="K737" s="589">
        <v>473.19024999999999</v>
      </c>
      <c r="L737" s="342">
        <v>1</v>
      </c>
      <c r="M737" s="589">
        <v>473.19024999999999</v>
      </c>
      <c r="N737" s="6" t="s">
        <v>1566</v>
      </c>
      <c r="O737" s="343">
        <v>45608</v>
      </c>
      <c r="P737" s="33" t="str">
        <f>HYPERLINK("https://my.zakupivli.pro/remote/dispatcher/state_purchase_view/54732316", "UA-2024-11-12-010311-a")</f>
        <v>UA-2024-11-12-010311-a</v>
      </c>
      <c r="Q737" s="342">
        <v>473.19024999999999</v>
      </c>
      <c r="R737" s="342">
        <v>1</v>
      </c>
      <c r="S737" s="342">
        <v>473.19024999999999</v>
      </c>
      <c r="T737" s="343">
        <v>45608</v>
      </c>
      <c r="U737" s="342"/>
      <c r="V737" s="342" t="s">
        <v>59</v>
      </c>
    </row>
    <row r="738" spans="1:22" ht="62.4" x14ac:dyDescent="0.3">
      <c r="A738" s="342">
        <v>732</v>
      </c>
      <c r="B738" s="344" t="s">
        <v>40</v>
      </c>
      <c r="C738" s="44" t="s">
        <v>884</v>
      </c>
      <c r="D738" s="342"/>
      <c r="E738" s="344" t="s">
        <v>20</v>
      </c>
      <c r="F738" s="44" t="s">
        <v>1567</v>
      </c>
      <c r="G738" s="344" t="s">
        <v>184</v>
      </c>
      <c r="H738" s="589">
        <v>123.59764</v>
      </c>
      <c r="I738" s="342">
        <v>1</v>
      </c>
      <c r="J738" s="589">
        <v>123.59764</v>
      </c>
      <c r="K738" s="589">
        <v>123.59764</v>
      </c>
      <c r="L738" s="344">
        <v>1</v>
      </c>
      <c r="M738" s="589">
        <v>123.59764</v>
      </c>
      <c r="N738" s="6" t="s">
        <v>1580</v>
      </c>
      <c r="O738" s="343">
        <v>45610</v>
      </c>
      <c r="P738" s="33" t="str">
        <f>HYPERLINK("https://my.zakupivli.pro/remote/dispatcher/state_purchase_view/54822874", "UA-2024-11-14-015224-a")</f>
        <v>UA-2024-11-14-015224-a</v>
      </c>
      <c r="Q738" s="344">
        <v>123.59764</v>
      </c>
      <c r="R738" s="344">
        <v>1</v>
      </c>
      <c r="S738" s="344">
        <v>123.59764</v>
      </c>
      <c r="T738" s="345">
        <v>45610</v>
      </c>
      <c r="U738" s="342"/>
      <c r="V738" s="344" t="s">
        <v>59</v>
      </c>
    </row>
    <row r="739" spans="1:22" ht="62.4" x14ac:dyDescent="0.3">
      <c r="A739" s="342">
        <v>733</v>
      </c>
      <c r="B739" s="344" t="s">
        <v>40</v>
      </c>
      <c r="C739" s="44" t="s">
        <v>884</v>
      </c>
      <c r="D739" s="342"/>
      <c r="E739" s="344" t="s">
        <v>20</v>
      </c>
      <c r="F739" s="44" t="s">
        <v>1568</v>
      </c>
      <c r="G739" s="344" t="s">
        <v>184</v>
      </c>
      <c r="H739" s="589">
        <v>295.39073999999999</v>
      </c>
      <c r="I739" s="342">
        <v>1</v>
      </c>
      <c r="J739" s="589">
        <v>295.39073999999999</v>
      </c>
      <c r="K739" s="589">
        <v>295.39073999999999</v>
      </c>
      <c r="L739" s="344">
        <v>1</v>
      </c>
      <c r="M739" s="589">
        <v>295.39073999999999</v>
      </c>
      <c r="N739" s="6" t="s">
        <v>1581</v>
      </c>
      <c r="O739" s="345">
        <v>45610</v>
      </c>
      <c r="P739" s="33" t="str">
        <f>HYPERLINK("https://my.zakupivli.pro/remote/dispatcher/state_purchase_view/54822010", "UA-2024-11-14-014888-a")</f>
        <v>UA-2024-11-14-014888-a</v>
      </c>
      <c r="Q739" s="344">
        <v>295.39073999999999</v>
      </c>
      <c r="R739" s="344">
        <v>1</v>
      </c>
      <c r="S739" s="344">
        <v>295.39073999999999</v>
      </c>
      <c r="T739" s="345">
        <v>45610</v>
      </c>
      <c r="U739" s="342"/>
      <c r="V739" s="344" t="s">
        <v>59</v>
      </c>
    </row>
    <row r="740" spans="1:22" ht="62.4" x14ac:dyDescent="0.3">
      <c r="A740" s="342">
        <v>734</v>
      </c>
      <c r="B740" s="344" t="s">
        <v>40</v>
      </c>
      <c r="C740" s="44" t="s">
        <v>884</v>
      </c>
      <c r="D740" s="342"/>
      <c r="E740" s="344" t="s">
        <v>20</v>
      </c>
      <c r="F740" s="44" t="s">
        <v>1569</v>
      </c>
      <c r="G740" s="344" t="s">
        <v>184</v>
      </c>
      <c r="H740" s="589">
        <v>288.64389999999997</v>
      </c>
      <c r="I740" s="342">
        <v>1</v>
      </c>
      <c r="J740" s="589">
        <v>288.64389999999997</v>
      </c>
      <c r="K740" s="589">
        <v>288.64389999999997</v>
      </c>
      <c r="L740" s="344">
        <v>1</v>
      </c>
      <c r="M740" s="589">
        <v>288.64389999999997</v>
      </c>
      <c r="N740" s="6" t="s">
        <v>1582</v>
      </c>
      <c r="O740" s="345">
        <v>45610</v>
      </c>
      <c r="P740" s="33" t="str">
        <f>HYPERLINK("https://my.zakupivli.pro/remote/dispatcher/state_purchase_view/54821149", "UA-2024-11-14-014524-a")</f>
        <v>UA-2024-11-14-014524-a</v>
      </c>
      <c r="Q740" s="344">
        <v>288.64389999999997</v>
      </c>
      <c r="R740" s="344">
        <v>1</v>
      </c>
      <c r="S740" s="344">
        <v>288.64389999999997</v>
      </c>
      <c r="T740" s="345">
        <v>45610</v>
      </c>
      <c r="U740" s="342"/>
      <c r="V740" s="344" t="s">
        <v>59</v>
      </c>
    </row>
    <row r="741" spans="1:22" ht="78" x14ac:dyDescent="0.3">
      <c r="A741" s="342">
        <v>735</v>
      </c>
      <c r="B741" s="344" t="s">
        <v>40</v>
      </c>
      <c r="C741" s="44" t="s">
        <v>884</v>
      </c>
      <c r="D741" s="342"/>
      <c r="E741" s="344" t="s">
        <v>20</v>
      </c>
      <c r="F741" s="44" t="s">
        <v>1570</v>
      </c>
      <c r="G741" s="344" t="s">
        <v>184</v>
      </c>
      <c r="H741" s="589">
        <v>278.11198999999999</v>
      </c>
      <c r="I741" s="342">
        <v>1</v>
      </c>
      <c r="J741" s="589">
        <v>278.11198999999999</v>
      </c>
      <c r="K741" s="589">
        <v>278.11198999999999</v>
      </c>
      <c r="L741" s="344">
        <v>1</v>
      </c>
      <c r="M741" s="589">
        <v>278.11198999999999</v>
      </c>
      <c r="N741" s="6" t="s">
        <v>1583</v>
      </c>
      <c r="O741" s="345">
        <v>45610</v>
      </c>
      <c r="P741" s="33" t="str">
        <f>HYPERLINK("https://my.zakupivli.pro/remote/dispatcher/state_purchase_view/54820976", "UA-2024-11-14-014426-a")</f>
        <v>UA-2024-11-14-014426-a</v>
      </c>
      <c r="Q741" s="344">
        <v>278.11198999999999</v>
      </c>
      <c r="R741" s="344">
        <v>1</v>
      </c>
      <c r="S741" s="344">
        <v>278.11198999999999</v>
      </c>
      <c r="T741" s="345">
        <v>45610</v>
      </c>
      <c r="U741" s="342"/>
      <c r="V741" s="344" t="s">
        <v>59</v>
      </c>
    </row>
    <row r="742" spans="1:22" ht="78" x14ac:dyDescent="0.3">
      <c r="A742" s="342">
        <v>736</v>
      </c>
      <c r="B742" s="344" t="s">
        <v>40</v>
      </c>
      <c r="C742" s="44" t="s">
        <v>884</v>
      </c>
      <c r="D742" s="342"/>
      <c r="E742" s="344" t="s">
        <v>20</v>
      </c>
      <c r="F742" s="44" t="s">
        <v>1571</v>
      </c>
      <c r="G742" s="344" t="s">
        <v>184</v>
      </c>
      <c r="H742" s="589">
        <v>160.96020999999999</v>
      </c>
      <c r="I742" s="342">
        <v>1</v>
      </c>
      <c r="J742" s="589">
        <v>160.96020999999999</v>
      </c>
      <c r="K742" s="589">
        <v>160.96020999999999</v>
      </c>
      <c r="L742" s="344">
        <v>1</v>
      </c>
      <c r="M742" s="589">
        <v>160.96020999999999</v>
      </c>
      <c r="N742" s="6" t="s">
        <v>1584</v>
      </c>
      <c r="O742" s="345">
        <v>45610</v>
      </c>
      <c r="P742" s="33" t="str">
        <f>HYPERLINK("https://my.zakupivli.pro/remote/dispatcher/state_purchase_view/54820835", "UA-2024-11-14-014342-a")</f>
        <v>UA-2024-11-14-014342-a</v>
      </c>
      <c r="Q742" s="344">
        <v>160.96020999999999</v>
      </c>
      <c r="R742" s="344">
        <v>1</v>
      </c>
      <c r="S742" s="344">
        <v>160.96020999999999</v>
      </c>
      <c r="T742" s="345">
        <v>45610</v>
      </c>
      <c r="U742" s="342"/>
      <c r="V742" s="344" t="s">
        <v>59</v>
      </c>
    </row>
    <row r="743" spans="1:22" ht="62.4" x14ac:dyDescent="0.3">
      <c r="A743" s="342">
        <v>737</v>
      </c>
      <c r="B743" s="344" t="s">
        <v>40</v>
      </c>
      <c r="C743" s="44" t="s">
        <v>884</v>
      </c>
      <c r="D743" s="342"/>
      <c r="E743" s="344" t="s">
        <v>20</v>
      </c>
      <c r="F743" s="44" t="s">
        <v>1572</v>
      </c>
      <c r="G743" s="344" t="s">
        <v>184</v>
      </c>
      <c r="H743" s="589">
        <v>270.2063</v>
      </c>
      <c r="I743" s="342">
        <v>1</v>
      </c>
      <c r="J743" s="589">
        <v>270.2063</v>
      </c>
      <c r="K743" s="589">
        <v>270.2063</v>
      </c>
      <c r="L743" s="344">
        <v>1</v>
      </c>
      <c r="M743" s="589">
        <v>270.2063</v>
      </c>
      <c r="N743" s="6" t="s">
        <v>1585</v>
      </c>
      <c r="O743" s="345">
        <v>45610</v>
      </c>
      <c r="P743" s="33" t="str">
        <f>HYPERLINK("https://my.zakupivli.pro/remote/dispatcher/state_purchase_view/54820777", "UA-2024-11-14-014309-a")</f>
        <v>UA-2024-11-14-014309-a</v>
      </c>
      <c r="Q743" s="344">
        <v>270.2063</v>
      </c>
      <c r="R743" s="344">
        <v>1</v>
      </c>
      <c r="S743" s="344">
        <v>270.2063</v>
      </c>
      <c r="T743" s="345">
        <v>45610</v>
      </c>
      <c r="U743" s="342"/>
      <c r="V743" s="344" t="s">
        <v>59</v>
      </c>
    </row>
    <row r="744" spans="1:22" ht="78" x14ac:dyDescent="0.3">
      <c r="A744" s="342">
        <v>738</v>
      </c>
      <c r="B744" s="344" t="s">
        <v>40</v>
      </c>
      <c r="C744" s="44" t="s">
        <v>884</v>
      </c>
      <c r="D744" s="342"/>
      <c r="E744" s="344" t="s">
        <v>20</v>
      </c>
      <c r="F744" s="44" t="s">
        <v>1573</v>
      </c>
      <c r="G744" s="344" t="s">
        <v>184</v>
      </c>
      <c r="H744" s="589">
        <v>716.86090000000002</v>
      </c>
      <c r="I744" s="342">
        <v>1</v>
      </c>
      <c r="J744" s="589">
        <v>716.86090000000002</v>
      </c>
      <c r="K744" s="589">
        <v>716.86090000000002</v>
      </c>
      <c r="L744" s="344">
        <v>1</v>
      </c>
      <c r="M744" s="589">
        <v>716.86090000000002</v>
      </c>
      <c r="N744" s="6" t="s">
        <v>1586</v>
      </c>
      <c r="O744" s="345">
        <v>45610</v>
      </c>
      <c r="P744" s="33" t="str">
        <f>HYPERLINK("https://my.zakupivli.pro/remote/dispatcher/state_purchase_view/54820687", "UA-2024-11-14-014257-a")</f>
        <v>UA-2024-11-14-014257-a</v>
      </c>
      <c r="Q744" s="344">
        <v>716.86090000000002</v>
      </c>
      <c r="R744" s="344">
        <v>1</v>
      </c>
      <c r="S744" s="344">
        <v>716.86090000000002</v>
      </c>
      <c r="T744" s="345">
        <v>45610</v>
      </c>
      <c r="U744" s="342"/>
      <c r="V744" s="344" t="s">
        <v>59</v>
      </c>
    </row>
    <row r="745" spans="1:22" ht="62.4" x14ac:dyDescent="0.3">
      <c r="A745" s="342">
        <v>739</v>
      </c>
      <c r="B745" s="344" t="s">
        <v>40</v>
      </c>
      <c r="C745" s="44" t="s">
        <v>884</v>
      </c>
      <c r="D745" s="342"/>
      <c r="E745" s="344" t="s">
        <v>20</v>
      </c>
      <c r="F745" s="44" t="s">
        <v>1574</v>
      </c>
      <c r="G745" s="344" t="s">
        <v>184</v>
      </c>
      <c r="H745" s="589">
        <v>130.29897</v>
      </c>
      <c r="I745" s="342">
        <v>1</v>
      </c>
      <c r="J745" s="589">
        <v>130.29897</v>
      </c>
      <c r="K745" s="589">
        <v>130.29897</v>
      </c>
      <c r="L745" s="344">
        <v>1</v>
      </c>
      <c r="M745" s="589">
        <v>130.29897</v>
      </c>
      <c r="N745" s="6" t="s">
        <v>1587</v>
      </c>
      <c r="O745" s="345">
        <v>45610</v>
      </c>
      <c r="P745" s="33" t="str">
        <f>HYPERLINK("https://my.zakupivli.pro/remote/dispatcher/state_purchase_view/54820495", "UA-2024-11-14-014124-a")</f>
        <v>UA-2024-11-14-014124-a</v>
      </c>
      <c r="Q745" s="344">
        <v>130.29897</v>
      </c>
      <c r="R745" s="344">
        <v>1</v>
      </c>
      <c r="S745" s="344">
        <v>130.29897</v>
      </c>
      <c r="T745" s="345">
        <v>45610</v>
      </c>
      <c r="U745" s="342"/>
      <c r="V745" s="344" t="s">
        <v>59</v>
      </c>
    </row>
    <row r="746" spans="1:22" ht="62.4" x14ac:dyDescent="0.3">
      <c r="A746" s="342">
        <v>740</v>
      </c>
      <c r="B746" s="344" t="s">
        <v>40</v>
      </c>
      <c r="C746" s="44" t="s">
        <v>884</v>
      </c>
      <c r="D746" s="342"/>
      <c r="E746" s="344" t="s">
        <v>20</v>
      </c>
      <c r="F746" s="44" t="s">
        <v>1575</v>
      </c>
      <c r="G746" s="344" t="s">
        <v>184</v>
      </c>
      <c r="H746" s="589">
        <v>253.92179999999999</v>
      </c>
      <c r="I746" s="342">
        <v>1</v>
      </c>
      <c r="J746" s="589">
        <v>253.92179999999999</v>
      </c>
      <c r="K746" s="589">
        <v>253.92179999999999</v>
      </c>
      <c r="L746" s="344">
        <v>1</v>
      </c>
      <c r="M746" s="589">
        <v>253.92179999999999</v>
      </c>
      <c r="N746" s="6" t="s">
        <v>1588</v>
      </c>
      <c r="O746" s="345">
        <v>45610</v>
      </c>
      <c r="P746" s="33" t="str">
        <f>HYPERLINK("https://my.zakupivli.pro/remote/dispatcher/state_purchase_view/54820196", "UA-2024-11-14-014034-a")</f>
        <v>UA-2024-11-14-014034-a</v>
      </c>
      <c r="Q746" s="344">
        <v>253.92179999999999</v>
      </c>
      <c r="R746" s="344">
        <v>1</v>
      </c>
      <c r="S746" s="344">
        <v>253.92179999999999</v>
      </c>
      <c r="T746" s="345">
        <v>45610</v>
      </c>
      <c r="U746" s="342"/>
      <c r="V746" s="344" t="s">
        <v>59</v>
      </c>
    </row>
    <row r="747" spans="1:22" ht="62.4" x14ac:dyDescent="0.3">
      <c r="A747" s="342">
        <v>741</v>
      </c>
      <c r="B747" s="344" t="s">
        <v>40</v>
      </c>
      <c r="C747" s="44" t="s">
        <v>884</v>
      </c>
      <c r="D747" s="342"/>
      <c r="E747" s="344" t="s">
        <v>20</v>
      </c>
      <c r="F747" s="44" t="s">
        <v>1576</v>
      </c>
      <c r="G747" s="344" t="s">
        <v>184</v>
      </c>
      <c r="H747" s="589">
        <v>133.48004</v>
      </c>
      <c r="I747" s="342">
        <v>1</v>
      </c>
      <c r="J747" s="589">
        <v>133.48004</v>
      </c>
      <c r="K747" s="589">
        <v>133.48004</v>
      </c>
      <c r="L747" s="344">
        <v>1</v>
      </c>
      <c r="M747" s="589">
        <v>133.48004</v>
      </c>
      <c r="N747" s="6" t="s">
        <v>1589</v>
      </c>
      <c r="O747" s="345">
        <v>45610</v>
      </c>
      <c r="P747" s="33" t="str">
        <f>HYPERLINK("https://my.zakupivli.pro/remote/dispatcher/state_purchase_view/54820177", "UA-2024-11-14-014016-a")</f>
        <v>UA-2024-11-14-014016-a</v>
      </c>
      <c r="Q747" s="344">
        <v>133.48004</v>
      </c>
      <c r="R747" s="344">
        <v>1</v>
      </c>
      <c r="S747" s="344">
        <v>133.48004</v>
      </c>
      <c r="T747" s="345">
        <v>45610</v>
      </c>
      <c r="U747" s="342"/>
      <c r="V747" s="344" t="s">
        <v>59</v>
      </c>
    </row>
    <row r="748" spans="1:22" ht="62.4" x14ac:dyDescent="0.3">
      <c r="A748" s="342">
        <v>742</v>
      </c>
      <c r="B748" s="344" t="s">
        <v>40</v>
      </c>
      <c r="C748" s="44" t="s">
        <v>884</v>
      </c>
      <c r="D748" s="342"/>
      <c r="E748" s="344" t="s">
        <v>20</v>
      </c>
      <c r="F748" s="44" t="s">
        <v>1577</v>
      </c>
      <c r="G748" s="344" t="s">
        <v>184</v>
      </c>
      <c r="H748" s="589">
        <v>665.55016999999998</v>
      </c>
      <c r="I748" s="342">
        <v>1</v>
      </c>
      <c r="J748" s="589">
        <v>665.55016999999998</v>
      </c>
      <c r="K748" s="589">
        <v>665.55016999999998</v>
      </c>
      <c r="L748" s="344">
        <v>1</v>
      </c>
      <c r="M748" s="589">
        <v>665.55016999999998</v>
      </c>
      <c r="N748" s="6" t="s">
        <v>1590</v>
      </c>
      <c r="O748" s="345">
        <v>45610</v>
      </c>
      <c r="P748" s="33" t="str">
        <f>HYPERLINK("https://my.zakupivli.pro/remote/dispatcher/state_purchase_view/54819986", "UA-2024-11-14-013905-a")</f>
        <v>UA-2024-11-14-013905-a</v>
      </c>
      <c r="Q748" s="344">
        <v>665.55016999999998</v>
      </c>
      <c r="R748" s="344">
        <v>1</v>
      </c>
      <c r="S748" s="344">
        <v>665.55016999999998</v>
      </c>
      <c r="T748" s="345">
        <v>45610</v>
      </c>
      <c r="U748" s="342"/>
      <c r="V748" s="344" t="s">
        <v>59</v>
      </c>
    </row>
    <row r="749" spans="1:22" ht="62.4" x14ac:dyDescent="0.3">
      <c r="A749" s="342">
        <v>743</v>
      </c>
      <c r="B749" s="344" t="s">
        <v>40</v>
      </c>
      <c r="C749" s="44" t="s">
        <v>73</v>
      </c>
      <c r="D749" s="342"/>
      <c r="E749" s="342" t="s">
        <v>75</v>
      </c>
      <c r="F749" s="44" t="s">
        <v>1578</v>
      </c>
      <c r="G749" s="344" t="s">
        <v>184</v>
      </c>
      <c r="H749" s="589">
        <v>99.433300000000003</v>
      </c>
      <c r="I749" s="342">
        <v>1</v>
      </c>
      <c r="J749" s="589">
        <v>99.433300000000003</v>
      </c>
      <c r="K749" s="589">
        <v>99.433300000000003</v>
      </c>
      <c r="L749" s="344">
        <v>1</v>
      </c>
      <c r="M749" s="589">
        <v>99.433300000000003</v>
      </c>
      <c r="N749" s="6" t="s">
        <v>1591</v>
      </c>
      <c r="O749" s="345">
        <v>45610</v>
      </c>
      <c r="P749" s="33" t="str">
        <f>HYPERLINK("https://my.zakupivli.pro/remote/dispatcher/state_purchase_view/54797048", "UA-2024-11-14-003634-a")</f>
        <v>UA-2024-11-14-003634-a</v>
      </c>
      <c r="Q749" s="344">
        <v>99.433300000000003</v>
      </c>
      <c r="R749" s="344">
        <v>1</v>
      </c>
      <c r="S749" s="344">
        <v>99.433300000000003</v>
      </c>
      <c r="T749" s="345">
        <v>45610</v>
      </c>
      <c r="U749" s="342"/>
      <c r="V749" s="344" t="s">
        <v>59</v>
      </c>
    </row>
    <row r="750" spans="1:22" ht="46.8" x14ac:dyDescent="0.3">
      <c r="A750" s="342">
        <v>744</v>
      </c>
      <c r="B750" s="342" t="s">
        <v>1150</v>
      </c>
      <c r="C750" s="44" t="s">
        <v>1322</v>
      </c>
      <c r="D750" s="395" t="s">
        <v>58</v>
      </c>
      <c r="E750" s="344" t="s">
        <v>75</v>
      </c>
      <c r="F750" s="44" t="s">
        <v>1579</v>
      </c>
      <c r="G750" s="342" t="s">
        <v>1149</v>
      </c>
      <c r="H750" s="589">
        <v>930.62915999999996</v>
      </c>
      <c r="I750" s="342">
        <v>1</v>
      </c>
      <c r="J750" s="589">
        <v>930.62915999999996</v>
      </c>
      <c r="K750" s="589">
        <v>930.62915999999996</v>
      </c>
      <c r="L750" s="344">
        <v>1</v>
      </c>
      <c r="M750" s="589">
        <v>930.62915999999996</v>
      </c>
      <c r="N750" s="6" t="s">
        <v>1592</v>
      </c>
      <c r="O750" s="345">
        <v>45610</v>
      </c>
      <c r="P750" s="33" t="str">
        <f>HYPERLINK("https://my.zakupivli.pro/remote/dispatcher/state_purchase_view/54789788", "UA-2024-11-14-000435-a")</f>
        <v>UA-2024-11-14-000435-a</v>
      </c>
      <c r="Q750" s="342">
        <v>930.29884000000004</v>
      </c>
      <c r="R750" s="342">
        <v>1</v>
      </c>
      <c r="S750" s="358">
        <v>930.29884000000004</v>
      </c>
      <c r="T750" s="343">
        <v>45624</v>
      </c>
      <c r="U750" s="342"/>
      <c r="V750" s="342"/>
    </row>
    <row r="751" spans="1:22" ht="78" x14ac:dyDescent="0.3">
      <c r="A751" s="342">
        <v>745</v>
      </c>
      <c r="B751" s="346" t="s">
        <v>40</v>
      </c>
      <c r="C751" s="44" t="s">
        <v>884</v>
      </c>
      <c r="D751" s="342"/>
      <c r="E751" s="346" t="s">
        <v>20</v>
      </c>
      <c r="F751" s="44" t="s">
        <v>1593</v>
      </c>
      <c r="G751" s="346" t="s">
        <v>184</v>
      </c>
      <c r="H751" s="589">
        <v>479.91138999999998</v>
      </c>
      <c r="I751" s="342">
        <v>1</v>
      </c>
      <c r="J751" s="589">
        <v>479.91138999999998</v>
      </c>
      <c r="K751" s="589">
        <v>479.91138999999998</v>
      </c>
      <c r="L751" s="346">
        <v>1</v>
      </c>
      <c r="M751" s="589">
        <v>479.91138999999998</v>
      </c>
      <c r="N751" s="6" t="s">
        <v>1598</v>
      </c>
      <c r="O751" s="343">
        <v>45611</v>
      </c>
      <c r="P751" s="33" t="str">
        <f>HYPERLINK("https://my.zakupivli.pro/remote/dispatcher/state_purchase_view/54856895", "UA-2024-11-15-012568-a")</f>
        <v>UA-2024-11-15-012568-a</v>
      </c>
      <c r="Q751" s="346">
        <v>479.91138999999998</v>
      </c>
      <c r="R751" s="346">
        <v>1</v>
      </c>
      <c r="S751" s="346">
        <v>479.91138999999998</v>
      </c>
      <c r="T751" s="347">
        <v>45611</v>
      </c>
      <c r="U751" s="342"/>
      <c r="V751" s="346" t="s">
        <v>59</v>
      </c>
    </row>
    <row r="752" spans="1:22" ht="62.4" x14ac:dyDescent="0.3">
      <c r="A752" s="342">
        <v>746</v>
      </c>
      <c r="B752" s="346" t="s">
        <v>40</v>
      </c>
      <c r="C752" s="44" t="s">
        <v>884</v>
      </c>
      <c r="D752" s="342"/>
      <c r="E752" s="346" t="s">
        <v>20</v>
      </c>
      <c r="F752" s="44" t="s">
        <v>1594</v>
      </c>
      <c r="G752" s="346" t="s">
        <v>184</v>
      </c>
      <c r="H752" s="589">
        <v>293.29867999999999</v>
      </c>
      <c r="I752" s="342">
        <v>1</v>
      </c>
      <c r="J752" s="589">
        <v>293.29867999999999</v>
      </c>
      <c r="K752" s="589">
        <v>293.29867999999999</v>
      </c>
      <c r="L752" s="346">
        <v>1</v>
      </c>
      <c r="M752" s="589">
        <v>293.29867999999999</v>
      </c>
      <c r="N752" s="6" t="s">
        <v>1599</v>
      </c>
      <c r="O752" s="347">
        <v>45611</v>
      </c>
      <c r="P752" s="33" t="str">
        <f>HYPERLINK("https://my.zakupivli.pro/remote/dispatcher/state_purchase_view/54856641", "UA-2024-11-15-012380-a")</f>
        <v>UA-2024-11-15-012380-a</v>
      </c>
      <c r="Q752" s="346">
        <v>293.29867999999999</v>
      </c>
      <c r="R752" s="346">
        <v>1</v>
      </c>
      <c r="S752" s="346">
        <v>293.29867999999999</v>
      </c>
      <c r="T752" s="347">
        <v>45611</v>
      </c>
      <c r="U752" s="342"/>
      <c r="V752" s="346" t="s">
        <v>59</v>
      </c>
    </row>
    <row r="753" spans="1:22" ht="78" x14ac:dyDescent="0.3">
      <c r="A753" s="342">
        <v>747</v>
      </c>
      <c r="B753" s="346" t="s">
        <v>40</v>
      </c>
      <c r="C753" s="44" t="s">
        <v>884</v>
      </c>
      <c r="D753" s="342"/>
      <c r="E753" s="346" t="s">
        <v>20</v>
      </c>
      <c r="F753" s="44" t="s">
        <v>1595</v>
      </c>
      <c r="G753" s="346" t="s">
        <v>184</v>
      </c>
      <c r="H753" s="589">
        <v>466.92307</v>
      </c>
      <c r="I753" s="342">
        <v>1</v>
      </c>
      <c r="J753" s="589">
        <v>466.92307</v>
      </c>
      <c r="K753" s="589">
        <v>466.92307</v>
      </c>
      <c r="L753" s="346">
        <v>1</v>
      </c>
      <c r="M753" s="589">
        <v>466.92307</v>
      </c>
      <c r="N753" s="6" t="s">
        <v>1600</v>
      </c>
      <c r="O753" s="347">
        <v>45611</v>
      </c>
      <c r="P753" s="33" t="str">
        <f>HYPERLINK("https://my.zakupivli.pro/remote/dispatcher/state_purchase_view/54856228", "UA-2024-11-15-012171-a")</f>
        <v>UA-2024-11-15-012171-a</v>
      </c>
      <c r="Q753" s="346">
        <v>466.92307</v>
      </c>
      <c r="R753" s="346">
        <v>1</v>
      </c>
      <c r="S753" s="346">
        <v>466.92307</v>
      </c>
      <c r="T753" s="347">
        <v>45611</v>
      </c>
      <c r="U753" s="342"/>
      <c r="V753" s="346" t="s">
        <v>59</v>
      </c>
    </row>
    <row r="754" spans="1:22" ht="78" x14ac:dyDescent="0.3">
      <c r="A754" s="342">
        <v>748</v>
      </c>
      <c r="B754" s="346" t="s">
        <v>40</v>
      </c>
      <c r="C754" s="44" t="s">
        <v>41</v>
      </c>
      <c r="D754" s="342"/>
      <c r="E754" s="346" t="s">
        <v>20</v>
      </c>
      <c r="F754" s="44" t="s">
        <v>1596</v>
      </c>
      <c r="G754" s="342" t="s">
        <v>184</v>
      </c>
      <c r="H754" s="589">
        <v>637.67813000000001</v>
      </c>
      <c r="I754" s="342">
        <v>1</v>
      </c>
      <c r="J754" s="589">
        <v>637.67813000000001</v>
      </c>
      <c r="K754" s="589">
        <v>637.67813000000001</v>
      </c>
      <c r="L754" s="346">
        <v>1</v>
      </c>
      <c r="M754" s="589">
        <v>637.67813000000001</v>
      </c>
      <c r="N754" s="6" t="s">
        <v>1601</v>
      </c>
      <c r="O754" s="347">
        <v>45611</v>
      </c>
      <c r="P754" s="33" t="str">
        <f>HYPERLINK("https://my.zakupivli.pro/remote/dispatcher/state_purchase_view/54855962", "UA-2024-11-15-012017-a")</f>
        <v>UA-2024-11-15-012017-a</v>
      </c>
      <c r="Q754" s="346">
        <v>637.67813000000001</v>
      </c>
      <c r="R754" s="346">
        <v>1</v>
      </c>
      <c r="S754" s="346">
        <v>637.67813000000001</v>
      </c>
      <c r="T754" s="347">
        <v>45611</v>
      </c>
      <c r="U754" s="342"/>
      <c r="V754" s="346" t="s">
        <v>59</v>
      </c>
    </row>
    <row r="755" spans="1:22" ht="78" x14ac:dyDescent="0.3">
      <c r="A755" s="342">
        <v>749</v>
      </c>
      <c r="B755" s="342" t="s">
        <v>21</v>
      </c>
      <c r="C755" s="44" t="s">
        <v>36</v>
      </c>
      <c r="D755" s="395" t="s">
        <v>58</v>
      </c>
      <c r="E755" s="346" t="s">
        <v>75</v>
      </c>
      <c r="F755" s="44" t="s">
        <v>1597</v>
      </c>
      <c r="G755" s="342" t="s">
        <v>185</v>
      </c>
      <c r="H755" s="589"/>
      <c r="I755" s="342">
        <v>25</v>
      </c>
      <c r="J755" s="589">
        <v>2554.2750000000001</v>
      </c>
      <c r="K755" s="589"/>
      <c r="L755" s="346">
        <v>25</v>
      </c>
      <c r="M755" s="589">
        <v>2554.2750000000001</v>
      </c>
      <c r="N755" s="6" t="s">
        <v>1602</v>
      </c>
      <c r="O755" s="347">
        <v>45611</v>
      </c>
      <c r="P755" s="33" t="str">
        <f>HYPERLINK("https://my.zakupivli.pro/remote/dispatcher/state_purchase_view/54837075", "UA-2024-11-15-003479-a")</f>
        <v>UA-2024-11-15-003479-a</v>
      </c>
      <c r="Q755" s="342"/>
      <c r="R755" s="342">
        <v>25</v>
      </c>
      <c r="S755" s="342">
        <v>2554.2750000000001</v>
      </c>
      <c r="T755" s="343">
        <v>45631</v>
      </c>
      <c r="U755" s="342"/>
      <c r="V755" s="342"/>
    </row>
    <row r="756" spans="1:22" ht="62.4" x14ac:dyDescent="0.3">
      <c r="A756" s="342">
        <v>750</v>
      </c>
      <c r="B756" s="348" t="s">
        <v>21</v>
      </c>
      <c r="C756" s="44" t="s">
        <v>412</v>
      </c>
      <c r="D756" s="342"/>
      <c r="E756" s="348" t="s">
        <v>20</v>
      </c>
      <c r="F756" s="223" t="s">
        <v>1386</v>
      </c>
      <c r="G756" s="348" t="s">
        <v>185</v>
      </c>
      <c r="H756" s="589">
        <v>72</v>
      </c>
      <c r="I756" s="342">
        <v>1</v>
      </c>
      <c r="J756" s="589">
        <v>72</v>
      </c>
      <c r="K756" s="589">
        <v>72</v>
      </c>
      <c r="L756" s="348">
        <v>1</v>
      </c>
      <c r="M756" s="589">
        <v>72</v>
      </c>
      <c r="N756" s="6" t="s">
        <v>1603</v>
      </c>
      <c r="O756" s="343">
        <v>45616</v>
      </c>
      <c r="P756" s="33" t="str">
        <f>HYPERLINK("https://my.zakupivli.pro/remote/dispatcher/state_purchase_view/54954390", "UA-2024-11-20-001284-a")</f>
        <v>UA-2024-11-20-001284-a</v>
      </c>
      <c r="Q756" s="117">
        <v>72</v>
      </c>
      <c r="R756" s="348">
        <v>1</v>
      </c>
      <c r="S756" s="117">
        <v>72</v>
      </c>
      <c r="T756" s="349">
        <v>45616</v>
      </c>
      <c r="U756" s="342"/>
      <c r="V756" s="348" t="s">
        <v>59</v>
      </c>
    </row>
    <row r="757" spans="1:22" ht="62.4" x14ac:dyDescent="0.3">
      <c r="A757" s="351">
        <v>751</v>
      </c>
      <c r="B757" s="351" t="s">
        <v>21</v>
      </c>
      <c r="C757" s="44" t="s">
        <v>32</v>
      </c>
      <c r="D757" s="351"/>
      <c r="E757" s="351" t="s">
        <v>20</v>
      </c>
      <c r="F757" s="223" t="s">
        <v>1604</v>
      </c>
      <c r="G757" s="351" t="s">
        <v>186</v>
      </c>
      <c r="H757" s="589"/>
      <c r="I757" s="351">
        <v>4</v>
      </c>
      <c r="J757" s="589">
        <v>3867.4949999999999</v>
      </c>
      <c r="K757" s="589"/>
      <c r="L757" s="351">
        <v>4</v>
      </c>
      <c r="M757" s="589">
        <v>3867.4949999999999</v>
      </c>
      <c r="N757" s="6" t="s">
        <v>1605</v>
      </c>
      <c r="O757" s="350">
        <v>45617</v>
      </c>
      <c r="P757" s="33" t="str">
        <f>HYPERLINK("https://my.zakupivli.pro/remote/dispatcher/state_purchase_view/55001569", "UA-2024-11-21-004000-a")</f>
        <v>UA-2024-11-21-004000-a</v>
      </c>
      <c r="Q757" s="351"/>
      <c r="R757" s="351">
        <v>4</v>
      </c>
      <c r="S757" s="351">
        <v>3867.4949999999999</v>
      </c>
      <c r="T757" s="350">
        <v>45617</v>
      </c>
      <c r="U757" s="351"/>
      <c r="V757" s="351" t="s">
        <v>59</v>
      </c>
    </row>
    <row r="758" spans="1:22" ht="62.4" x14ac:dyDescent="0.3">
      <c r="A758" s="352">
        <v>752</v>
      </c>
      <c r="B758" s="352" t="s">
        <v>40</v>
      </c>
      <c r="C758" s="44" t="s">
        <v>884</v>
      </c>
      <c r="D758" s="352"/>
      <c r="E758" s="352" t="s">
        <v>20</v>
      </c>
      <c r="F758" s="44" t="s">
        <v>1606</v>
      </c>
      <c r="G758" s="352" t="s">
        <v>184</v>
      </c>
      <c r="H758" s="589">
        <v>225.98391000000001</v>
      </c>
      <c r="I758" s="352">
        <v>1</v>
      </c>
      <c r="J758" s="589">
        <v>225.98391000000001</v>
      </c>
      <c r="K758" s="589">
        <v>225.98391000000001</v>
      </c>
      <c r="L758" s="352">
        <v>1</v>
      </c>
      <c r="M758" s="589">
        <v>225.98391000000001</v>
      </c>
      <c r="N758" s="6" t="s">
        <v>1607</v>
      </c>
      <c r="O758" s="353">
        <v>45618</v>
      </c>
      <c r="P758" s="33" t="str">
        <f>HYPERLINK("https://my.zakupivli.pro/remote/dispatcher/state_purchase_view/55052216", "UA-2024-11-22-008839-a")</f>
        <v>UA-2024-11-22-008839-a</v>
      </c>
      <c r="Q758" s="352">
        <v>225.98391000000001</v>
      </c>
      <c r="R758" s="352">
        <v>1</v>
      </c>
      <c r="S758" s="352">
        <v>225.98391000000001</v>
      </c>
      <c r="T758" s="353">
        <v>45618</v>
      </c>
      <c r="U758" s="352"/>
      <c r="V758" s="352" t="s">
        <v>59</v>
      </c>
    </row>
    <row r="759" spans="1:22" ht="62.4" x14ac:dyDescent="0.3">
      <c r="A759" s="352">
        <v>753</v>
      </c>
      <c r="B759" s="354" t="s">
        <v>40</v>
      </c>
      <c r="C759" s="44" t="s">
        <v>884</v>
      </c>
      <c r="D759" s="352"/>
      <c r="E759" s="354" t="s">
        <v>20</v>
      </c>
      <c r="F759" s="44" t="s">
        <v>1608</v>
      </c>
      <c r="G759" s="352" t="s">
        <v>184</v>
      </c>
      <c r="H759" s="589">
        <v>214.72739999999999</v>
      </c>
      <c r="I759" s="352">
        <v>1</v>
      </c>
      <c r="J759" s="589">
        <v>214.72739999999999</v>
      </c>
      <c r="K759" s="589">
        <v>214.72739999999999</v>
      </c>
      <c r="L759" s="354">
        <v>1</v>
      </c>
      <c r="M759" s="589">
        <v>214.72739999999999</v>
      </c>
      <c r="N759" s="6" t="s">
        <v>1610</v>
      </c>
      <c r="O759" s="353">
        <v>45622</v>
      </c>
      <c r="P759" s="33" t="str">
        <f>HYPERLINK("https://my.zakupivli.pro/remote/dispatcher/state_purchase_view/55155829", "UA-2024-11-26-016347-a")</f>
        <v>UA-2024-11-26-016347-a</v>
      </c>
      <c r="Q759" s="354">
        <v>214.72739999999999</v>
      </c>
      <c r="R759" s="354">
        <v>1</v>
      </c>
      <c r="S759" s="354">
        <v>214.72739999999999</v>
      </c>
      <c r="T759" s="355">
        <v>45622</v>
      </c>
      <c r="U759" s="352"/>
      <c r="V759" s="354" t="s">
        <v>59</v>
      </c>
    </row>
    <row r="760" spans="1:22" ht="62.4" x14ac:dyDescent="0.3">
      <c r="A760" s="352">
        <v>754</v>
      </c>
      <c r="B760" s="352" t="s">
        <v>1150</v>
      </c>
      <c r="C760" s="44" t="s">
        <v>1466</v>
      </c>
      <c r="D760" s="352"/>
      <c r="E760" s="354" t="s">
        <v>75</v>
      </c>
      <c r="F760" s="44" t="s">
        <v>1609</v>
      </c>
      <c r="G760" s="352" t="s">
        <v>1149</v>
      </c>
      <c r="H760" s="589">
        <v>99.55</v>
      </c>
      <c r="I760" s="352">
        <v>1</v>
      </c>
      <c r="J760" s="589">
        <v>99.55</v>
      </c>
      <c r="K760" s="589">
        <v>99.55</v>
      </c>
      <c r="L760" s="354">
        <v>1</v>
      </c>
      <c r="M760" s="589">
        <v>99.55</v>
      </c>
      <c r="N760" s="6" t="s">
        <v>1611</v>
      </c>
      <c r="O760" s="355">
        <v>45622</v>
      </c>
      <c r="P760" s="33" t="str">
        <f>HYPERLINK("https://my.zakupivli.pro/remote/dispatcher/state_purchase_view/55139944", "UA-2024-11-26-009164-a")</f>
        <v>UA-2024-11-26-009164-a</v>
      </c>
      <c r="Q760" s="354">
        <v>99.55</v>
      </c>
      <c r="R760" s="354">
        <v>1</v>
      </c>
      <c r="S760" s="354">
        <v>99.55</v>
      </c>
      <c r="T760" s="355">
        <v>45622</v>
      </c>
      <c r="U760" s="352"/>
      <c r="V760" s="354" t="s">
        <v>59</v>
      </c>
    </row>
    <row r="761" spans="1:22" ht="62.4" x14ac:dyDescent="0.3">
      <c r="A761" s="352">
        <v>755</v>
      </c>
      <c r="B761" s="356" t="s">
        <v>21</v>
      </c>
      <c r="C761" s="44" t="s">
        <v>2001</v>
      </c>
      <c r="D761" s="352"/>
      <c r="E761" s="356" t="s">
        <v>20</v>
      </c>
      <c r="F761" s="44" t="s">
        <v>1612</v>
      </c>
      <c r="G761" s="352" t="s">
        <v>185</v>
      </c>
      <c r="H761" s="589"/>
      <c r="I761" s="352">
        <v>3</v>
      </c>
      <c r="J761" s="589">
        <v>291.66667000000001</v>
      </c>
      <c r="K761" s="589"/>
      <c r="L761" s="356">
        <v>3</v>
      </c>
      <c r="M761" s="589">
        <v>291.66667000000001</v>
      </c>
      <c r="N761" s="6" t="s">
        <v>1613</v>
      </c>
      <c r="O761" s="353">
        <v>45623</v>
      </c>
      <c r="P761" s="33" t="str">
        <f>HYPERLINK("https://my.zakupivli.pro/remote/dispatcher/state_purchase_view/55188936", "UA-2024-11-27-011735-a")</f>
        <v>UA-2024-11-27-011735-a</v>
      </c>
      <c r="Q761" s="352"/>
      <c r="R761" s="352">
        <v>3</v>
      </c>
      <c r="S761" s="352"/>
      <c r="T761" s="353"/>
      <c r="U761" s="352" t="s">
        <v>1615</v>
      </c>
      <c r="V761" s="356" t="s">
        <v>59</v>
      </c>
    </row>
    <row r="762" spans="1:22" ht="62.4" x14ac:dyDescent="0.3">
      <c r="A762" s="352">
        <v>756</v>
      </c>
      <c r="B762" s="356" t="s">
        <v>21</v>
      </c>
      <c r="C762" s="44" t="s">
        <v>2002</v>
      </c>
      <c r="D762" s="352"/>
      <c r="E762" s="356" t="s">
        <v>20</v>
      </c>
      <c r="F762" s="44" t="s">
        <v>1558</v>
      </c>
      <c r="G762" s="352" t="s">
        <v>1526</v>
      </c>
      <c r="H762" s="589">
        <v>8.1710000000000005E-2</v>
      </c>
      <c r="I762" s="352">
        <v>1000</v>
      </c>
      <c r="J762" s="589">
        <v>80.709999999999994</v>
      </c>
      <c r="K762" s="589">
        <v>8.1710000000000005E-2</v>
      </c>
      <c r="L762" s="356">
        <v>1000</v>
      </c>
      <c r="M762" s="589">
        <v>80.709999999999994</v>
      </c>
      <c r="N762" s="6" t="s">
        <v>1614</v>
      </c>
      <c r="O762" s="357">
        <v>45623</v>
      </c>
      <c r="P762" s="33" t="str">
        <f>HYPERLINK("https://my.zakupivli.pro/remote/dispatcher/state_purchase_view/55174014", "UA-2024-11-27-005230-a")</f>
        <v>UA-2024-11-27-005230-a</v>
      </c>
      <c r="Q762" s="356">
        <v>8.1710000000000005E-2</v>
      </c>
      <c r="R762" s="356">
        <v>1000</v>
      </c>
      <c r="S762" s="356">
        <v>80.709999999999994</v>
      </c>
      <c r="T762" s="357">
        <v>45623</v>
      </c>
      <c r="U762" s="352"/>
      <c r="V762" s="356" t="s">
        <v>59</v>
      </c>
    </row>
    <row r="763" spans="1:22" ht="62.4" x14ac:dyDescent="0.3">
      <c r="A763" s="352">
        <v>757</v>
      </c>
      <c r="B763" s="358" t="s">
        <v>40</v>
      </c>
      <c r="C763" s="44" t="s">
        <v>884</v>
      </c>
      <c r="D763" s="352"/>
      <c r="E763" s="358" t="s">
        <v>20</v>
      </c>
      <c r="F763" s="44" t="s">
        <v>2003</v>
      </c>
      <c r="G763" s="352" t="s">
        <v>184</v>
      </c>
      <c r="H763" s="589">
        <v>173.92330999999999</v>
      </c>
      <c r="I763" s="352">
        <v>1</v>
      </c>
      <c r="J763" s="589">
        <v>173.92330999999999</v>
      </c>
      <c r="K763" s="589">
        <v>173.92330999999999</v>
      </c>
      <c r="L763" s="358">
        <v>1</v>
      </c>
      <c r="M763" s="589">
        <v>173.92330999999999</v>
      </c>
      <c r="N763" s="6" t="s">
        <v>1617</v>
      </c>
      <c r="O763" s="359">
        <v>45632</v>
      </c>
      <c r="P763" s="33" t="str">
        <f>HYPERLINK("https://my.zakupivli.pro/remote/dispatcher/state_purchase_view/55499913", "UA-2024-12-06-014938-a")</f>
        <v>UA-2024-12-06-014938-a</v>
      </c>
      <c r="Q763" s="358">
        <v>173.92330999999999</v>
      </c>
      <c r="R763" s="358">
        <v>1</v>
      </c>
      <c r="S763" s="358">
        <v>173.92330999999999</v>
      </c>
      <c r="T763" s="359">
        <v>45632</v>
      </c>
      <c r="U763" s="352"/>
      <c r="V763" s="358" t="s">
        <v>59</v>
      </c>
    </row>
    <row r="764" spans="1:22" ht="62.4" x14ac:dyDescent="0.3">
      <c r="A764" s="352">
        <v>758</v>
      </c>
      <c r="B764" s="358" t="s">
        <v>40</v>
      </c>
      <c r="C764" s="44" t="s">
        <v>1991</v>
      </c>
      <c r="D764" s="352"/>
      <c r="E764" s="358" t="s">
        <v>20</v>
      </c>
      <c r="F764" s="44" t="s">
        <v>1616</v>
      </c>
      <c r="G764" s="352" t="s">
        <v>184</v>
      </c>
      <c r="H764" s="589">
        <v>386.46974</v>
      </c>
      <c r="I764" s="352">
        <v>1</v>
      </c>
      <c r="J764" s="589">
        <v>386.46974</v>
      </c>
      <c r="K764" s="589">
        <v>386.46974</v>
      </c>
      <c r="L764" s="358">
        <v>1</v>
      </c>
      <c r="M764" s="589">
        <v>386.46974</v>
      </c>
      <c r="N764" s="6" t="s">
        <v>1618</v>
      </c>
      <c r="O764" s="359">
        <v>45632</v>
      </c>
      <c r="P764" s="33" t="str">
        <f>HYPERLINK("https://my.zakupivli.pro/remote/dispatcher/state_purchase_view/55499643", "UA-2024-12-06-014805-a")</f>
        <v>UA-2024-12-06-014805-a</v>
      </c>
      <c r="Q764" s="358">
        <v>386.46974</v>
      </c>
      <c r="R764" s="358">
        <v>1</v>
      </c>
      <c r="S764" s="358">
        <v>386.46974</v>
      </c>
      <c r="T764" s="359">
        <v>45632</v>
      </c>
      <c r="U764" s="352"/>
      <c r="V764" s="358" t="s">
        <v>59</v>
      </c>
    </row>
    <row r="765" spans="1:22" ht="78" x14ac:dyDescent="0.3">
      <c r="A765" s="352">
        <v>759</v>
      </c>
      <c r="B765" s="352" t="s">
        <v>21</v>
      </c>
      <c r="C765" s="44" t="s">
        <v>405</v>
      </c>
      <c r="D765" s="395" t="s">
        <v>58</v>
      </c>
      <c r="E765" s="352" t="s">
        <v>75</v>
      </c>
      <c r="F765" s="44" t="s">
        <v>2004</v>
      </c>
      <c r="G765" s="352" t="s">
        <v>186</v>
      </c>
      <c r="H765" s="589"/>
      <c r="I765" s="352">
        <v>2</v>
      </c>
      <c r="J765" s="589">
        <v>2306.9666659999998</v>
      </c>
      <c r="K765" s="589"/>
      <c r="L765" s="358">
        <v>2</v>
      </c>
      <c r="M765" s="589">
        <v>2306.9666659999998</v>
      </c>
      <c r="N765" s="6" t="s">
        <v>1619</v>
      </c>
      <c r="O765" s="359">
        <v>45632</v>
      </c>
      <c r="P765" s="33" t="str">
        <f>HYPERLINK("https://my.zakupivli.pro/remote/dispatcher/state_purchase_view/55498113", "UA-2024-12-06-014140-a")</f>
        <v>UA-2024-12-06-014140-a</v>
      </c>
      <c r="Q765" s="352"/>
      <c r="R765" s="352">
        <v>2</v>
      </c>
      <c r="S765" s="352">
        <v>2214.6880000000001</v>
      </c>
      <c r="T765" s="353">
        <v>45651</v>
      </c>
      <c r="U765" s="352"/>
      <c r="V765" s="358"/>
    </row>
    <row r="766" spans="1:22" ht="62.4" x14ac:dyDescent="0.3">
      <c r="A766" s="352">
        <v>760</v>
      </c>
      <c r="B766" s="358" t="s">
        <v>40</v>
      </c>
      <c r="C766" s="44" t="s">
        <v>884</v>
      </c>
      <c r="D766" s="352"/>
      <c r="E766" s="358" t="s">
        <v>20</v>
      </c>
      <c r="F766" s="44" t="s">
        <v>2005</v>
      </c>
      <c r="G766" s="352" t="s">
        <v>184</v>
      </c>
      <c r="H766" s="589">
        <v>209.59318999999999</v>
      </c>
      <c r="I766" s="352">
        <v>1</v>
      </c>
      <c r="J766" s="589">
        <v>209.59318999999999</v>
      </c>
      <c r="K766" s="589">
        <v>209.59318999999999</v>
      </c>
      <c r="L766" s="358">
        <v>1</v>
      </c>
      <c r="M766" s="589">
        <v>209.59318999999999</v>
      </c>
      <c r="N766" s="6" t="s">
        <v>1620</v>
      </c>
      <c r="O766" s="359">
        <v>45632</v>
      </c>
      <c r="P766" s="33" t="str">
        <f>HYPERLINK("https://my.zakupivli.pro/remote/dispatcher/state_purchase_view/55493584", "UA-2024-12-06-012047-a")</f>
        <v>UA-2024-12-06-012047-a</v>
      </c>
      <c r="Q766" s="358">
        <v>209.59318999999999</v>
      </c>
      <c r="R766" s="358">
        <v>1</v>
      </c>
      <c r="S766" s="358">
        <v>209.59318999999999</v>
      </c>
      <c r="T766" s="359">
        <v>45632</v>
      </c>
      <c r="U766" s="352"/>
      <c r="V766" s="358" t="s">
        <v>59</v>
      </c>
    </row>
    <row r="767" spans="1:22" ht="62.4" x14ac:dyDescent="0.3">
      <c r="A767" s="352">
        <v>761</v>
      </c>
      <c r="B767" s="352" t="s">
        <v>40</v>
      </c>
      <c r="C767" s="44" t="s">
        <v>884</v>
      </c>
      <c r="D767" s="352"/>
      <c r="E767" s="358" t="s">
        <v>20</v>
      </c>
      <c r="F767" s="44" t="s">
        <v>2006</v>
      </c>
      <c r="G767" s="352" t="s">
        <v>184</v>
      </c>
      <c r="H767" s="589">
        <v>281.99993999999998</v>
      </c>
      <c r="I767" s="352">
        <v>1</v>
      </c>
      <c r="J767" s="589">
        <v>281.99993999999998</v>
      </c>
      <c r="K767" s="589">
        <v>281.99993999999998</v>
      </c>
      <c r="L767" s="358">
        <v>1</v>
      </c>
      <c r="M767" s="589">
        <v>281.99993999999998</v>
      </c>
      <c r="N767" s="6" t="s">
        <v>1623</v>
      </c>
      <c r="O767" s="353">
        <v>45632</v>
      </c>
      <c r="P767" s="33" t="str">
        <f>HYPERLINK("https://my.zakupivli.pro/remote/dispatcher/state_purchase_view/55492800", "UA-2024-12-06-011782-a")</f>
        <v>UA-2024-12-06-011782-a</v>
      </c>
      <c r="Q767" s="358">
        <v>281.99993999999998</v>
      </c>
      <c r="R767" s="358">
        <v>1</v>
      </c>
      <c r="S767" s="358">
        <v>281.99993999999998</v>
      </c>
      <c r="T767" s="359">
        <v>45632</v>
      </c>
      <c r="U767" s="352"/>
      <c r="V767" s="358" t="s">
        <v>59</v>
      </c>
    </row>
    <row r="768" spans="1:22" ht="93.6" x14ac:dyDescent="0.3">
      <c r="A768" s="352">
        <v>762</v>
      </c>
      <c r="B768" s="352" t="s">
        <v>21</v>
      </c>
      <c r="C768" s="44" t="s">
        <v>2007</v>
      </c>
      <c r="D768" s="395" t="s">
        <v>58</v>
      </c>
      <c r="E768" s="363" t="s">
        <v>75</v>
      </c>
      <c r="F768" s="44" t="s">
        <v>1559</v>
      </c>
      <c r="G768" s="352" t="s">
        <v>186</v>
      </c>
      <c r="H768" s="589"/>
      <c r="I768" s="352">
        <v>2</v>
      </c>
      <c r="J768" s="589">
        <v>772</v>
      </c>
      <c r="K768" s="589"/>
      <c r="L768" s="358">
        <v>2</v>
      </c>
      <c r="M768" s="589">
        <v>772</v>
      </c>
      <c r="N768" s="6" t="s">
        <v>1624</v>
      </c>
      <c r="O768" s="353">
        <v>45631</v>
      </c>
      <c r="P768" s="33" t="str">
        <f>HYPERLINK("https://my.zakupivli.pro/remote/dispatcher/state_purchase_view/55454423", "UA-2024-12-05-016124-a")</f>
        <v>UA-2024-12-05-016124-a</v>
      </c>
      <c r="Q768" s="352"/>
      <c r="R768" s="352"/>
      <c r="S768" s="352"/>
      <c r="T768" s="353"/>
      <c r="U768" s="352" t="s">
        <v>648</v>
      </c>
      <c r="V768" s="352"/>
    </row>
    <row r="769" spans="1:22" ht="62.4" x14ac:dyDescent="0.3">
      <c r="A769" s="352">
        <v>763</v>
      </c>
      <c r="B769" s="352" t="s">
        <v>21</v>
      </c>
      <c r="C769" s="44" t="s">
        <v>2001</v>
      </c>
      <c r="D769" s="395" t="s">
        <v>58</v>
      </c>
      <c r="E769" s="363" t="s">
        <v>20</v>
      </c>
      <c r="F769" s="44" t="s">
        <v>1612</v>
      </c>
      <c r="G769" s="352" t="s">
        <v>185</v>
      </c>
      <c r="H769" s="589"/>
      <c r="I769" s="352">
        <v>3</v>
      </c>
      <c r="J769" s="589">
        <v>291.666</v>
      </c>
      <c r="K769" s="589"/>
      <c r="L769" s="358">
        <v>3</v>
      </c>
      <c r="M769" s="589">
        <v>291.666</v>
      </c>
      <c r="N769" s="6" t="s">
        <v>1625</v>
      </c>
      <c r="O769" s="353">
        <v>45631</v>
      </c>
      <c r="P769" s="33" t="str">
        <f>HYPERLINK("https://my.zakupivli.pro/remote/dispatcher/state_purchase_view/55452603", "UA-2024-12-05-015239-a")</f>
        <v>UA-2024-12-05-015239-a</v>
      </c>
      <c r="Q769" s="352"/>
      <c r="R769" s="352">
        <v>3</v>
      </c>
      <c r="S769" s="117">
        <v>290</v>
      </c>
      <c r="T769" s="353">
        <v>45651</v>
      </c>
      <c r="U769" s="352"/>
      <c r="V769" s="352"/>
    </row>
    <row r="770" spans="1:22" ht="62.4" x14ac:dyDescent="0.3">
      <c r="A770" s="352">
        <v>764</v>
      </c>
      <c r="B770" s="352" t="s">
        <v>40</v>
      </c>
      <c r="C770" s="44" t="s">
        <v>2008</v>
      </c>
      <c r="D770" s="352"/>
      <c r="E770" s="363" t="s">
        <v>75</v>
      </c>
      <c r="F770" s="44" t="s">
        <v>1621</v>
      </c>
      <c r="G770" s="352" t="s">
        <v>184</v>
      </c>
      <c r="H770" s="589">
        <v>316.13565999999997</v>
      </c>
      <c r="I770" s="352">
        <v>1</v>
      </c>
      <c r="J770" s="589">
        <v>316.13565999999997</v>
      </c>
      <c r="K770" s="589">
        <v>316.13565999999997</v>
      </c>
      <c r="L770" s="358">
        <v>1</v>
      </c>
      <c r="M770" s="589">
        <v>316.13565999999997</v>
      </c>
      <c r="N770" s="6" t="s">
        <v>1626</v>
      </c>
      <c r="O770" s="353">
        <v>45629</v>
      </c>
      <c r="P770" s="33" t="str">
        <f>HYPERLINK("https://my.zakupivli.pro/remote/dispatcher/state_purchase_view/55397586", "UA-2024-12-04-012135-a")</f>
        <v>UA-2024-12-04-012135-a</v>
      </c>
      <c r="Q770" s="358">
        <v>316.13565999999997</v>
      </c>
      <c r="R770" s="358">
        <v>1</v>
      </c>
      <c r="S770" s="358">
        <v>316.13565999999997</v>
      </c>
      <c r="T770" s="359">
        <v>45629</v>
      </c>
      <c r="U770" s="352"/>
      <c r="V770" s="358" t="s">
        <v>59</v>
      </c>
    </row>
    <row r="771" spans="1:22" ht="93.6" x14ac:dyDescent="0.3">
      <c r="A771" s="352">
        <v>765</v>
      </c>
      <c r="B771" s="352" t="s">
        <v>21</v>
      </c>
      <c r="C771" s="44" t="s">
        <v>1622</v>
      </c>
      <c r="D771" s="395" t="s">
        <v>58</v>
      </c>
      <c r="E771" s="363" t="s">
        <v>75</v>
      </c>
      <c r="F771" s="44" t="s">
        <v>2009</v>
      </c>
      <c r="G771" s="352" t="s">
        <v>186</v>
      </c>
      <c r="I771" s="352">
        <v>2</v>
      </c>
      <c r="J771" s="589">
        <v>5837.75</v>
      </c>
      <c r="K771" s="589"/>
      <c r="L771" s="358">
        <v>2</v>
      </c>
      <c r="M771" s="589">
        <v>5837.75</v>
      </c>
      <c r="N771" s="6" t="s">
        <v>1627</v>
      </c>
      <c r="O771" s="359">
        <v>45629</v>
      </c>
      <c r="P771" s="33" t="str">
        <f>HYPERLINK("https://my.zakupivli.pro/remote/dispatcher/state_purchase_view/55352960", "UA-2024-12-03-012447-a")</f>
        <v>UA-2024-12-03-012447-a</v>
      </c>
      <c r="Q771" s="352"/>
      <c r="R771" s="352"/>
      <c r="S771" s="352"/>
      <c r="T771" s="353"/>
      <c r="U771" s="352" t="s">
        <v>648</v>
      </c>
      <c r="V771" s="352"/>
    </row>
    <row r="772" spans="1:22" ht="62.4" x14ac:dyDescent="0.3">
      <c r="A772" s="352">
        <v>766</v>
      </c>
      <c r="B772" s="352" t="s">
        <v>40</v>
      </c>
      <c r="C772" s="44" t="s">
        <v>884</v>
      </c>
      <c r="D772" s="395" t="s">
        <v>58</v>
      </c>
      <c r="E772" s="363" t="s">
        <v>75</v>
      </c>
      <c r="F772" s="44" t="s">
        <v>2010</v>
      </c>
      <c r="G772" s="352" t="s">
        <v>184</v>
      </c>
      <c r="H772" s="589">
        <v>116.88435</v>
      </c>
      <c r="I772" s="352">
        <v>1</v>
      </c>
      <c r="J772" s="589">
        <v>116.88435</v>
      </c>
      <c r="K772" s="589">
        <v>116.88435</v>
      </c>
      <c r="L772" s="358">
        <v>1</v>
      </c>
      <c r="M772" s="589">
        <v>116.88435</v>
      </c>
      <c r="N772" s="6" t="s">
        <v>1628</v>
      </c>
      <c r="O772" s="353">
        <v>45628</v>
      </c>
      <c r="P772" s="33" t="str">
        <f>HYPERLINK("https://my.zakupivli.pro/remote/dispatcher/state_purchase_view/55292923", "UA-2024-12-02-004435-a")</f>
        <v>UA-2024-12-02-004435-a</v>
      </c>
      <c r="Q772" s="358">
        <v>116.88435</v>
      </c>
      <c r="R772" s="358">
        <v>1</v>
      </c>
      <c r="S772" s="358">
        <v>116.88435</v>
      </c>
      <c r="T772" s="361">
        <v>45628</v>
      </c>
      <c r="U772" s="352"/>
      <c r="V772" s="352"/>
    </row>
    <row r="773" spans="1:22" ht="62.4" x14ac:dyDescent="0.3">
      <c r="A773" s="352">
        <v>767</v>
      </c>
      <c r="B773" s="360" t="s">
        <v>21</v>
      </c>
      <c r="C773" s="44" t="s">
        <v>2011</v>
      </c>
      <c r="D773" s="352"/>
      <c r="E773" s="363" t="s">
        <v>75</v>
      </c>
      <c r="F773" s="44" t="s">
        <v>1629</v>
      </c>
      <c r="G773" s="352" t="s">
        <v>185</v>
      </c>
      <c r="H773" s="589">
        <v>46</v>
      </c>
      <c r="I773" s="352">
        <v>1</v>
      </c>
      <c r="J773" s="589">
        <v>46</v>
      </c>
      <c r="K773" s="589">
        <v>46</v>
      </c>
      <c r="L773" s="360">
        <v>1</v>
      </c>
      <c r="M773" s="589">
        <v>46</v>
      </c>
      <c r="N773" s="6" t="s">
        <v>1630</v>
      </c>
      <c r="O773" s="353">
        <v>45642</v>
      </c>
      <c r="P773" s="33" t="str">
        <f>HYPERLINK("https://my.zakupivli.pro/remote/dispatcher/state_purchase_view/55800910", "UA-2024-12-16-012483-a")</f>
        <v>UA-2024-12-16-012483-a</v>
      </c>
      <c r="Q773" s="117">
        <v>46</v>
      </c>
      <c r="R773" s="360">
        <v>1</v>
      </c>
      <c r="S773" s="117">
        <v>46</v>
      </c>
      <c r="T773" s="361">
        <v>45642</v>
      </c>
      <c r="U773" s="352"/>
      <c r="V773" s="360" t="s">
        <v>59</v>
      </c>
    </row>
    <row r="774" spans="1:22" ht="62.4" x14ac:dyDescent="0.3">
      <c r="A774" s="352">
        <v>768</v>
      </c>
      <c r="B774" s="360" t="s">
        <v>21</v>
      </c>
      <c r="C774" s="44" t="s">
        <v>2001</v>
      </c>
      <c r="D774" s="352"/>
      <c r="E774" s="363" t="s">
        <v>20</v>
      </c>
      <c r="F774" s="44" t="s">
        <v>1386</v>
      </c>
      <c r="G774" s="352" t="s">
        <v>185</v>
      </c>
      <c r="H774" s="589">
        <v>71.25</v>
      </c>
      <c r="I774" s="352">
        <v>1</v>
      </c>
      <c r="J774" s="589">
        <v>71.25</v>
      </c>
      <c r="K774" s="589">
        <v>71.25</v>
      </c>
      <c r="L774" s="360">
        <v>1</v>
      </c>
      <c r="M774" s="589">
        <v>71.25</v>
      </c>
      <c r="N774" s="6" t="s">
        <v>1631</v>
      </c>
      <c r="O774" s="361">
        <v>45642</v>
      </c>
      <c r="P774" s="33" t="str">
        <f>HYPERLINK("https://my.zakupivli.pro/remote/dispatcher/state_purchase_view/55799831", "UA-2024-12-16-012032-a")</f>
        <v>UA-2024-12-16-012032-a</v>
      </c>
      <c r="Q774" s="117">
        <v>71.25</v>
      </c>
      <c r="R774" s="360">
        <v>1</v>
      </c>
      <c r="S774" s="117">
        <v>71.25</v>
      </c>
      <c r="T774" s="361">
        <v>45642</v>
      </c>
      <c r="U774" s="352"/>
      <c r="V774" s="360" t="s">
        <v>59</v>
      </c>
    </row>
    <row r="775" spans="1:22" ht="156" x14ac:dyDescent="0.3">
      <c r="A775" s="352">
        <v>769</v>
      </c>
      <c r="B775" s="363" t="s">
        <v>21</v>
      </c>
      <c r="C775" s="44" t="s">
        <v>1632</v>
      </c>
      <c r="D775" s="395" t="s">
        <v>58</v>
      </c>
      <c r="E775" s="363" t="s">
        <v>75</v>
      </c>
      <c r="F775" s="44" t="s">
        <v>734</v>
      </c>
      <c r="G775" s="352" t="s">
        <v>186</v>
      </c>
      <c r="H775" s="589"/>
      <c r="I775" s="352">
        <v>13</v>
      </c>
      <c r="J775" s="589">
        <v>349.38098000000002</v>
      </c>
      <c r="K775" s="589"/>
      <c r="L775" s="363">
        <v>13</v>
      </c>
      <c r="M775" s="589">
        <v>349.38098000000002</v>
      </c>
      <c r="N775" s="6" t="s">
        <v>1638</v>
      </c>
      <c r="O775" s="353">
        <v>45643</v>
      </c>
      <c r="P775" s="33" t="str">
        <f>HYPERLINK("https://my.zakupivli.pro/remote/dispatcher/state_purchase_view/55872274", "UA-2024-12-17-020706-a")</f>
        <v>UA-2024-12-17-020706-a</v>
      </c>
      <c r="Q775" s="352"/>
      <c r="R775" s="352">
        <v>13</v>
      </c>
      <c r="S775" s="352">
        <v>257.16000000000003</v>
      </c>
      <c r="T775" s="353">
        <v>45663</v>
      </c>
      <c r="U775" s="352"/>
      <c r="V775" s="352"/>
    </row>
    <row r="776" spans="1:22" ht="124.8" x14ac:dyDescent="0.3">
      <c r="A776" s="352">
        <v>770</v>
      </c>
      <c r="B776" s="352" t="s">
        <v>1150</v>
      </c>
      <c r="C776" s="44" t="s">
        <v>1633</v>
      </c>
      <c r="D776" s="395" t="s">
        <v>58</v>
      </c>
      <c r="E776" s="363" t="s">
        <v>75</v>
      </c>
      <c r="F776" s="44" t="s">
        <v>1639</v>
      </c>
      <c r="G776" s="352" t="s">
        <v>1149</v>
      </c>
      <c r="H776" s="589">
        <v>276.8</v>
      </c>
      <c r="I776" s="352">
        <v>1</v>
      </c>
      <c r="J776" s="589">
        <v>276.8</v>
      </c>
      <c r="K776" s="589">
        <v>276.8</v>
      </c>
      <c r="L776" s="363">
        <v>1</v>
      </c>
      <c r="M776" s="589">
        <v>276.8</v>
      </c>
      <c r="N776" s="6" t="s">
        <v>1640</v>
      </c>
      <c r="O776" s="362">
        <v>45643</v>
      </c>
      <c r="P776" s="33" t="str">
        <f>HYPERLINK("https://my.zakupivli.pro/remote/dispatcher/state_purchase_view/55863477", "UA-2024-12-17-016908-a")</f>
        <v>UA-2024-12-17-016908-a</v>
      </c>
      <c r="Q776" s="117">
        <v>250</v>
      </c>
      <c r="R776" s="352">
        <v>1</v>
      </c>
      <c r="S776" s="117">
        <v>250</v>
      </c>
      <c r="T776" s="379">
        <v>45663</v>
      </c>
      <c r="U776" s="352"/>
      <c r="V776" s="352"/>
    </row>
    <row r="777" spans="1:22" ht="124.8" x14ac:dyDescent="0.3">
      <c r="A777" s="352">
        <v>771</v>
      </c>
      <c r="B777" s="363" t="s">
        <v>1150</v>
      </c>
      <c r="C777" s="44" t="s">
        <v>1634</v>
      </c>
      <c r="D777" s="395" t="s">
        <v>58</v>
      </c>
      <c r="E777" s="363" t="s">
        <v>75</v>
      </c>
      <c r="F777" s="44" t="s">
        <v>1639</v>
      </c>
      <c r="G777" s="363" t="s">
        <v>1149</v>
      </c>
      <c r="H777" s="589">
        <v>90.9</v>
      </c>
      <c r="I777" s="352">
        <v>1</v>
      </c>
      <c r="J777" s="589">
        <v>90.9</v>
      </c>
      <c r="K777" s="589">
        <v>90.9</v>
      </c>
      <c r="L777" s="363">
        <v>1</v>
      </c>
      <c r="M777" s="589">
        <v>90.9</v>
      </c>
      <c r="N777" s="6" t="s">
        <v>1641</v>
      </c>
      <c r="O777" s="362">
        <v>45643</v>
      </c>
      <c r="P777" s="33" t="str">
        <f>HYPERLINK("https://my.zakupivli.pro/remote/dispatcher/state_purchase_view/55863477", "UA-2024-12-17-016908-a")</f>
        <v>UA-2024-12-17-016908-a</v>
      </c>
      <c r="Q777" s="117">
        <v>75</v>
      </c>
      <c r="R777" s="352">
        <v>1</v>
      </c>
      <c r="S777" s="117">
        <v>75</v>
      </c>
      <c r="T777" s="379">
        <v>45663</v>
      </c>
      <c r="U777" s="352"/>
      <c r="V777" s="352"/>
    </row>
    <row r="778" spans="1:22" ht="124.8" x14ac:dyDescent="0.3">
      <c r="A778" s="352">
        <v>772</v>
      </c>
      <c r="B778" s="363" t="s">
        <v>1150</v>
      </c>
      <c r="C778" s="44" t="s">
        <v>1635</v>
      </c>
      <c r="D778" s="395" t="s">
        <v>58</v>
      </c>
      <c r="E778" s="363" t="s">
        <v>75</v>
      </c>
      <c r="F778" s="44" t="s">
        <v>1639</v>
      </c>
      <c r="G778" s="363" t="s">
        <v>1149</v>
      </c>
      <c r="H778" s="589">
        <v>2.0816599999999998</v>
      </c>
      <c r="I778" s="352">
        <v>1</v>
      </c>
      <c r="J778" s="589">
        <v>2.0816599999999998</v>
      </c>
      <c r="K778" s="589">
        <v>2.0816599999999998</v>
      </c>
      <c r="L778" s="363">
        <v>1</v>
      </c>
      <c r="M778" s="589">
        <v>2.0816599999999998</v>
      </c>
      <c r="N778" s="6" t="s">
        <v>1642</v>
      </c>
      <c r="O778" s="362">
        <v>45643</v>
      </c>
      <c r="P778" s="33" t="str">
        <f>HYPERLINK("https://my.zakupivli.pro/remote/dispatcher/state_purchase_view/55863477", "UA-2024-12-17-016908-a")</f>
        <v>UA-2024-12-17-016908-a</v>
      </c>
      <c r="Q778" s="117">
        <v>1.75</v>
      </c>
      <c r="R778" s="352">
        <v>1</v>
      </c>
      <c r="S778" s="117">
        <v>1.75</v>
      </c>
      <c r="T778" s="379">
        <v>45663</v>
      </c>
      <c r="U778" s="352"/>
      <c r="V778" s="352"/>
    </row>
    <row r="779" spans="1:22" ht="124.8" x14ac:dyDescent="0.3">
      <c r="A779" s="352">
        <v>773</v>
      </c>
      <c r="B779" s="363" t="s">
        <v>1150</v>
      </c>
      <c r="C779" s="44" t="s">
        <v>1636</v>
      </c>
      <c r="D779" s="395" t="s">
        <v>58</v>
      </c>
      <c r="E779" s="363" t="s">
        <v>75</v>
      </c>
      <c r="F779" s="44" t="s">
        <v>1639</v>
      </c>
      <c r="G779" s="363" t="s">
        <v>1149</v>
      </c>
      <c r="H779" s="589">
        <v>7.8083299999999998</v>
      </c>
      <c r="I779" s="352">
        <v>1</v>
      </c>
      <c r="J779" s="589">
        <v>7.8083299999999998</v>
      </c>
      <c r="K779" s="589">
        <v>7.8083299999999998</v>
      </c>
      <c r="L779" s="363">
        <v>1</v>
      </c>
      <c r="M779" s="589">
        <v>7.8083299999999998</v>
      </c>
      <c r="N779" s="6" t="s">
        <v>1643</v>
      </c>
      <c r="O779" s="362">
        <v>45643</v>
      </c>
      <c r="P779" s="33" t="str">
        <f>HYPERLINK("https://my.zakupivli.pro/remote/dispatcher/state_purchase_view/55863477", "UA-2024-12-17-016908-a")</f>
        <v>UA-2024-12-17-016908-a</v>
      </c>
      <c r="Q779" s="352"/>
      <c r="R779" s="352"/>
      <c r="S779" s="352"/>
      <c r="T779" s="353"/>
      <c r="U779" s="376" t="s">
        <v>93</v>
      </c>
      <c r="V779" s="352"/>
    </row>
    <row r="780" spans="1:22" ht="124.8" x14ac:dyDescent="0.3">
      <c r="A780" s="352">
        <v>774</v>
      </c>
      <c r="B780" s="363" t="s">
        <v>1150</v>
      </c>
      <c r="C780" s="44" t="s">
        <v>1637</v>
      </c>
      <c r="D780" s="395" t="s">
        <v>58</v>
      </c>
      <c r="E780" s="363" t="s">
        <v>75</v>
      </c>
      <c r="F780" s="44" t="s">
        <v>1639</v>
      </c>
      <c r="G780" s="363" t="s">
        <v>1149</v>
      </c>
      <c r="H780" s="589">
        <v>243.85</v>
      </c>
      <c r="I780" s="352">
        <v>1</v>
      </c>
      <c r="J780" s="589">
        <v>243.85</v>
      </c>
      <c r="K780" s="589">
        <v>243.85</v>
      </c>
      <c r="L780" s="363">
        <v>1</v>
      </c>
      <c r="M780" s="589">
        <v>243.85</v>
      </c>
      <c r="N780" s="6" t="s">
        <v>1644</v>
      </c>
      <c r="O780" s="362">
        <v>45643</v>
      </c>
      <c r="P780" s="33" t="str">
        <f>HYPERLINK("https://my.zakupivli.pro/remote/dispatcher/state_purchase_view/55863477", "UA-2024-12-17-016908-a")</f>
        <v>UA-2024-12-17-016908-a</v>
      </c>
      <c r="Q780" s="352"/>
      <c r="R780" s="352"/>
      <c r="S780" s="352"/>
      <c r="T780" s="353"/>
      <c r="U780" s="376" t="s">
        <v>93</v>
      </c>
      <c r="V780" s="352"/>
    </row>
    <row r="781" spans="1:22" ht="46.8" x14ac:dyDescent="0.3">
      <c r="A781" s="352">
        <v>775</v>
      </c>
      <c r="B781" s="364" t="s">
        <v>21</v>
      </c>
      <c r="C781" s="44" t="s">
        <v>1645</v>
      </c>
      <c r="D781" s="395" t="s">
        <v>58</v>
      </c>
      <c r="E781" s="364" t="s">
        <v>75</v>
      </c>
      <c r="F781" s="223" t="s">
        <v>36</v>
      </c>
      <c r="G781" s="352" t="s">
        <v>186</v>
      </c>
      <c r="H781" s="589"/>
      <c r="I781" s="352">
        <v>10</v>
      </c>
      <c r="J781" s="589">
        <v>950.46973000000003</v>
      </c>
      <c r="K781" s="589"/>
      <c r="L781" s="364">
        <v>10</v>
      </c>
      <c r="M781" s="589">
        <v>950.46973000000003</v>
      </c>
      <c r="N781" s="6" t="s">
        <v>1651</v>
      </c>
      <c r="O781" s="367">
        <v>45645</v>
      </c>
      <c r="P781" s="33" t="str">
        <f>HYPERLINK("https://my.zakupivli.pro/remote/dispatcher/state_purchase_view/55973222", "UA-2024-12-19-015237-a")</f>
        <v>UA-2024-12-19-015237-a</v>
      </c>
      <c r="Q781" s="352"/>
      <c r="R781" s="352">
        <v>10</v>
      </c>
      <c r="S781" s="352">
        <v>776.76599999999996</v>
      </c>
      <c r="T781" s="353">
        <v>45664</v>
      </c>
      <c r="U781" s="352"/>
      <c r="V781" s="352"/>
    </row>
    <row r="782" spans="1:22" ht="46.8" x14ac:dyDescent="0.3">
      <c r="A782" s="352">
        <v>776</v>
      </c>
      <c r="B782" s="364" t="s">
        <v>21</v>
      </c>
      <c r="C782" s="44" t="s">
        <v>1646</v>
      </c>
      <c r="D782" s="395" t="s">
        <v>58</v>
      </c>
      <c r="E782" s="364" t="s">
        <v>75</v>
      </c>
      <c r="F782" s="223" t="s">
        <v>36</v>
      </c>
      <c r="G782" s="352" t="s">
        <v>186</v>
      </c>
      <c r="H782" s="589"/>
      <c r="I782" s="352">
        <v>3</v>
      </c>
      <c r="J782" s="589">
        <v>14064.01916</v>
      </c>
      <c r="K782" s="589"/>
      <c r="L782" s="364">
        <v>3</v>
      </c>
      <c r="M782" s="589">
        <v>14064.01916</v>
      </c>
      <c r="N782" s="6" t="s">
        <v>1652</v>
      </c>
      <c r="O782" s="367">
        <v>45645</v>
      </c>
      <c r="P782" s="33" t="str">
        <f>HYPERLINK("https://my.zakupivli.pro/remote/dispatcher/state_purchase_view/55973222", "UA-2024-12-19-015237-a")</f>
        <v>UA-2024-12-19-015237-a</v>
      </c>
      <c r="Q782" s="352"/>
      <c r="R782" s="352">
        <v>2</v>
      </c>
      <c r="S782" s="352">
        <v>13430.855</v>
      </c>
      <c r="T782" s="353">
        <v>45664</v>
      </c>
      <c r="U782" s="352"/>
      <c r="V782" s="352"/>
    </row>
    <row r="783" spans="1:22" ht="78" x14ac:dyDescent="0.3">
      <c r="A783" s="352">
        <v>777</v>
      </c>
      <c r="B783" s="364" t="s">
        <v>21</v>
      </c>
      <c r="C783" s="44" t="s">
        <v>1647</v>
      </c>
      <c r="D783" s="395" t="s">
        <v>58</v>
      </c>
      <c r="E783" s="364" t="s">
        <v>75</v>
      </c>
      <c r="F783" s="223" t="s">
        <v>36</v>
      </c>
      <c r="G783" s="352" t="s">
        <v>186</v>
      </c>
      <c r="H783" s="589"/>
      <c r="I783" s="352">
        <v>2</v>
      </c>
      <c r="J783" s="589">
        <v>2684.5</v>
      </c>
      <c r="K783" s="589"/>
      <c r="L783" s="364">
        <v>2</v>
      </c>
      <c r="M783" s="589">
        <v>2684.5</v>
      </c>
      <c r="N783" s="6" t="s">
        <v>1653</v>
      </c>
      <c r="O783" s="367">
        <v>45645</v>
      </c>
      <c r="P783" s="33" t="str">
        <f>HYPERLINK("https://my.zakupivli.pro/remote/dispatcher/state_purchase_view/55973222", "UA-2024-12-19-015237-a")</f>
        <v>UA-2024-12-19-015237-a</v>
      </c>
      <c r="Q783" s="352"/>
      <c r="R783" s="378"/>
      <c r="S783" s="378"/>
      <c r="T783" s="353"/>
      <c r="U783" s="378" t="s">
        <v>93</v>
      </c>
      <c r="V783" s="352"/>
    </row>
    <row r="784" spans="1:22" ht="93.6" x14ac:dyDescent="0.3">
      <c r="A784" s="352">
        <v>778</v>
      </c>
      <c r="B784" s="364" t="s">
        <v>21</v>
      </c>
      <c r="C784" s="44" t="s">
        <v>1648</v>
      </c>
      <c r="D784" s="395" t="s">
        <v>58</v>
      </c>
      <c r="E784" s="364" t="s">
        <v>75</v>
      </c>
      <c r="F784" s="223" t="s">
        <v>1650</v>
      </c>
      <c r="G784" s="352" t="s">
        <v>186</v>
      </c>
      <c r="H784" s="589"/>
      <c r="I784" s="352">
        <v>239</v>
      </c>
      <c r="J784" s="589">
        <v>3575</v>
      </c>
      <c r="K784" s="589"/>
      <c r="L784" s="364">
        <v>239</v>
      </c>
      <c r="M784" s="589">
        <v>3575</v>
      </c>
      <c r="N784" s="6" t="s">
        <v>1654</v>
      </c>
      <c r="O784" s="367">
        <v>45645</v>
      </c>
      <c r="P784" s="33" t="str">
        <f>HYPERLINK("https://my.zakupivli.pro/remote/dispatcher/state_purchase_view/55969608", "UA-2024-12-19-013809-a")</f>
        <v>UA-2024-12-19-013809-a</v>
      </c>
      <c r="Q784" s="352"/>
      <c r="R784" s="352">
        <v>239</v>
      </c>
      <c r="S784" s="352">
        <v>3573.4467</v>
      </c>
      <c r="T784" s="353">
        <v>45666</v>
      </c>
      <c r="U784" s="352"/>
      <c r="V784" s="352"/>
    </row>
    <row r="785" spans="1:22" ht="78" x14ac:dyDescent="0.3">
      <c r="A785" s="352">
        <v>779</v>
      </c>
      <c r="B785" s="364" t="s">
        <v>21</v>
      </c>
      <c r="C785" s="44" t="s">
        <v>1649</v>
      </c>
      <c r="D785" s="395" t="s">
        <v>58</v>
      </c>
      <c r="E785" s="364" t="s">
        <v>75</v>
      </c>
      <c r="F785" s="223" t="s">
        <v>30</v>
      </c>
      <c r="G785" s="352" t="s">
        <v>186</v>
      </c>
      <c r="H785" s="589"/>
      <c r="I785" s="352">
        <v>9</v>
      </c>
      <c r="J785" s="589">
        <v>3474</v>
      </c>
      <c r="K785" s="589"/>
      <c r="L785" s="364">
        <v>9</v>
      </c>
      <c r="M785" s="589">
        <v>3474</v>
      </c>
      <c r="N785" s="6" t="s">
        <v>1655</v>
      </c>
      <c r="O785" s="365">
        <v>45645</v>
      </c>
      <c r="P785" s="33" t="str">
        <f>HYPERLINK("https://my.zakupivli.pro/remote/dispatcher/state_purchase_view/55956705", "UA-2024-12-19-008061-a")</f>
        <v>UA-2024-12-19-008061-a</v>
      </c>
      <c r="Q785" s="352"/>
      <c r="R785" s="352">
        <v>9</v>
      </c>
      <c r="S785" s="117">
        <v>3441.63</v>
      </c>
      <c r="T785" s="353">
        <v>45664</v>
      </c>
      <c r="U785" s="352"/>
      <c r="V785" s="352"/>
    </row>
    <row r="786" spans="1:22" ht="78" x14ac:dyDescent="0.3">
      <c r="A786" s="352">
        <v>780</v>
      </c>
      <c r="B786" s="366" t="s">
        <v>21</v>
      </c>
      <c r="C786" s="44" t="s">
        <v>1656</v>
      </c>
      <c r="D786" s="395" t="s">
        <v>58</v>
      </c>
      <c r="E786" s="366" t="s">
        <v>75</v>
      </c>
      <c r="F786" s="223" t="s">
        <v>300</v>
      </c>
      <c r="G786" s="352" t="s">
        <v>186</v>
      </c>
      <c r="H786" s="589"/>
      <c r="I786" s="352">
        <v>174</v>
      </c>
      <c r="J786" s="589">
        <v>56083.5</v>
      </c>
      <c r="K786" s="589"/>
      <c r="L786" s="366">
        <v>174</v>
      </c>
      <c r="M786" s="589">
        <v>56083.5</v>
      </c>
      <c r="N786" s="6" t="s">
        <v>1657</v>
      </c>
      <c r="O786" s="353">
        <v>45646</v>
      </c>
      <c r="P786" s="33" t="str">
        <f>HYPERLINK("https://my.zakupivli.pro/remote/dispatcher/state_purchase_view/56008163", "UA-2024-12-20-005683-a")</f>
        <v>UA-2024-12-20-005683-a</v>
      </c>
      <c r="Q786" s="352"/>
      <c r="R786" s="352"/>
      <c r="S786" s="352"/>
      <c r="T786" s="353"/>
      <c r="U786" s="352" t="s">
        <v>1706</v>
      </c>
      <c r="V786" s="352"/>
    </row>
    <row r="787" spans="1:22" ht="93.6" x14ac:dyDescent="0.3">
      <c r="A787" s="352">
        <v>781</v>
      </c>
      <c r="B787" s="368" t="s">
        <v>21</v>
      </c>
      <c r="C787" s="44" t="s">
        <v>1658</v>
      </c>
      <c r="D787" s="395" t="s">
        <v>58</v>
      </c>
      <c r="E787" s="368" t="s">
        <v>75</v>
      </c>
      <c r="F787" s="44" t="s">
        <v>1217</v>
      </c>
      <c r="G787" s="352" t="s">
        <v>185</v>
      </c>
      <c r="H787" s="589"/>
      <c r="I787" s="352">
        <v>466</v>
      </c>
      <c r="J787" s="589">
        <v>5392.9358300000004</v>
      </c>
      <c r="K787" s="589"/>
      <c r="L787" s="368">
        <v>466</v>
      </c>
      <c r="M787" s="589">
        <v>5392.9358300000004</v>
      </c>
      <c r="N787" s="6" t="s">
        <v>1660</v>
      </c>
      <c r="O787" s="353">
        <v>45649</v>
      </c>
      <c r="P787" s="33" t="str">
        <f>HYPERLINK("https://my.zakupivli.pro/remote/dispatcher/state_purchase_view/56101118", "UA-2024-12-23-019298-a")</f>
        <v>UA-2024-12-23-019298-a</v>
      </c>
      <c r="Q787" s="352"/>
      <c r="R787" s="352"/>
      <c r="S787" s="352"/>
      <c r="T787" s="353"/>
      <c r="U787" s="391" t="s">
        <v>1706</v>
      </c>
      <c r="V787" s="352"/>
    </row>
    <row r="788" spans="1:22" ht="78" x14ac:dyDescent="0.3">
      <c r="A788" s="352">
        <v>782</v>
      </c>
      <c r="B788" s="368" t="s">
        <v>21</v>
      </c>
      <c r="C788" s="44" t="s">
        <v>1656</v>
      </c>
      <c r="D788" s="395" t="s">
        <v>58</v>
      </c>
      <c r="E788" s="368" t="s">
        <v>75</v>
      </c>
      <c r="F788" s="44" t="s">
        <v>300</v>
      </c>
      <c r="G788" s="352" t="s">
        <v>186</v>
      </c>
      <c r="H788" s="589"/>
      <c r="I788" s="352">
        <v>166</v>
      </c>
      <c r="J788" s="589">
        <v>56083.5</v>
      </c>
      <c r="K788" s="589"/>
      <c r="L788" s="368">
        <v>166</v>
      </c>
      <c r="M788" s="589">
        <v>56083.5</v>
      </c>
      <c r="N788" s="6" t="s">
        <v>1661</v>
      </c>
      <c r="O788" s="369">
        <v>45649</v>
      </c>
      <c r="P788" s="33" t="str">
        <f>HYPERLINK("https://my.zakupivli.pro/remote/dispatcher/state_purchase_view/56084031", "UA-2024-12-23-011949-a")</f>
        <v>UA-2024-12-23-011949-a</v>
      </c>
      <c r="Q788" s="352"/>
      <c r="R788" s="352">
        <v>166</v>
      </c>
      <c r="S788" s="352">
        <v>51030.896650000002</v>
      </c>
      <c r="T788" s="353">
        <v>45673</v>
      </c>
      <c r="U788" s="352"/>
      <c r="V788" s="352"/>
    </row>
    <row r="789" spans="1:22" ht="124.8" x14ac:dyDescent="0.3">
      <c r="A789" s="352">
        <v>783</v>
      </c>
      <c r="B789" s="368" t="s">
        <v>40</v>
      </c>
      <c r="C789" s="44" t="s">
        <v>1659</v>
      </c>
      <c r="D789" s="395" t="s">
        <v>58</v>
      </c>
      <c r="E789" s="368" t="s">
        <v>75</v>
      </c>
      <c r="F789" s="44" t="s">
        <v>73</v>
      </c>
      <c r="G789" s="352" t="s">
        <v>184</v>
      </c>
      <c r="H789" s="589">
        <v>71.073759999999993</v>
      </c>
      <c r="I789" s="352">
        <v>1</v>
      </c>
      <c r="J789" s="589">
        <v>71.073759999999993</v>
      </c>
      <c r="K789" s="589">
        <v>71.073759999999993</v>
      </c>
      <c r="L789" s="368">
        <v>1</v>
      </c>
      <c r="M789" s="589">
        <v>71.073759999999993</v>
      </c>
      <c r="N789" s="6" t="s">
        <v>1662</v>
      </c>
      <c r="O789" s="369">
        <v>45649</v>
      </c>
      <c r="P789" s="33" t="str">
        <f>HYPERLINK("https://my.zakupivli.pro/remote/dispatcher/state_purchase_view/56070139", "UA-2024-12-23-005679-a")</f>
        <v>UA-2024-12-23-005679-a</v>
      </c>
      <c r="Q789" s="368">
        <v>71.073759999999993</v>
      </c>
      <c r="R789" s="368">
        <v>1</v>
      </c>
      <c r="S789" s="368">
        <v>71.073759999999993</v>
      </c>
      <c r="T789" s="369">
        <v>45649</v>
      </c>
      <c r="U789" s="352"/>
      <c r="V789" s="368" t="s">
        <v>59</v>
      </c>
    </row>
    <row r="790" spans="1:22" ht="93.6" x14ac:dyDescent="0.3">
      <c r="A790" s="352">
        <v>784</v>
      </c>
      <c r="B790" s="370" t="s">
        <v>21</v>
      </c>
      <c r="C790" s="44" t="s">
        <v>1663</v>
      </c>
      <c r="D790" s="395" t="s">
        <v>58</v>
      </c>
      <c r="E790" s="370" t="s">
        <v>75</v>
      </c>
      <c r="F790" s="223" t="s">
        <v>894</v>
      </c>
      <c r="G790" s="352" t="s">
        <v>186</v>
      </c>
      <c r="H790" s="589"/>
      <c r="I790" s="352">
        <v>23</v>
      </c>
      <c r="J790" s="589">
        <v>623.995</v>
      </c>
      <c r="K790" s="589"/>
      <c r="L790" s="370">
        <v>23</v>
      </c>
      <c r="M790" s="589">
        <v>623.995</v>
      </c>
      <c r="N790" s="6" t="s">
        <v>1664</v>
      </c>
      <c r="O790" s="353">
        <v>45650</v>
      </c>
      <c r="P790" s="42" t="str">
        <f>HYPERLINK("https://my.zakupivli.pro/remote/dispatcher/state_purchase_view/56149918", "UA-2024-12-24-017756-a")</f>
        <v>UA-2024-12-24-017756-a</v>
      </c>
      <c r="Q790" s="352"/>
      <c r="R790" s="352">
        <v>23</v>
      </c>
      <c r="S790" s="352">
        <v>601.33299999999997</v>
      </c>
      <c r="T790" s="353">
        <v>45665</v>
      </c>
      <c r="U790" s="352"/>
      <c r="V790" s="352"/>
    </row>
    <row r="791" spans="1:22" ht="124.8" x14ac:dyDescent="0.3">
      <c r="A791" s="352">
        <v>785</v>
      </c>
      <c r="B791" s="371" t="s">
        <v>21</v>
      </c>
      <c r="C791" s="44" t="s">
        <v>1665</v>
      </c>
      <c r="D791" s="395" t="s">
        <v>58</v>
      </c>
      <c r="E791" s="371" t="s">
        <v>75</v>
      </c>
      <c r="F791" s="44" t="s">
        <v>1670</v>
      </c>
      <c r="G791" s="352" t="s">
        <v>186</v>
      </c>
      <c r="H791" s="589"/>
      <c r="I791" s="352">
        <v>89</v>
      </c>
      <c r="J791" s="589">
        <v>7504.1666599999999</v>
      </c>
      <c r="K791" s="589"/>
      <c r="L791" s="371">
        <v>89</v>
      </c>
      <c r="M791" s="589">
        <v>7504.1666599999999</v>
      </c>
      <c r="N791" s="6" t="s">
        <v>1671</v>
      </c>
      <c r="O791" s="353">
        <v>45651</v>
      </c>
      <c r="P791" s="33" t="str">
        <f>HYPERLINK("https://my.zakupivli.pro/remote/dispatcher/state_purchase_view/56178120", "UA-2024-12-25-010078-a")</f>
        <v>UA-2024-12-25-010078-a</v>
      </c>
      <c r="Q791" s="352"/>
      <c r="R791" s="352">
        <v>89</v>
      </c>
      <c r="S791" s="1">
        <v>7041.9616599999999</v>
      </c>
      <c r="T791" s="353">
        <v>45686</v>
      </c>
      <c r="U791" s="352"/>
      <c r="V791" s="352"/>
    </row>
    <row r="792" spans="1:22" ht="124.8" x14ac:dyDescent="0.3">
      <c r="A792" s="352">
        <v>786</v>
      </c>
      <c r="B792" s="371" t="s">
        <v>21</v>
      </c>
      <c r="C792" s="44" t="s">
        <v>1666</v>
      </c>
      <c r="D792" s="395" t="s">
        <v>58</v>
      </c>
      <c r="E792" s="371" t="s">
        <v>75</v>
      </c>
      <c r="F792" s="44" t="s">
        <v>1670</v>
      </c>
      <c r="G792" s="352" t="s">
        <v>186</v>
      </c>
      <c r="H792" s="589"/>
      <c r="I792" s="352">
        <v>4</v>
      </c>
      <c r="J792" s="589">
        <v>65</v>
      </c>
      <c r="K792" s="589"/>
      <c r="L792" s="371">
        <v>4</v>
      </c>
      <c r="M792" s="589">
        <v>65</v>
      </c>
      <c r="N792" s="6" t="s">
        <v>1671</v>
      </c>
      <c r="O792" s="372">
        <v>45651</v>
      </c>
      <c r="P792" s="33" t="str">
        <f>HYPERLINK("https://my.zakupivli.pro/remote/dispatcher/state_purchase_view/56178120", "UA-2024-12-25-010078-a")</f>
        <v>UA-2024-12-25-010078-a</v>
      </c>
      <c r="Q792" s="352"/>
      <c r="R792" s="352">
        <v>4</v>
      </c>
      <c r="S792" s="352">
        <v>63.695</v>
      </c>
      <c r="T792" s="353">
        <v>45677</v>
      </c>
      <c r="U792" s="352"/>
      <c r="V792" s="352"/>
    </row>
    <row r="793" spans="1:22" ht="156" x14ac:dyDescent="0.3">
      <c r="A793" s="352">
        <v>787</v>
      </c>
      <c r="B793" s="371" t="s">
        <v>40</v>
      </c>
      <c r="C793" s="44" t="s">
        <v>1667</v>
      </c>
      <c r="D793" s="395"/>
      <c r="E793" s="371" t="s">
        <v>20</v>
      </c>
      <c r="F793" s="44" t="s">
        <v>41</v>
      </c>
      <c r="G793" s="352" t="s">
        <v>184</v>
      </c>
      <c r="H793" s="589">
        <v>66.326260000000005</v>
      </c>
      <c r="I793" s="352">
        <v>1</v>
      </c>
      <c r="J793" s="589">
        <v>66.326260000000005</v>
      </c>
      <c r="K793" s="589">
        <v>66.326260000000005</v>
      </c>
      <c r="L793" s="371">
        <v>1</v>
      </c>
      <c r="M793" s="589">
        <v>66.326260000000005</v>
      </c>
      <c r="N793" s="6" t="s">
        <v>1672</v>
      </c>
      <c r="O793" s="372">
        <v>45651</v>
      </c>
      <c r="P793" s="33" t="str">
        <f>HYPERLINK("https://my.zakupivli.pro/remote/dispatcher/state_purchase_view/56165938", "UA-2024-12-25-004680-a")</f>
        <v>UA-2024-12-25-004680-a</v>
      </c>
      <c r="Q793" s="371">
        <v>66.326260000000005</v>
      </c>
      <c r="R793" s="371">
        <v>1</v>
      </c>
      <c r="S793" s="371">
        <v>66.326260000000005</v>
      </c>
      <c r="T793" s="353">
        <v>45651</v>
      </c>
      <c r="U793" s="352"/>
      <c r="V793" s="371" t="s">
        <v>59</v>
      </c>
    </row>
    <row r="794" spans="1:22" ht="156" x14ac:dyDescent="0.3">
      <c r="A794" s="352">
        <v>788</v>
      </c>
      <c r="B794" s="371" t="s">
        <v>40</v>
      </c>
      <c r="C794" s="44" t="s">
        <v>1668</v>
      </c>
      <c r="D794" s="395"/>
      <c r="E794" s="371" t="s">
        <v>20</v>
      </c>
      <c r="F794" s="44" t="s">
        <v>884</v>
      </c>
      <c r="G794" s="352" t="s">
        <v>184</v>
      </c>
      <c r="H794" s="589">
        <v>672.66476</v>
      </c>
      <c r="I794" s="352">
        <v>1</v>
      </c>
      <c r="J794" s="589">
        <v>672.66476</v>
      </c>
      <c r="K794" s="589">
        <v>672.66476</v>
      </c>
      <c r="L794" s="371">
        <v>1</v>
      </c>
      <c r="M794" s="589">
        <v>672.66476</v>
      </c>
      <c r="N794" s="6" t="s">
        <v>1673</v>
      </c>
      <c r="O794" s="372">
        <v>45651</v>
      </c>
      <c r="P794" s="33" t="str">
        <f>HYPERLINK("https://my.zakupivli.pro/remote/dispatcher/state_purchase_view/56157266", "UA-2024-12-25-000652-a")</f>
        <v>UA-2024-12-25-000652-a</v>
      </c>
      <c r="Q794" s="371">
        <v>672.66476</v>
      </c>
      <c r="R794" s="371">
        <v>1</v>
      </c>
      <c r="S794" s="371">
        <v>672.66476</v>
      </c>
      <c r="T794" s="372">
        <v>45651</v>
      </c>
      <c r="U794" s="352"/>
      <c r="V794" s="371" t="s">
        <v>59</v>
      </c>
    </row>
    <row r="795" spans="1:22" ht="109.2" x14ac:dyDescent="0.3">
      <c r="A795" s="352">
        <v>789</v>
      </c>
      <c r="B795" s="371" t="s">
        <v>21</v>
      </c>
      <c r="C795" s="44" t="s">
        <v>1669</v>
      </c>
      <c r="D795" s="395" t="s">
        <v>58</v>
      </c>
      <c r="E795" s="371" t="s">
        <v>75</v>
      </c>
      <c r="F795" s="44" t="s">
        <v>36</v>
      </c>
      <c r="G795" s="352" t="s">
        <v>186</v>
      </c>
      <c r="H795" s="589"/>
      <c r="I795" s="352">
        <v>139</v>
      </c>
      <c r="J795" s="589">
        <v>12680.833329999999</v>
      </c>
      <c r="K795" s="589"/>
      <c r="L795" s="371">
        <v>139</v>
      </c>
      <c r="M795" s="589">
        <v>12680.833329999999</v>
      </c>
      <c r="N795" s="6" t="s">
        <v>1674</v>
      </c>
      <c r="O795" s="372">
        <v>45651</v>
      </c>
      <c r="P795" s="33" t="str">
        <f>HYPERLINK("https://my.zakupivli.pro/remote/dispatcher/state_purchase_view/56156900", "UA-2024-12-25-000472-a")</f>
        <v>UA-2024-12-25-000472-a</v>
      </c>
      <c r="Q795" s="352"/>
      <c r="R795" s="352">
        <v>139</v>
      </c>
      <c r="S795" s="352">
        <v>12302.7731</v>
      </c>
      <c r="T795" s="353">
        <v>45677</v>
      </c>
      <c r="U795" s="352"/>
      <c r="V795" s="352"/>
    </row>
    <row r="796" spans="1:22" ht="62.4" x14ac:dyDescent="0.3">
      <c r="A796" s="352">
        <v>790</v>
      </c>
      <c r="B796" s="374" t="s">
        <v>21</v>
      </c>
      <c r="C796" s="44" t="s">
        <v>1675</v>
      </c>
      <c r="D796" s="395" t="s">
        <v>58</v>
      </c>
      <c r="E796" s="374" t="s">
        <v>75</v>
      </c>
      <c r="F796" s="44" t="s">
        <v>30</v>
      </c>
      <c r="G796" s="352" t="s">
        <v>186</v>
      </c>
      <c r="H796" s="589"/>
      <c r="I796" s="352">
        <v>42</v>
      </c>
      <c r="J796" s="589">
        <v>6340.9613900000004</v>
      </c>
      <c r="K796" s="589"/>
      <c r="L796" s="374">
        <v>42</v>
      </c>
      <c r="M796" s="589">
        <v>6340.9613900000004</v>
      </c>
      <c r="N796" s="6" t="s">
        <v>1678</v>
      </c>
      <c r="O796" s="353">
        <v>45652</v>
      </c>
      <c r="P796" s="33" t="str">
        <f>HYPERLINK("https://my.zakupivli.pro/remote/dispatcher/state_purchase_view/56211568", "UA-2024-12-26-010326-a")</f>
        <v>UA-2024-12-26-010326-a</v>
      </c>
      <c r="Q796" s="352"/>
      <c r="R796" s="352">
        <v>42</v>
      </c>
      <c r="S796" s="352">
        <v>6105.2520000000004</v>
      </c>
      <c r="T796" s="353">
        <v>45673</v>
      </c>
      <c r="U796" s="352"/>
      <c r="V796" s="352"/>
    </row>
    <row r="797" spans="1:22" ht="43.2" x14ac:dyDescent="0.3">
      <c r="A797" s="352">
        <v>791</v>
      </c>
      <c r="B797" s="374" t="s">
        <v>21</v>
      </c>
      <c r="C797" s="44" t="s">
        <v>30</v>
      </c>
      <c r="D797" s="395" t="s">
        <v>58</v>
      </c>
      <c r="E797" s="374" t="s">
        <v>75</v>
      </c>
      <c r="F797" s="44" t="s">
        <v>2199</v>
      </c>
      <c r="G797" s="352" t="s">
        <v>186</v>
      </c>
      <c r="H797" s="589"/>
      <c r="I797" s="352">
        <v>100</v>
      </c>
      <c r="J797" s="589">
        <v>6085.1333299999997</v>
      </c>
      <c r="K797" s="589"/>
      <c r="L797" s="374">
        <v>100</v>
      </c>
      <c r="M797" s="589">
        <v>6085.1333299999997</v>
      </c>
      <c r="N797" s="6" t="s">
        <v>1679</v>
      </c>
      <c r="O797" s="373">
        <v>45652</v>
      </c>
      <c r="P797" s="33" t="str">
        <f>HYPERLINK("https://my.zakupivli.pro/remote/dispatcher/state_purchase_view/56211568", "UA-2024-12-26-010326-a")</f>
        <v>UA-2024-12-26-010326-a</v>
      </c>
      <c r="Q797" s="352"/>
      <c r="R797" s="352">
        <v>100</v>
      </c>
      <c r="S797" s="352">
        <v>6031.9987499999997</v>
      </c>
      <c r="T797" s="353">
        <v>45673</v>
      </c>
      <c r="U797" s="352"/>
      <c r="V797" s="352"/>
    </row>
    <row r="798" spans="1:22" ht="62.4" x14ac:dyDescent="0.3">
      <c r="A798" s="352">
        <v>792</v>
      </c>
      <c r="B798" s="352" t="s">
        <v>40</v>
      </c>
      <c r="C798" s="44" t="s">
        <v>884</v>
      </c>
      <c r="D798" s="352"/>
      <c r="E798" s="374" t="s">
        <v>20</v>
      </c>
      <c r="F798" s="44" t="s">
        <v>2198</v>
      </c>
      <c r="G798" s="352" t="s">
        <v>184</v>
      </c>
      <c r="H798" s="589">
        <v>55.763150000000003</v>
      </c>
      <c r="I798" s="352">
        <v>1</v>
      </c>
      <c r="J798" s="589">
        <v>55.763150000000003</v>
      </c>
      <c r="K798" s="589">
        <v>55.763150000000003</v>
      </c>
      <c r="L798" s="374">
        <v>1</v>
      </c>
      <c r="M798" s="589">
        <v>55.763150000000003</v>
      </c>
      <c r="N798" s="6" t="s">
        <v>1680</v>
      </c>
      <c r="O798" s="373">
        <v>45652</v>
      </c>
      <c r="P798" s="33" t="str">
        <f>HYPERLINK("https://my.zakupivli.pro/remote/dispatcher/state_purchase_view/56208279", "UA-2024-12-26-008861-a")</f>
        <v>UA-2024-12-26-008861-a</v>
      </c>
      <c r="Q798" s="374">
        <v>55.763150000000003</v>
      </c>
      <c r="R798" s="374">
        <v>1</v>
      </c>
      <c r="S798" s="374">
        <v>55.763150000000003</v>
      </c>
      <c r="T798" s="353">
        <v>45652</v>
      </c>
      <c r="U798" s="352"/>
      <c r="V798" s="374" t="s">
        <v>59</v>
      </c>
    </row>
    <row r="799" spans="1:22" ht="62.4" x14ac:dyDescent="0.3">
      <c r="A799" s="352">
        <v>793</v>
      </c>
      <c r="B799" s="374" t="s">
        <v>21</v>
      </c>
      <c r="C799" s="44" t="s">
        <v>2011</v>
      </c>
      <c r="D799" s="352"/>
      <c r="E799" s="374" t="s">
        <v>20</v>
      </c>
      <c r="F799" s="44" t="s">
        <v>1629</v>
      </c>
      <c r="G799" s="352" t="s">
        <v>185</v>
      </c>
      <c r="H799" s="589">
        <v>43.75</v>
      </c>
      <c r="I799" s="352">
        <v>1</v>
      </c>
      <c r="J799" s="589">
        <v>43.75</v>
      </c>
      <c r="K799" s="589">
        <v>43.75</v>
      </c>
      <c r="L799" s="374">
        <v>1</v>
      </c>
      <c r="M799" s="589">
        <v>43.75</v>
      </c>
      <c r="N799" s="6" t="s">
        <v>1681</v>
      </c>
      <c r="O799" s="373">
        <v>45652</v>
      </c>
      <c r="P799" s="33" t="str">
        <f>HYPERLINK("https://my.zakupivli.pro/remote/dispatcher/state_purchase_view/56204817", "UA-2024-12-26-007271-a")</f>
        <v>UA-2024-12-26-007271-a</v>
      </c>
      <c r="Q799" s="117">
        <v>43.75</v>
      </c>
      <c r="R799" s="374">
        <v>1</v>
      </c>
      <c r="S799" s="117">
        <v>43.75</v>
      </c>
      <c r="T799" s="373">
        <v>45652</v>
      </c>
      <c r="U799" s="352"/>
      <c r="V799" s="374" t="s">
        <v>59</v>
      </c>
    </row>
    <row r="800" spans="1:22" ht="62.4" x14ac:dyDescent="0.3">
      <c r="A800" s="352">
        <v>794</v>
      </c>
      <c r="B800" s="374" t="s">
        <v>21</v>
      </c>
      <c r="C800" s="44" t="s">
        <v>2001</v>
      </c>
      <c r="D800" s="352"/>
      <c r="E800" s="374" t="s">
        <v>20</v>
      </c>
      <c r="F800" s="44" t="s">
        <v>1676</v>
      </c>
      <c r="G800" s="352" t="s">
        <v>185</v>
      </c>
      <c r="H800" s="589">
        <v>71.625</v>
      </c>
      <c r="I800" s="352">
        <v>1</v>
      </c>
      <c r="J800" s="589">
        <v>71.625</v>
      </c>
      <c r="K800" s="589">
        <v>71.625</v>
      </c>
      <c r="L800" s="374">
        <v>1</v>
      </c>
      <c r="M800" s="589">
        <v>71.625</v>
      </c>
      <c r="N800" s="6" t="s">
        <v>1682</v>
      </c>
      <c r="O800" s="373">
        <v>45652</v>
      </c>
      <c r="P800" s="33" t="str">
        <f>HYPERLINK("https://my.zakupivli.pro/remote/dispatcher/state_purchase_view/56204127", "UA-2024-12-26-006943-a")</f>
        <v>UA-2024-12-26-006943-a</v>
      </c>
      <c r="Q800" s="374">
        <v>71.625</v>
      </c>
      <c r="R800" s="374">
        <v>1</v>
      </c>
      <c r="S800" s="374">
        <v>71.625</v>
      </c>
      <c r="T800" s="373">
        <v>45652</v>
      </c>
      <c r="U800" s="352"/>
      <c r="V800" s="374" t="s">
        <v>59</v>
      </c>
    </row>
    <row r="801" spans="1:22" ht="46.8" x14ac:dyDescent="0.3">
      <c r="A801" s="352">
        <v>795</v>
      </c>
      <c r="B801" s="446" t="s">
        <v>21</v>
      </c>
      <c r="C801" s="452" t="s">
        <v>1677</v>
      </c>
      <c r="D801" s="446" t="s">
        <v>58</v>
      </c>
      <c r="E801" s="446" t="s">
        <v>20</v>
      </c>
      <c r="F801" s="452" t="s">
        <v>2197</v>
      </c>
      <c r="G801" s="352" t="s">
        <v>186</v>
      </c>
      <c r="H801" s="589"/>
      <c r="I801" s="352">
        <v>10</v>
      </c>
      <c r="J801" s="589">
        <v>367.95958000000002</v>
      </c>
      <c r="K801" s="589"/>
      <c r="L801" s="374">
        <v>10</v>
      </c>
      <c r="M801" s="589">
        <v>367.95958000000002</v>
      </c>
      <c r="N801" s="6" t="s">
        <v>1683</v>
      </c>
      <c r="O801" s="373">
        <v>45652</v>
      </c>
      <c r="P801" s="33" t="str">
        <f>HYPERLINK("https://my.zakupivli.pro/remote/dispatcher/state_purchase_view/56200541", "UA-2024-12-26-005498-a")</f>
        <v>UA-2024-12-26-005498-a</v>
      </c>
      <c r="Q801" s="352"/>
      <c r="R801" s="352">
        <v>10</v>
      </c>
      <c r="S801" s="352">
        <v>353.78789999999998</v>
      </c>
      <c r="T801" s="353">
        <v>45670</v>
      </c>
      <c r="U801" s="352"/>
      <c r="V801" s="352"/>
    </row>
    <row r="802" spans="1:22" ht="46.8" x14ac:dyDescent="0.3">
      <c r="A802" s="352">
        <v>796</v>
      </c>
      <c r="B802" s="375" t="s">
        <v>21</v>
      </c>
      <c r="C802" s="44" t="s">
        <v>1684</v>
      </c>
      <c r="D802" s="395" t="s">
        <v>58</v>
      </c>
      <c r="E802" s="375" t="s">
        <v>20</v>
      </c>
      <c r="F802" s="44" t="s">
        <v>2196</v>
      </c>
      <c r="G802" s="352" t="s">
        <v>186</v>
      </c>
      <c r="H802" s="589"/>
      <c r="I802" s="352">
        <v>12</v>
      </c>
      <c r="J802" s="589">
        <v>1073.48</v>
      </c>
      <c r="K802" s="589"/>
      <c r="L802" s="375">
        <v>12</v>
      </c>
      <c r="M802" s="589">
        <v>1073.48</v>
      </c>
      <c r="N802" s="6" t="s">
        <v>1685</v>
      </c>
      <c r="O802" s="353">
        <v>45656</v>
      </c>
      <c r="P802" s="33" t="str">
        <f>HYPERLINK("https://my.zakupivli.pro/remote/dispatcher/state_purchase_view/56282686", "UA-2024-12-30-006675-a")</f>
        <v>UA-2024-12-30-006675-a</v>
      </c>
      <c r="Q802" s="352"/>
      <c r="R802" s="352">
        <v>12</v>
      </c>
      <c r="S802" s="352">
        <v>1073.48</v>
      </c>
      <c r="T802" s="353">
        <v>45670</v>
      </c>
      <c r="U802" s="352"/>
      <c r="V802" s="352"/>
    </row>
    <row r="803" spans="1:22" ht="62.4" x14ac:dyDescent="0.3">
      <c r="A803" s="352">
        <v>797</v>
      </c>
      <c r="B803" s="376" t="s">
        <v>40</v>
      </c>
      <c r="C803" s="44" t="s">
        <v>884</v>
      </c>
      <c r="D803" s="352"/>
      <c r="E803" s="376" t="s">
        <v>20</v>
      </c>
      <c r="F803" s="44" t="s">
        <v>2195</v>
      </c>
      <c r="G803" s="376" t="s">
        <v>184</v>
      </c>
      <c r="H803" s="589">
        <v>111.44601</v>
      </c>
      <c r="I803" s="352">
        <v>1</v>
      </c>
      <c r="J803" s="589">
        <v>111.44601</v>
      </c>
      <c r="K803" s="589">
        <v>111.44601</v>
      </c>
      <c r="L803" s="376">
        <v>1</v>
      </c>
      <c r="M803" s="589">
        <v>111.44601</v>
      </c>
      <c r="N803" s="6" t="s">
        <v>1689</v>
      </c>
      <c r="O803" s="353">
        <v>45660</v>
      </c>
      <c r="P803" s="33" t="str">
        <f>HYPERLINK("https://my.zakupivli.pro/remote/dispatcher/state_purchase_view/56334714", "UA-2025-01-03-000698-a")</f>
        <v>UA-2025-01-03-000698-a</v>
      </c>
      <c r="Q803" s="376">
        <v>111.44601</v>
      </c>
      <c r="R803" s="376">
        <v>1</v>
      </c>
      <c r="S803" s="376">
        <v>111.44601</v>
      </c>
      <c r="T803" s="353">
        <v>45657</v>
      </c>
      <c r="U803" s="352"/>
      <c r="V803" s="376" t="s">
        <v>59</v>
      </c>
    </row>
    <row r="804" spans="1:22" ht="62.4" x14ac:dyDescent="0.3">
      <c r="A804" s="352">
        <v>798</v>
      </c>
      <c r="B804" s="446" t="s">
        <v>40</v>
      </c>
      <c r="C804" s="452" t="s">
        <v>884</v>
      </c>
      <c r="D804" s="446"/>
      <c r="E804" s="446" t="s">
        <v>20</v>
      </c>
      <c r="F804" s="452" t="s">
        <v>1686</v>
      </c>
      <c r="G804" s="376" t="s">
        <v>184</v>
      </c>
      <c r="H804" s="589">
        <v>47.140090000000001</v>
      </c>
      <c r="I804" s="352">
        <v>1</v>
      </c>
      <c r="J804" s="589">
        <v>47.140090000000001</v>
      </c>
      <c r="K804" s="589">
        <v>47.140090000000001</v>
      </c>
      <c r="L804" s="376">
        <v>1</v>
      </c>
      <c r="M804" s="589">
        <v>47.140090000000001</v>
      </c>
      <c r="N804" s="6" t="s">
        <v>1690</v>
      </c>
      <c r="O804" s="377">
        <v>45660</v>
      </c>
      <c r="P804" s="33" t="str">
        <f>HYPERLINK("https://my.zakupivli.pro/remote/dispatcher/state_purchase_view/56334419", "UA-2025-01-03-000567-a")</f>
        <v>UA-2025-01-03-000567-a</v>
      </c>
      <c r="Q804" s="376">
        <v>47.140090000000001</v>
      </c>
      <c r="R804" s="376">
        <v>1</v>
      </c>
      <c r="S804" s="376">
        <v>47.140090000000001</v>
      </c>
      <c r="T804" s="377">
        <v>45657</v>
      </c>
      <c r="U804" s="352"/>
      <c r="V804" s="376" t="s">
        <v>59</v>
      </c>
    </row>
    <row r="805" spans="1:22" ht="62.4" x14ac:dyDescent="0.3">
      <c r="A805" s="352">
        <v>799</v>
      </c>
      <c r="B805" s="376" t="s">
        <v>40</v>
      </c>
      <c r="C805" s="44" t="s">
        <v>1991</v>
      </c>
      <c r="D805" s="352"/>
      <c r="E805" s="376" t="s">
        <v>20</v>
      </c>
      <c r="F805" s="44" t="s">
        <v>1687</v>
      </c>
      <c r="G805" s="376" t="s">
        <v>184</v>
      </c>
      <c r="H805" s="589">
        <v>662.97909000000004</v>
      </c>
      <c r="I805" s="352">
        <v>1</v>
      </c>
      <c r="J805" s="589">
        <v>662.97909000000004</v>
      </c>
      <c r="K805" s="589">
        <v>662.97909000000004</v>
      </c>
      <c r="L805" s="376">
        <v>1</v>
      </c>
      <c r="M805" s="589">
        <v>662.97909000000004</v>
      </c>
      <c r="N805" s="6" t="s">
        <v>1691</v>
      </c>
      <c r="O805" s="353">
        <v>45659</v>
      </c>
      <c r="P805" s="33" t="str">
        <f>HYPERLINK("https://my.zakupivli.pro/remote/dispatcher/state_purchase_view/56333751", "UA-2025-01-03-000294-a")</f>
        <v>UA-2025-01-03-000294-a</v>
      </c>
      <c r="Q805" s="376">
        <v>662.97909000000004</v>
      </c>
      <c r="R805" s="376">
        <v>1</v>
      </c>
      <c r="S805" s="376">
        <v>662.97909000000004</v>
      </c>
      <c r="T805" s="377">
        <v>45659</v>
      </c>
      <c r="U805" s="352"/>
      <c r="V805" s="376" t="s">
        <v>59</v>
      </c>
    </row>
    <row r="806" spans="1:22" ht="62.4" x14ac:dyDescent="0.3">
      <c r="A806" s="352">
        <v>800</v>
      </c>
      <c r="B806" s="376" t="s">
        <v>40</v>
      </c>
      <c r="C806" s="44" t="s">
        <v>884</v>
      </c>
      <c r="D806" s="352"/>
      <c r="E806" s="376" t="s">
        <v>20</v>
      </c>
      <c r="F806" s="44" t="s">
        <v>2194</v>
      </c>
      <c r="G806" s="376" t="s">
        <v>184</v>
      </c>
      <c r="H806" s="589">
        <v>514.31356000000005</v>
      </c>
      <c r="I806" s="352">
        <v>1</v>
      </c>
      <c r="J806" s="589">
        <v>514.31356000000005</v>
      </c>
      <c r="K806" s="589">
        <v>514.31356000000005</v>
      </c>
      <c r="L806" s="376">
        <v>1</v>
      </c>
      <c r="M806" s="589">
        <v>514.31356000000005</v>
      </c>
      <c r="N806" s="6" t="s">
        <v>1692</v>
      </c>
      <c r="O806" s="377">
        <v>45659</v>
      </c>
      <c r="P806" s="33" t="str">
        <f>HYPERLINK("https://my.zakupivli.pro/remote/dispatcher/state_purchase_view/56325016", "UA-2025-01-02-003891-a")</f>
        <v>UA-2025-01-02-003891-a</v>
      </c>
      <c r="Q806" s="376">
        <v>514.31356000000005</v>
      </c>
      <c r="R806" s="376">
        <v>1</v>
      </c>
      <c r="S806" s="376">
        <v>514.31356000000005</v>
      </c>
      <c r="T806" s="377">
        <v>45659</v>
      </c>
      <c r="U806" s="352"/>
      <c r="V806" s="376" t="s">
        <v>59</v>
      </c>
    </row>
    <row r="807" spans="1:22" ht="62.4" x14ac:dyDescent="0.3">
      <c r="A807" s="352">
        <v>801</v>
      </c>
      <c r="B807" s="446" t="s">
        <v>40</v>
      </c>
      <c r="C807" s="452" t="s">
        <v>1991</v>
      </c>
      <c r="D807" s="446"/>
      <c r="E807" s="446" t="s">
        <v>20</v>
      </c>
      <c r="F807" s="452" t="s">
        <v>1688</v>
      </c>
      <c r="G807" s="376" t="s">
        <v>184</v>
      </c>
      <c r="H807" s="589">
        <v>62.57461</v>
      </c>
      <c r="I807" s="352">
        <v>1</v>
      </c>
      <c r="J807" s="589">
        <v>62.57461</v>
      </c>
      <c r="K807" s="589">
        <v>62.57461</v>
      </c>
      <c r="L807" s="376">
        <v>1</v>
      </c>
      <c r="M807" s="589">
        <v>62.57461</v>
      </c>
      <c r="N807" s="6" t="s">
        <v>1693</v>
      </c>
      <c r="O807" s="353">
        <v>45659</v>
      </c>
      <c r="P807" s="33" t="str">
        <f>HYPERLINK("https://my.zakupivli.pro/remote/dispatcher/state_purchase_view/56319993", "UA-2025-01-02-001786-a")</f>
        <v>UA-2025-01-02-001786-a</v>
      </c>
      <c r="Q807" s="376">
        <v>62.57461</v>
      </c>
      <c r="R807" s="376">
        <v>1</v>
      </c>
      <c r="S807" s="376">
        <v>62.57461</v>
      </c>
      <c r="T807" s="377">
        <v>45657</v>
      </c>
      <c r="U807" s="352"/>
      <c r="V807" s="376" t="s">
        <v>59</v>
      </c>
    </row>
    <row r="808" spans="1:22" ht="188.4" customHeight="1" x14ac:dyDescent="0.3">
      <c r="A808" s="352">
        <v>802</v>
      </c>
      <c r="B808" s="376" t="s">
        <v>40</v>
      </c>
      <c r="C808" s="44" t="s">
        <v>41</v>
      </c>
      <c r="D808" s="352"/>
      <c r="E808" s="376" t="s">
        <v>20</v>
      </c>
      <c r="F808" s="44" t="s">
        <v>2193</v>
      </c>
      <c r="G808" s="376" t="s">
        <v>184</v>
      </c>
      <c r="H808" s="589">
        <v>45.181690000000003</v>
      </c>
      <c r="I808" s="352">
        <v>1</v>
      </c>
      <c r="J808" s="589">
        <v>45.181690000000003</v>
      </c>
      <c r="K808" s="589">
        <v>45.181690000000003</v>
      </c>
      <c r="L808" s="376">
        <v>1</v>
      </c>
      <c r="M808" s="589">
        <v>45.181690000000003</v>
      </c>
      <c r="N808" s="6" t="s">
        <v>1694</v>
      </c>
      <c r="O808" s="377">
        <v>45659</v>
      </c>
      <c r="P808" s="33" t="str">
        <f>HYPERLINK("https://my.zakupivli.pro/remote/dispatcher/state_purchase_view/56319028", "UA-2025-01-02-001375-a")</f>
        <v>UA-2025-01-02-001375-a</v>
      </c>
      <c r="Q808" s="376">
        <v>45.181690000000003</v>
      </c>
      <c r="R808" s="376">
        <v>1</v>
      </c>
      <c r="S808" s="376">
        <v>45.181690000000003</v>
      </c>
      <c r="T808" s="377">
        <v>45657</v>
      </c>
      <c r="U808" s="352"/>
      <c r="V808" s="376" t="s">
        <v>59</v>
      </c>
    </row>
    <row r="809" spans="1:22" ht="43.2" x14ac:dyDescent="0.3">
      <c r="A809" s="352">
        <v>803</v>
      </c>
      <c r="B809" s="376" t="s">
        <v>21</v>
      </c>
      <c r="C809" s="44" t="s">
        <v>176</v>
      </c>
      <c r="D809" s="395" t="s">
        <v>58</v>
      </c>
      <c r="E809" s="376" t="s">
        <v>75</v>
      </c>
      <c r="F809" s="44" t="s">
        <v>2192</v>
      </c>
      <c r="G809" s="352" t="s">
        <v>186</v>
      </c>
      <c r="H809" s="589"/>
      <c r="I809" s="352">
        <v>8</v>
      </c>
      <c r="J809" s="589">
        <v>6134.9338399999997</v>
      </c>
      <c r="K809" s="589"/>
      <c r="L809" s="376">
        <v>8</v>
      </c>
      <c r="M809" s="589">
        <v>6134.9338399999997</v>
      </c>
      <c r="N809" s="6" t="s">
        <v>1699</v>
      </c>
      <c r="O809" s="377">
        <v>45659</v>
      </c>
      <c r="P809" s="33" t="str">
        <f>HYPERLINK("https://my.zakupivli.pro/remote/dispatcher/state_purchase_view/56343850", "UA-2025-01-03-004740-a")</f>
        <v>UA-2025-01-03-004740-a</v>
      </c>
      <c r="Q809" s="352"/>
      <c r="R809" s="352"/>
      <c r="S809" s="352"/>
      <c r="T809" s="353"/>
      <c r="U809" s="352" t="s">
        <v>1704</v>
      </c>
      <c r="V809" s="352"/>
    </row>
    <row r="810" spans="1:22" ht="43.2" x14ac:dyDescent="0.3">
      <c r="A810" s="352">
        <v>804</v>
      </c>
      <c r="B810" s="376" t="s">
        <v>21</v>
      </c>
      <c r="C810" s="44" t="s">
        <v>969</v>
      </c>
      <c r="D810" s="395" t="s">
        <v>58</v>
      </c>
      <c r="E810" s="376" t="s">
        <v>75</v>
      </c>
      <c r="F810" s="44" t="s">
        <v>2191</v>
      </c>
      <c r="G810" s="352" t="s">
        <v>186</v>
      </c>
      <c r="H810" s="589"/>
      <c r="I810" s="352">
        <v>7</v>
      </c>
      <c r="J810" s="589">
        <v>701.4</v>
      </c>
      <c r="K810" s="589"/>
      <c r="L810" s="376">
        <v>7</v>
      </c>
      <c r="M810" s="589">
        <v>701.4</v>
      </c>
      <c r="N810" s="6" t="s">
        <v>1700</v>
      </c>
      <c r="O810" s="377">
        <v>45659</v>
      </c>
      <c r="P810" s="33" t="str">
        <f>HYPERLINK("https://my.zakupivli.pro/remote/dispatcher/state_purchase_view/56341932", "UA-2025-01-03-003984-a")</f>
        <v>UA-2025-01-03-003984-a</v>
      </c>
      <c r="Q810" s="352"/>
      <c r="R810" s="352"/>
      <c r="S810" s="352"/>
      <c r="T810" s="353"/>
      <c r="U810" s="352" t="s">
        <v>1793</v>
      </c>
      <c r="V810" s="352"/>
    </row>
    <row r="811" spans="1:22" ht="43.2" x14ac:dyDescent="0.3">
      <c r="A811" s="352">
        <v>805</v>
      </c>
      <c r="B811" s="446" t="s">
        <v>21</v>
      </c>
      <c r="C811" s="452" t="s">
        <v>2190</v>
      </c>
      <c r="D811" s="446" t="s">
        <v>58</v>
      </c>
      <c r="E811" s="446" t="s">
        <v>75</v>
      </c>
      <c r="F811" s="452" t="s">
        <v>1696</v>
      </c>
      <c r="G811" s="352" t="s">
        <v>186</v>
      </c>
      <c r="H811" s="589"/>
      <c r="I811" s="352">
        <v>7</v>
      </c>
      <c r="J811" s="589">
        <v>225.74142000000001</v>
      </c>
      <c r="K811" s="589"/>
      <c r="L811" s="376">
        <v>7</v>
      </c>
      <c r="M811" s="589">
        <v>225.74142000000001</v>
      </c>
      <c r="N811" s="6" t="s">
        <v>1701</v>
      </c>
      <c r="O811" s="377">
        <v>45659</v>
      </c>
      <c r="P811" s="33" t="str">
        <f>HYPERLINK("https://my.zakupivli.pro/remote/dispatcher/state_purchase_view/56341932", "UA-2025-01-03-003984-a")</f>
        <v>UA-2025-01-03-003984-a</v>
      </c>
      <c r="Q811" s="352"/>
      <c r="R811" s="352">
        <v>7</v>
      </c>
      <c r="S811" s="352">
        <v>201.99799999999999</v>
      </c>
      <c r="T811" s="353">
        <v>45687</v>
      </c>
      <c r="U811" s="352"/>
      <c r="V811" s="352"/>
    </row>
    <row r="812" spans="1:22" ht="43.2" x14ac:dyDescent="0.3">
      <c r="A812" s="352">
        <v>806</v>
      </c>
      <c r="B812" s="376" t="s">
        <v>21</v>
      </c>
      <c r="C812" s="44" t="s">
        <v>2190</v>
      </c>
      <c r="D812" s="395" t="s">
        <v>58</v>
      </c>
      <c r="E812" s="376" t="s">
        <v>75</v>
      </c>
      <c r="F812" s="44" t="s">
        <v>1697</v>
      </c>
      <c r="G812" s="352" t="s">
        <v>186</v>
      </c>
      <c r="H812" s="589"/>
      <c r="I812" s="352">
        <v>28</v>
      </c>
      <c r="J812" s="589">
        <v>137.03142</v>
      </c>
      <c r="K812" s="589"/>
      <c r="L812" s="376">
        <v>28</v>
      </c>
      <c r="M812" s="589">
        <v>137.03142</v>
      </c>
      <c r="N812" s="6" t="s">
        <v>1702</v>
      </c>
      <c r="O812" s="377">
        <v>45659</v>
      </c>
      <c r="P812" s="33" t="str">
        <f>HYPERLINK("https://my.zakupivli.pro/remote/dispatcher/state_purchase_view/56341932", "UA-2025-01-03-003984-a")</f>
        <v>UA-2025-01-03-003984-a</v>
      </c>
      <c r="Q812" s="352"/>
      <c r="R812" s="352">
        <v>28</v>
      </c>
      <c r="S812" s="352">
        <v>132.8665</v>
      </c>
      <c r="T812" s="353">
        <v>45679</v>
      </c>
      <c r="U812" s="352"/>
      <c r="V812" s="352"/>
    </row>
    <row r="813" spans="1:22" ht="43.2" x14ac:dyDescent="0.3">
      <c r="A813" s="352">
        <v>807</v>
      </c>
      <c r="B813" s="376" t="s">
        <v>21</v>
      </c>
      <c r="C813" s="44" t="s">
        <v>2190</v>
      </c>
      <c r="D813" s="395" t="s">
        <v>58</v>
      </c>
      <c r="E813" s="376" t="s">
        <v>75</v>
      </c>
      <c r="F813" s="44" t="s">
        <v>1698</v>
      </c>
      <c r="G813" s="352" t="s">
        <v>186</v>
      </c>
      <c r="H813" s="589"/>
      <c r="I813" s="352">
        <v>4</v>
      </c>
      <c r="J813" s="589">
        <v>86.76</v>
      </c>
      <c r="K813" s="589"/>
      <c r="L813" s="376">
        <v>4</v>
      </c>
      <c r="M813" s="589">
        <v>86.76</v>
      </c>
      <c r="N813" s="6" t="s">
        <v>1703</v>
      </c>
      <c r="O813" s="377">
        <v>45659</v>
      </c>
      <c r="P813" s="33" t="str">
        <f>HYPERLINK("https://my.zakupivli.pro/remote/dispatcher/state_purchase_view/56341932", "UA-2025-01-03-003984-a")</f>
        <v>UA-2025-01-03-003984-a</v>
      </c>
      <c r="Q813" s="352"/>
      <c r="R813" s="352"/>
      <c r="S813" s="352"/>
      <c r="T813" s="353"/>
      <c r="U813" s="399" t="s">
        <v>1793</v>
      </c>
      <c r="V813" s="352"/>
    </row>
    <row r="814" spans="1:22" ht="43.2" x14ac:dyDescent="0.3">
      <c r="A814" s="352">
        <v>808</v>
      </c>
      <c r="B814" s="378" t="s">
        <v>21</v>
      </c>
      <c r="C814" s="44" t="s">
        <v>2037</v>
      </c>
      <c r="D814" s="395" t="s">
        <v>58</v>
      </c>
      <c r="E814" s="378" t="s">
        <v>75</v>
      </c>
      <c r="F814" s="44" t="s">
        <v>1695</v>
      </c>
      <c r="G814" s="378" t="s">
        <v>186</v>
      </c>
      <c r="H814" s="589"/>
      <c r="I814" s="378">
        <v>8</v>
      </c>
      <c r="J814" s="589">
        <v>6617.085</v>
      </c>
      <c r="K814" s="589"/>
      <c r="L814" s="378">
        <v>8</v>
      </c>
      <c r="M814" s="589">
        <v>6617.085</v>
      </c>
      <c r="N814" s="6" t="s">
        <v>1705</v>
      </c>
      <c r="O814" s="353">
        <v>45664</v>
      </c>
      <c r="P814" s="33" t="str">
        <f>HYPERLINK("https://my.zakupivli.pro/remote/dispatcher/state_purchase_view/56380662", "UA-2025-01-07-003941-a")</f>
        <v>UA-2025-01-07-003941-a</v>
      </c>
      <c r="Q814" s="352"/>
      <c r="R814" s="352">
        <v>8</v>
      </c>
      <c r="S814" s="352">
        <v>6365.4449999999997</v>
      </c>
      <c r="T814" s="353">
        <v>45685</v>
      </c>
      <c r="U814" s="352"/>
      <c r="V814" s="352"/>
    </row>
    <row r="815" spans="1:22" ht="62.4" x14ac:dyDescent="0.3">
      <c r="A815" s="352">
        <v>809</v>
      </c>
      <c r="B815" s="380" t="s">
        <v>40</v>
      </c>
      <c r="C815" s="44" t="s">
        <v>2008</v>
      </c>
      <c r="D815" s="352"/>
      <c r="E815" s="380" t="s">
        <v>20</v>
      </c>
      <c r="F815" s="44" t="s">
        <v>1707</v>
      </c>
      <c r="G815" s="352" t="s">
        <v>184</v>
      </c>
      <c r="H815" s="589">
        <v>448.03685999999999</v>
      </c>
      <c r="I815" s="352">
        <v>1</v>
      </c>
      <c r="J815" s="589">
        <v>448.03685999999999</v>
      </c>
      <c r="K815" s="589">
        <v>448.03685999999999</v>
      </c>
      <c r="L815" s="380">
        <v>1</v>
      </c>
      <c r="M815" s="589">
        <v>448.03685999999999</v>
      </c>
      <c r="N815" s="6" t="s">
        <v>1710</v>
      </c>
      <c r="O815" s="353">
        <v>45665</v>
      </c>
      <c r="P815" s="33" t="str">
        <f>HYPERLINK("https://my.zakupivli.pro/remote/dispatcher/state_purchase_view/56409739", "UA-2025-01-08-007829-a")</f>
        <v>UA-2025-01-08-007829-a</v>
      </c>
      <c r="Q815" s="380">
        <v>448.03685999999999</v>
      </c>
      <c r="R815" s="380">
        <v>1</v>
      </c>
      <c r="S815" s="380">
        <v>448.03685999999999</v>
      </c>
      <c r="T815" s="353">
        <v>45665</v>
      </c>
      <c r="U815" s="352"/>
      <c r="V815" s="380" t="s">
        <v>59</v>
      </c>
    </row>
    <row r="816" spans="1:22" ht="43.2" x14ac:dyDescent="0.3">
      <c r="A816" s="352">
        <v>810</v>
      </c>
      <c r="B816" s="446" t="s">
        <v>21</v>
      </c>
      <c r="C816" s="452" t="s">
        <v>2183</v>
      </c>
      <c r="D816" s="446" t="s">
        <v>58</v>
      </c>
      <c r="E816" s="446" t="s">
        <v>75</v>
      </c>
      <c r="F816" s="452" t="s">
        <v>1708</v>
      </c>
      <c r="G816" s="352" t="s">
        <v>186</v>
      </c>
      <c r="H816" s="589"/>
      <c r="I816" s="352">
        <v>35</v>
      </c>
      <c r="J816" s="589">
        <v>5718.64725</v>
      </c>
      <c r="K816" s="589"/>
      <c r="L816" s="380">
        <v>35</v>
      </c>
      <c r="M816" s="589">
        <v>5718.64725</v>
      </c>
      <c r="N816" s="6" t="s">
        <v>1711</v>
      </c>
      <c r="O816" s="381">
        <v>45665</v>
      </c>
      <c r="P816" s="33" t="str">
        <f>HYPERLINK("https://my.zakupivli.pro/remote/dispatcher/state_purchase_view/56394826", "UA-2025-01-08-001594-a")</f>
        <v>UA-2025-01-08-001594-a</v>
      </c>
      <c r="Q816" s="352"/>
      <c r="R816" s="352">
        <v>35</v>
      </c>
      <c r="S816" s="352">
        <v>5708.6121999999996</v>
      </c>
      <c r="T816" s="353">
        <v>45686</v>
      </c>
      <c r="U816" s="352"/>
      <c r="V816" s="352"/>
    </row>
    <row r="817" spans="1:22" ht="43.2" x14ac:dyDescent="0.3">
      <c r="A817" s="352">
        <v>811</v>
      </c>
      <c r="B817" s="380" t="s">
        <v>21</v>
      </c>
      <c r="C817" s="44" t="s">
        <v>2183</v>
      </c>
      <c r="D817" s="395" t="s">
        <v>58</v>
      </c>
      <c r="E817" s="380" t="s">
        <v>75</v>
      </c>
      <c r="F817" s="44" t="s">
        <v>1709</v>
      </c>
      <c r="G817" s="352" t="s">
        <v>186</v>
      </c>
      <c r="H817" s="589"/>
      <c r="I817" s="352">
        <v>4</v>
      </c>
      <c r="J817" s="589">
        <v>1862.7256400000001</v>
      </c>
      <c r="K817" s="589"/>
      <c r="L817" s="380">
        <v>4</v>
      </c>
      <c r="M817" s="589">
        <v>1862.7256400000001</v>
      </c>
      <c r="N817" s="6" t="s">
        <v>1712</v>
      </c>
      <c r="O817" s="381">
        <v>45665</v>
      </c>
      <c r="P817" s="33" t="str">
        <f>HYPERLINK("https://my.zakupivli.pro/remote/dispatcher/state_purchase_view/56394826", "UA-2025-01-08-001594-a")</f>
        <v>UA-2025-01-08-001594-a</v>
      </c>
      <c r="Q817" s="352"/>
      <c r="R817" s="352">
        <v>4</v>
      </c>
      <c r="S817" s="352">
        <v>1788.7212</v>
      </c>
      <c r="T817" s="400">
        <v>45686</v>
      </c>
      <c r="U817" s="352"/>
      <c r="V817" s="352"/>
    </row>
    <row r="818" spans="1:22" ht="62.4" x14ac:dyDescent="0.3">
      <c r="A818" s="352">
        <v>812</v>
      </c>
      <c r="B818" s="383" t="s">
        <v>21</v>
      </c>
      <c r="C818" s="44" t="s">
        <v>412</v>
      </c>
      <c r="D818" s="395" t="s">
        <v>58</v>
      </c>
      <c r="E818" s="383" t="s">
        <v>20</v>
      </c>
      <c r="F818" s="44" t="s">
        <v>2189</v>
      </c>
      <c r="G818" s="352" t="s">
        <v>185</v>
      </c>
      <c r="H818" s="589">
        <v>170.83332999999999</v>
      </c>
      <c r="I818" s="352">
        <v>1</v>
      </c>
      <c r="J818" s="589">
        <v>170.83332999999999</v>
      </c>
      <c r="K818" s="589">
        <v>170.83332999999999</v>
      </c>
      <c r="L818" s="383">
        <v>1</v>
      </c>
      <c r="M818" s="589">
        <v>170.83332999999999</v>
      </c>
      <c r="N818" s="6" t="s">
        <v>1715</v>
      </c>
      <c r="O818" s="353">
        <v>45671</v>
      </c>
      <c r="P818" s="33" t="str">
        <f>HYPERLINK("https://my.zakupivli.pro/remote/dispatcher/state_purchase_view/56534913", "UA-2025-01-14-013229-a")</f>
        <v>UA-2025-01-14-013229-a</v>
      </c>
      <c r="Q818" s="352">
        <v>164.16667000000001</v>
      </c>
      <c r="R818" s="352">
        <v>1</v>
      </c>
      <c r="S818" s="422">
        <v>164.16667000000001</v>
      </c>
      <c r="T818" s="353">
        <v>45700</v>
      </c>
      <c r="U818" s="352"/>
      <c r="V818" s="352"/>
    </row>
    <row r="819" spans="1:22" ht="62.4" x14ac:dyDescent="0.3">
      <c r="A819" s="352">
        <v>813</v>
      </c>
      <c r="B819" s="383" t="s">
        <v>21</v>
      </c>
      <c r="C819" s="44" t="s">
        <v>412</v>
      </c>
      <c r="D819" s="395" t="s">
        <v>58</v>
      </c>
      <c r="E819" s="383" t="s">
        <v>75</v>
      </c>
      <c r="F819" s="44" t="s">
        <v>2180</v>
      </c>
      <c r="G819" s="352" t="s">
        <v>186</v>
      </c>
      <c r="H819" s="589"/>
      <c r="I819" s="352">
        <v>36</v>
      </c>
      <c r="J819" s="589">
        <v>14805.525</v>
      </c>
      <c r="K819" s="589"/>
      <c r="L819" s="383">
        <v>36</v>
      </c>
      <c r="M819" s="589">
        <v>14805.525</v>
      </c>
      <c r="N819" s="6" t="s">
        <v>1716</v>
      </c>
      <c r="O819" s="382">
        <v>45671</v>
      </c>
      <c r="P819" s="33" t="str">
        <f>HYPERLINK("https://my.zakupivli.pro/remote/dispatcher/state_purchase_view/56533770", "UA-2025-01-14-012680-a")</f>
        <v>UA-2025-01-14-012680-a</v>
      </c>
      <c r="Q819" s="352"/>
      <c r="R819" s="352"/>
      <c r="S819" s="352"/>
      <c r="T819" s="353"/>
      <c r="U819" s="352" t="s">
        <v>1875</v>
      </c>
      <c r="V819" s="352"/>
    </row>
    <row r="820" spans="1:22" ht="43.2" x14ac:dyDescent="0.3">
      <c r="A820" s="352">
        <v>814</v>
      </c>
      <c r="B820" s="383" t="s">
        <v>21</v>
      </c>
      <c r="C820" s="44" t="s">
        <v>2188</v>
      </c>
      <c r="D820" s="395" t="s">
        <v>58</v>
      </c>
      <c r="E820" s="383" t="s">
        <v>75</v>
      </c>
      <c r="F820" s="44" t="s">
        <v>1713</v>
      </c>
      <c r="G820" s="352" t="s">
        <v>186</v>
      </c>
      <c r="H820" s="589"/>
      <c r="I820" s="352">
        <v>39</v>
      </c>
      <c r="J820" s="589">
        <v>1758.6956700000001</v>
      </c>
      <c r="K820" s="589"/>
      <c r="L820" s="383">
        <v>39</v>
      </c>
      <c r="M820" s="589">
        <v>1758.6956700000001</v>
      </c>
      <c r="N820" s="6" t="s">
        <v>1717</v>
      </c>
      <c r="O820" s="382">
        <v>45671</v>
      </c>
      <c r="P820" s="33" t="str">
        <f>HYPERLINK("https://my.zakupivli.pro/remote/dispatcher/state_purchase_view/56516163", "UA-2025-01-14-005210-a")</f>
        <v>UA-2025-01-14-005210-a</v>
      </c>
      <c r="Q820" s="352"/>
      <c r="R820" s="352">
        <v>39</v>
      </c>
      <c r="S820" s="352">
        <v>1382.2539999999999</v>
      </c>
      <c r="T820" s="353">
        <v>45691</v>
      </c>
      <c r="U820" s="352"/>
      <c r="V820" s="352"/>
    </row>
    <row r="821" spans="1:22" ht="46.8" x14ac:dyDescent="0.3">
      <c r="A821" s="352">
        <v>815</v>
      </c>
      <c r="B821" s="446" t="s">
        <v>21</v>
      </c>
      <c r="C821" s="452" t="s">
        <v>171</v>
      </c>
      <c r="D821" s="446" t="s">
        <v>58</v>
      </c>
      <c r="E821" s="446" t="s">
        <v>75</v>
      </c>
      <c r="F821" s="452" t="s">
        <v>2187</v>
      </c>
      <c r="G821" s="352" t="s">
        <v>186</v>
      </c>
      <c r="H821" s="589"/>
      <c r="I821" s="352">
        <v>2</v>
      </c>
      <c r="J821" s="589">
        <v>790</v>
      </c>
      <c r="K821" s="589"/>
      <c r="L821" s="383">
        <v>2</v>
      </c>
      <c r="M821" s="589">
        <v>790</v>
      </c>
      <c r="N821" s="6" t="s">
        <v>1718</v>
      </c>
      <c r="O821" s="382">
        <v>45671</v>
      </c>
      <c r="P821" s="33" t="str">
        <f>HYPERLINK("https://my.zakupivli.pro/remote/dispatcher/state_purchase_view/56511166", "UA-2025-01-14-003223-a")</f>
        <v>UA-2025-01-14-003223-a</v>
      </c>
      <c r="Q821" s="352"/>
      <c r="R821" s="352">
        <v>2</v>
      </c>
      <c r="S821" s="352">
        <v>598.31700000000001</v>
      </c>
      <c r="T821" s="423">
        <v>45691</v>
      </c>
      <c r="U821" s="352"/>
      <c r="V821" s="352"/>
    </row>
    <row r="822" spans="1:22" ht="46.8" x14ac:dyDescent="0.3">
      <c r="A822" s="352">
        <v>816</v>
      </c>
      <c r="B822" s="383" t="s">
        <v>21</v>
      </c>
      <c r="C822" s="44" t="s">
        <v>2186</v>
      </c>
      <c r="D822" s="395" t="s">
        <v>58</v>
      </c>
      <c r="E822" s="383" t="s">
        <v>75</v>
      </c>
      <c r="F822" s="44" t="s">
        <v>1714</v>
      </c>
      <c r="G822" s="352" t="s">
        <v>186</v>
      </c>
      <c r="H822" s="589"/>
      <c r="I822" s="352">
        <v>32</v>
      </c>
      <c r="J822" s="589">
        <v>1000.75</v>
      </c>
      <c r="K822" s="589"/>
      <c r="L822" s="383">
        <v>32</v>
      </c>
      <c r="M822" s="589">
        <v>1000.75</v>
      </c>
      <c r="N822" s="6" t="s">
        <v>1719</v>
      </c>
      <c r="O822" s="382">
        <v>45671</v>
      </c>
      <c r="P822" s="33" t="str">
        <f>HYPERLINK("https://my.zakupivli.pro/remote/dispatcher/state_purchase_view/56511166", "UA-2025-01-14-003223-a")</f>
        <v>UA-2025-01-14-003223-a</v>
      </c>
      <c r="Q822" s="352"/>
      <c r="R822" s="352">
        <v>32</v>
      </c>
      <c r="S822" s="352">
        <v>798.7482</v>
      </c>
      <c r="T822" s="353">
        <v>45687</v>
      </c>
      <c r="U822" s="352"/>
      <c r="V822" s="352"/>
    </row>
    <row r="823" spans="1:22" ht="62.4" x14ac:dyDescent="0.3">
      <c r="A823" s="352">
        <v>817</v>
      </c>
      <c r="B823" s="384" t="s">
        <v>21</v>
      </c>
      <c r="C823" s="44" t="s">
        <v>2007</v>
      </c>
      <c r="D823" s="395" t="s">
        <v>58</v>
      </c>
      <c r="E823" s="384" t="s">
        <v>75</v>
      </c>
      <c r="F823" s="44" t="s">
        <v>1720</v>
      </c>
      <c r="G823" s="352" t="s">
        <v>186</v>
      </c>
      <c r="H823" s="589"/>
      <c r="I823" s="352">
        <v>129</v>
      </c>
      <c r="J823" s="589">
        <v>11325</v>
      </c>
      <c r="K823" s="589"/>
      <c r="L823" s="384">
        <v>129</v>
      </c>
      <c r="M823" s="589">
        <v>11325</v>
      </c>
      <c r="N823" s="6" t="s">
        <v>1724</v>
      </c>
      <c r="O823" s="353">
        <v>45673</v>
      </c>
      <c r="P823" s="120" t="str">
        <f>HYPERLINK("https://my.zakupivli.pro/remote/dispatcher/state_purchase_view/56621501", "UA-2025-01-16-015154-a")</f>
        <v>UA-2025-01-16-015154-a</v>
      </c>
      <c r="Q823" s="352"/>
      <c r="R823" s="352">
        <v>129</v>
      </c>
      <c r="S823" s="352">
        <v>10658.2377</v>
      </c>
      <c r="T823" s="353">
        <v>45694</v>
      </c>
      <c r="U823" s="352"/>
      <c r="V823" s="352"/>
    </row>
    <row r="824" spans="1:22" ht="109.2" x14ac:dyDescent="0.3">
      <c r="A824" s="352">
        <v>818</v>
      </c>
      <c r="B824" s="446" t="s">
        <v>21</v>
      </c>
      <c r="C824" s="452" t="s">
        <v>2185</v>
      </c>
      <c r="D824" s="446" t="s">
        <v>58</v>
      </c>
      <c r="E824" s="446" t="s">
        <v>75</v>
      </c>
      <c r="F824" s="452" t="s">
        <v>1721</v>
      </c>
      <c r="G824" s="352" t="s">
        <v>186</v>
      </c>
      <c r="H824" s="589"/>
      <c r="I824" s="352">
        <v>2</v>
      </c>
      <c r="J824" s="589">
        <v>191.1</v>
      </c>
      <c r="K824" s="589"/>
      <c r="L824" s="384">
        <v>2</v>
      </c>
      <c r="M824" s="589">
        <v>191.1</v>
      </c>
      <c r="N824" s="6" t="s">
        <v>1725</v>
      </c>
      <c r="O824" s="385">
        <v>45673</v>
      </c>
      <c r="P824" s="120" t="str">
        <f>HYPERLINK("https://my.zakupivli.pro/remote/dispatcher/state_purchase_view/56611663", "UA-2025-01-16-010939-a")</f>
        <v>UA-2025-01-16-010939-a</v>
      </c>
      <c r="Q824" s="352"/>
      <c r="R824" s="352"/>
      <c r="S824" s="352"/>
      <c r="T824" s="353"/>
      <c r="U824" s="352" t="s">
        <v>1793</v>
      </c>
      <c r="V824" s="352"/>
    </row>
    <row r="825" spans="1:22" ht="62.4" x14ac:dyDescent="0.3">
      <c r="A825" s="352">
        <v>819</v>
      </c>
      <c r="B825" s="384" t="s">
        <v>21</v>
      </c>
      <c r="C825" s="44" t="s">
        <v>412</v>
      </c>
      <c r="D825" s="352"/>
      <c r="E825" s="384" t="s">
        <v>20</v>
      </c>
      <c r="F825" s="44" t="s">
        <v>2184</v>
      </c>
      <c r="G825" s="352" t="s">
        <v>185</v>
      </c>
      <c r="H825" s="589">
        <v>73.75</v>
      </c>
      <c r="I825" s="352">
        <v>1</v>
      </c>
      <c r="J825" s="589">
        <v>73.75</v>
      </c>
      <c r="K825" s="589">
        <v>73.75</v>
      </c>
      <c r="L825" s="384">
        <v>1</v>
      </c>
      <c r="M825" s="589">
        <v>73.75</v>
      </c>
      <c r="N825" s="6" t="s">
        <v>1726</v>
      </c>
      <c r="O825" s="385">
        <v>45673</v>
      </c>
      <c r="P825" s="120" t="str">
        <f>HYPERLINK("https://my.zakupivli.pro/remote/dispatcher/state_purchase_view/56598991", "UA-2025-01-16-005603-a")</f>
        <v>UA-2025-01-16-005603-a</v>
      </c>
      <c r="Q825" s="117">
        <v>73.75</v>
      </c>
      <c r="R825" s="384">
        <v>1</v>
      </c>
      <c r="S825" s="117">
        <v>73.75</v>
      </c>
      <c r="T825" s="385">
        <v>45673</v>
      </c>
      <c r="U825" s="352"/>
      <c r="V825" s="384" t="s">
        <v>59</v>
      </c>
    </row>
    <row r="826" spans="1:22" ht="62.4" x14ac:dyDescent="0.3">
      <c r="A826" s="352">
        <v>820</v>
      </c>
      <c r="B826" s="384" t="s">
        <v>21</v>
      </c>
      <c r="C826" s="44" t="s">
        <v>2001</v>
      </c>
      <c r="D826" s="352"/>
      <c r="E826" s="384" t="s">
        <v>20</v>
      </c>
      <c r="F826" s="44" t="s">
        <v>1722</v>
      </c>
      <c r="G826" s="352" t="s">
        <v>185</v>
      </c>
      <c r="H826" s="589">
        <v>73.5</v>
      </c>
      <c r="I826" s="352">
        <v>1</v>
      </c>
      <c r="J826" s="589">
        <v>73.5</v>
      </c>
      <c r="K826" s="589">
        <v>73.5</v>
      </c>
      <c r="L826" s="384">
        <v>1</v>
      </c>
      <c r="M826" s="589">
        <v>73.5</v>
      </c>
      <c r="N826" s="6" t="s">
        <v>1727</v>
      </c>
      <c r="O826" s="385">
        <v>45673</v>
      </c>
      <c r="P826" s="120" t="str">
        <f>HYPERLINK("https://my.zakupivli.pro/remote/dispatcher/state_purchase_view/56598627", "UA-2025-01-16-005354-a")</f>
        <v>UA-2025-01-16-005354-a</v>
      </c>
      <c r="Q826" s="117">
        <v>73.5</v>
      </c>
      <c r="R826" s="384">
        <v>1</v>
      </c>
      <c r="S826" s="117">
        <v>73.5</v>
      </c>
      <c r="T826" s="385">
        <v>45673</v>
      </c>
      <c r="U826" s="352"/>
      <c r="V826" s="384" t="s">
        <v>59</v>
      </c>
    </row>
    <row r="827" spans="1:22" ht="78" x14ac:dyDescent="0.3">
      <c r="A827" s="352">
        <v>821</v>
      </c>
      <c r="B827" s="446" t="s">
        <v>40</v>
      </c>
      <c r="C827" s="452" t="s">
        <v>1991</v>
      </c>
      <c r="D827" s="446"/>
      <c r="E827" s="446" t="s">
        <v>20</v>
      </c>
      <c r="F827" s="452" t="s">
        <v>1728</v>
      </c>
      <c r="G827" s="352" t="s">
        <v>184</v>
      </c>
      <c r="H827" s="589">
        <v>48.730989999999998</v>
      </c>
      <c r="I827" s="352">
        <v>1</v>
      </c>
      <c r="J827" s="589">
        <v>48.730989999999998</v>
      </c>
      <c r="K827" s="589">
        <v>48.730989999999998</v>
      </c>
      <c r="L827" s="386">
        <v>1</v>
      </c>
      <c r="M827" s="589">
        <v>48.730989999999998</v>
      </c>
      <c r="N827" s="6" t="s">
        <v>1730</v>
      </c>
      <c r="O827" s="387">
        <v>45673</v>
      </c>
      <c r="P827" s="33" t="str">
        <f>HYPERLINK("https://my.zakupivli.pro/remote/dispatcher/state_purchase_view/56624862", "UA-2025-01-16-016675-a")</f>
        <v>UA-2025-01-16-016675-a</v>
      </c>
      <c r="Q827" s="386">
        <v>48.730989999999998</v>
      </c>
      <c r="R827" s="386">
        <v>1</v>
      </c>
      <c r="S827" s="386">
        <v>48.730989999999998</v>
      </c>
      <c r="T827" s="387">
        <v>45673</v>
      </c>
      <c r="U827" s="352"/>
      <c r="V827" s="386" t="s">
        <v>59</v>
      </c>
    </row>
    <row r="828" spans="1:22" ht="78" x14ac:dyDescent="0.3">
      <c r="A828" s="352">
        <v>822</v>
      </c>
      <c r="B828" s="352" t="s">
        <v>40</v>
      </c>
      <c r="C828" s="44" t="s">
        <v>1991</v>
      </c>
      <c r="D828" s="352"/>
      <c r="E828" s="386" t="s">
        <v>20</v>
      </c>
      <c r="F828" s="44" t="s">
        <v>1729</v>
      </c>
      <c r="G828" s="352" t="s">
        <v>184</v>
      </c>
      <c r="H828" s="589">
        <v>51.379710000000003</v>
      </c>
      <c r="I828" s="352">
        <v>1</v>
      </c>
      <c r="J828" s="589">
        <v>51.379710000000003</v>
      </c>
      <c r="K828" s="589">
        <v>51.379710000000003</v>
      </c>
      <c r="L828" s="386">
        <v>1</v>
      </c>
      <c r="M828" s="589">
        <v>51.379710000000003</v>
      </c>
      <c r="N828" s="6" t="s">
        <v>1731</v>
      </c>
      <c r="O828" s="387">
        <v>45673</v>
      </c>
      <c r="P828" s="33" t="str">
        <f>HYPERLINK("https://my.zakupivli.pro/remote/dispatcher/state_purchase_view/56624857", "UA-2025-01-16-016667-a")</f>
        <v>UA-2025-01-16-016667-a</v>
      </c>
      <c r="Q828" s="386">
        <v>51.379710000000003</v>
      </c>
      <c r="R828" s="386">
        <v>1</v>
      </c>
      <c r="S828" s="386">
        <v>51.379710000000003</v>
      </c>
      <c r="T828" s="387">
        <v>45673</v>
      </c>
      <c r="U828" s="352"/>
      <c r="V828" s="386" t="s">
        <v>59</v>
      </c>
    </row>
    <row r="829" spans="1:22" ht="46.8" x14ac:dyDescent="0.3">
      <c r="A829" s="352">
        <v>823</v>
      </c>
      <c r="B829" s="352" t="s">
        <v>21</v>
      </c>
      <c r="C829" s="41" t="s">
        <v>2183</v>
      </c>
      <c r="D829" s="395" t="s">
        <v>58</v>
      </c>
      <c r="E829" s="352" t="s">
        <v>75</v>
      </c>
      <c r="F829" s="44" t="s">
        <v>1732</v>
      </c>
      <c r="G829" s="352" t="s">
        <v>1158</v>
      </c>
      <c r="H829" s="589"/>
      <c r="I829" s="352">
        <v>57674</v>
      </c>
      <c r="J829" s="589">
        <v>7962.5</v>
      </c>
      <c r="K829" s="589"/>
      <c r="L829" s="388">
        <v>57674</v>
      </c>
      <c r="M829" s="589">
        <v>7962.5</v>
      </c>
      <c r="N829" s="6" t="s">
        <v>1733</v>
      </c>
      <c r="O829" s="353">
        <v>45677</v>
      </c>
      <c r="P829" s="33" t="str">
        <f>HYPERLINK("https://my.zakupivli.pro/remote/dispatcher/state_purchase_view/56709458", "UA-2025-01-20-013715-a")</f>
        <v>UA-2025-01-20-013715-a</v>
      </c>
      <c r="Q829" s="352"/>
      <c r="R829" s="352">
        <v>57674</v>
      </c>
      <c r="S829" s="352">
        <v>6413.95</v>
      </c>
      <c r="T829" s="353">
        <v>45694</v>
      </c>
      <c r="U829" s="352"/>
      <c r="V829" s="352"/>
    </row>
    <row r="830" spans="1:22" ht="93.6" x14ac:dyDescent="0.3">
      <c r="A830" s="352">
        <v>824</v>
      </c>
      <c r="B830" s="352" t="s">
        <v>1150</v>
      </c>
      <c r="C830" s="452" t="s">
        <v>2182</v>
      </c>
      <c r="D830" s="446"/>
      <c r="E830" s="446" t="s">
        <v>75</v>
      </c>
      <c r="F830" s="452" t="s">
        <v>1734</v>
      </c>
      <c r="G830" s="352" t="s">
        <v>1149</v>
      </c>
      <c r="H830" s="589">
        <v>231.69</v>
      </c>
      <c r="I830" s="352">
        <v>1</v>
      </c>
      <c r="J830" s="589">
        <v>231.69</v>
      </c>
      <c r="K830" s="589">
        <v>231.69</v>
      </c>
      <c r="L830" s="389">
        <v>1</v>
      </c>
      <c r="M830" s="589">
        <v>231.69</v>
      </c>
      <c r="N830" s="6" t="s">
        <v>1737</v>
      </c>
      <c r="O830" s="353">
        <v>45678</v>
      </c>
      <c r="P830" s="33" t="str">
        <f>HYPERLINK("https://my.zakupivli.pro/remote/dispatcher/state_purchase_view/56767709", "UA-2025-01-21-018882-a")</f>
        <v>UA-2025-01-21-018882-a</v>
      </c>
      <c r="Q830" s="389">
        <v>231.69</v>
      </c>
      <c r="R830" s="389">
        <v>1</v>
      </c>
      <c r="S830" s="389">
        <v>231.69</v>
      </c>
      <c r="T830" s="390">
        <v>45678</v>
      </c>
      <c r="U830" s="352"/>
      <c r="V830" s="389" t="s">
        <v>59</v>
      </c>
    </row>
    <row r="831" spans="1:22" ht="46.8" x14ac:dyDescent="0.3">
      <c r="A831" s="352">
        <v>825</v>
      </c>
      <c r="B831" s="389" t="s">
        <v>21</v>
      </c>
      <c r="C831" s="44" t="s">
        <v>1155</v>
      </c>
      <c r="D831" s="395" t="s">
        <v>58</v>
      </c>
      <c r="E831" s="389" t="s">
        <v>75</v>
      </c>
      <c r="F831" s="44" t="s">
        <v>2181</v>
      </c>
      <c r="G831" s="352" t="s">
        <v>186</v>
      </c>
      <c r="H831" s="589"/>
      <c r="I831" s="352">
        <v>9</v>
      </c>
      <c r="J831" s="589">
        <v>1004.16667</v>
      </c>
      <c r="K831" s="589"/>
      <c r="L831" s="389">
        <v>9</v>
      </c>
      <c r="M831" s="589">
        <v>1004.16667</v>
      </c>
      <c r="N831" s="6" t="s">
        <v>1738</v>
      </c>
      <c r="O831" s="390">
        <v>45678</v>
      </c>
      <c r="P831" s="33" t="str">
        <f>HYPERLINK("https://my.zakupivli.pro/remote/dispatcher/state_purchase_view/56767093", "UA-2025-01-21-018552-a")</f>
        <v>UA-2025-01-21-018552-a</v>
      </c>
      <c r="Q831" s="352"/>
      <c r="R831" s="352">
        <v>9</v>
      </c>
      <c r="S831" s="352">
        <v>864.39030000000002</v>
      </c>
      <c r="T831" s="353">
        <v>45694</v>
      </c>
      <c r="U831" s="352"/>
      <c r="V831" s="352"/>
    </row>
    <row r="832" spans="1:22" ht="62.4" x14ac:dyDescent="0.3">
      <c r="A832" s="352">
        <v>826</v>
      </c>
      <c r="B832" s="389" t="s">
        <v>21</v>
      </c>
      <c r="C832" s="452" t="s">
        <v>412</v>
      </c>
      <c r="D832" s="446" t="s">
        <v>58</v>
      </c>
      <c r="E832" s="446" t="s">
        <v>75</v>
      </c>
      <c r="F832" s="452" t="s">
        <v>2180</v>
      </c>
      <c r="G832" s="352" t="s">
        <v>185</v>
      </c>
      <c r="H832" s="589"/>
      <c r="I832" s="352">
        <v>175</v>
      </c>
      <c r="J832" s="589">
        <v>24858.333330000001</v>
      </c>
      <c r="K832" s="589"/>
      <c r="L832" s="389">
        <v>175</v>
      </c>
      <c r="M832" s="589">
        <v>24858.333330000001</v>
      </c>
      <c r="N832" s="6" t="s">
        <v>1739</v>
      </c>
      <c r="O832" s="390">
        <v>45678</v>
      </c>
      <c r="P832" s="33" t="str">
        <f>HYPERLINK("https://my.zakupivli.pro/remote/dispatcher/state_purchase_view/56756969", "UA-2025-01-21-014078-a")</f>
        <v>UA-2025-01-21-014078-a</v>
      </c>
      <c r="Q832" s="352"/>
      <c r="R832" s="352">
        <v>175</v>
      </c>
      <c r="S832" s="352">
        <v>22198.355</v>
      </c>
      <c r="T832" s="441">
        <v>45727</v>
      </c>
      <c r="U832" s="352"/>
      <c r="V832" s="352"/>
    </row>
    <row r="833" spans="1:22" ht="62.4" x14ac:dyDescent="0.3">
      <c r="A833" s="352">
        <v>827</v>
      </c>
      <c r="B833" s="352" t="s">
        <v>40</v>
      </c>
      <c r="C833" s="44" t="s">
        <v>1991</v>
      </c>
      <c r="D833" s="352"/>
      <c r="E833" s="352" t="s">
        <v>20</v>
      </c>
      <c r="F833" s="44" t="s">
        <v>1735</v>
      </c>
      <c r="G833" s="352" t="s">
        <v>184</v>
      </c>
      <c r="H833" s="589">
        <v>357.62355000000002</v>
      </c>
      <c r="I833" s="352">
        <v>1</v>
      </c>
      <c r="J833" s="589">
        <v>357.62355000000002</v>
      </c>
      <c r="K833" s="589">
        <v>357.62355000000002</v>
      </c>
      <c r="L833" s="389">
        <v>1</v>
      </c>
      <c r="M833" s="589">
        <v>357.62355000000002</v>
      </c>
      <c r="N833" s="6" t="s">
        <v>1740</v>
      </c>
      <c r="O833" s="390">
        <v>45678</v>
      </c>
      <c r="P833" s="33" t="str">
        <f>HYPERLINK("https://my.zakupivli.pro/remote/dispatcher/state_purchase_view/56755417", "UA-2025-01-21-013373-a")</f>
        <v>UA-2025-01-21-013373-a</v>
      </c>
      <c r="Q833" s="389">
        <v>357.62355000000002</v>
      </c>
      <c r="R833" s="389">
        <v>1</v>
      </c>
      <c r="S833" s="389">
        <v>357.62355000000002</v>
      </c>
      <c r="T833" s="390">
        <v>45678</v>
      </c>
      <c r="U833" s="352"/>
      <c r="V833" s="389" t="s">
        <v>59</v>
      </c>
    </row>
    <row r="834" spans="1:22" ht="93.6" x14ac:dyDescent="0.3">
      <c r="A834" s="352">
        <v>828</v>
      </c>
      <c r="B834" s="352" t="s">
        <v>1150</v>
      </c>
      <c r="C834" s="44" t="s">
        <v>1736</v>
      </c>
      <c r="D834" s="352"/>
      <c r="E834" s="389" t="s">
        <v>75</v>
      </c>
      <c r="F834" s="44" t="s">
        <v>2179</v>
      </c>
      <c r="G834" s="352" t="s">
        <v>1149</v>
      </c>
      <c r="H834" s="589">
        <v>82.5</v>
      </c>
      <c r="I834" s="352">
        <v>1</v>
      </c>
      <c r="J834" s="589">
        <v>82.5</v>
      </c>
      <c r="K834" s="589">
        <v>82.5</v>
      </c>
      <c r="L834" s="389">
        <v>1</v>
      </c>
      <c r="M834" s="589">
        <v>82.5</v>
      </c>
      <c r="N834" s="6" t="s">
        <v>1741</v>
      </c>
      <c r="O834" s="390">
        <v>45678</v>
      </c>
      <c r="P834" s="33" t="str">
        <f>HYPERLINK("https://my.zakupivli.pro/remote/dispatcher/state_purchase_view/56754629", "UA-2025-01-21-013032-a")</f>
        <v>UA-2025-01-21-013032-a</v>
      </c>
      <c r="Q834" s="117">
        <v>82.5</v>
      </c>
      <c r="R834" s="389">
        <v>1</v>
      </c>
      <c r="S834" s="117">
        <v>82.5</v>
      </c>
      <c r="T834" s="390">
        <v>45678</v>
      </c>
      <c r="U834" s="352"/>
      <c r="V834" s="389" t="s">
        <v>59</v>
      </c>
    </row>
    <row r="835" spans="1:22" ht="43.2" x14ac:dyDescent="0.3">
      <c r="A835" s="352">
        <v>829</v>
      </c>
      <c r="B835" s="389" t="s">
        <v>21</v>
      </c>
      <c r="C835" s="44" t="s">
        <v>30</v>
      </c>
      <c r="D835" s="395" t="s">
        <v>58</v>
      </c>
      <c r="E835" s="389" t="s">
        <v>75</v>
      </c>
      <c r="F835" s="44" t="s">
        <v>2178</v>
      </c>
      <c r="G835" s="352" t="s">
        <v>186</v>
      </c>
      <c r="H835" s="589"/>
      <c r="I835" s="352">
        <v>64</v>
      </c>
      <c r="J835" s="589">
        <v>1525</v>
      </c>
      <c r="K835" s="589"/>
      <c r="L835" s="389">
        <v>64</v>
      </c>
      <c r="M835" s="589">
        <v>1525</v>
      </c>
      <c r="N835" s="6" t="s">
        <v>1742</v>
      </c>
      <c r="O835" s="390">
        <v>45678</v>
      </c>
      <c r="P835" s="33" t="str">
        <f>HYPERLINK("https://my.zakupivli.pro/remote/dispatcher/state_purchase_view/56727364", "UA-2025-01-21-000895-a")</f>
        <v>UA-2025-01-21-000895-a</v>
      </c>
      <c r="Q835" s="352"/>
      <c r="R835" s="352">
        <v>64</v>
      </c>
      <c r="S835" s="352">
        <v>1523.3920499999999</v>
      </c>
      <c r="T835" s="353">
        <v>45694</v>
      </c>
      <c r="U835" s="352"/>
      <c r="V835" s="352"/>
    </row>
    <row r="836" spans="1:22" ht="43.2" x14ac:dyDescent="0.3">
      <c r="A836" s="352">
        <v>830</v>
      </c>
      <c r="B836" s="389" t="s">
        <v>21</v>
      </c>
      <c r="C836" s="452" t="s">
        <v>30</v>
      </c>
      <c r="D836" s="446" t="s">
        <v>58</v>
      </c>
      <c r="E836" s="446" t="s">
        <v>75</v>
      </c>
      <c r="F836" s="452" t="s">
        <v>2177</v>
      </c>
      <c r="G836" s="352" t="s">
        <v>186</v>
      </c>
      <c r="H836" s="589"/>
      <c r="I836" s="352">
        <v>5</v>
      </c>
      <c r="J836" s="589">
        <v>910.13333</v>
      </c>
      <c r="K836" s="589"/>
      <c r="L836" s="389">
        <v>5</v>
      </c>
      <c r="M836" s="589">
        <v>910.13333</v>
      </c>
      <c r="N836" s="6" t="s">
        <v>1743</v>
      </c>
      <c r="O836" s="390">
        <v>45678</v>
      </c>
      <c r="P836" s="33" t="str">
        <f>HYPERLINK("https://my.zakupivli.pro/remote/dispatcher/state_purchase_view/56727364", "UA-2025-01-21-000895-a")</f>
        <v>UA-2025-01-21-000895-a</v>
      </c>
      <c r="Q836" s="352"/>
      <c r="R836" s="352">
        <v>5</v>
      </c>
      <c r="S836" s="352">
        <v>909.18</v>
      </c>
      <c r="T836" s="423">
        <v>45694</v>
      </c>
      <c r="U836" s="352"/>
      <c r="V836" s="352"/>
    </row>
    <row r="837" spans="1:22" ht="127.8" customHeight="1" x14ac:dyDescent="0.3">
      <c r="A837" s="352">
        <v>831</v>
      </c>
      <c r="B837" s="352" t="s">
        <v>40</v>
      </c>
      <c r="C837" s="44" t="s">
        <v>2081</v>
      </c>
      <c r="D837" s="352"/>
      <c r="E837" s="391" t="s">
        <v>75</v>
      </c>
      <c r="F837" s="44" t="s">
        <v>1744</v>
      </c>
      <c r="G837" s="352" t="s">
        <v>184</v>
      </c>
      <c r="H837" s="589">
        <v>98.311459999999997</v>
      </c>
      <c r="I837" s="352">
        <v>1</v>
      </c>
      <c r="J837" s="589">
        <v>98.311459999999997</v>
      </c>
      <c r="K837" s="589">
        <v>98.311459999999997</v>
      </c>
      <c r="L837" s="391">
        <v>1</v>
      </c>
      <c r="M837" s="589">
        <v>98.311459999999997</v>
      </c>
      <c r="N837" s="6" t="s">
        <v>1746</v>
      </c>
      <c r="O837" s="353">
        <v>45679</v>
      </c>
      <c r="P837" s="120" t="str">
        <f>HYPERLINK("https://my.zakupivli.pro/remote/dispatcher/state_purchase_view/56811498", "UA-2025-01-22-016532-a")</f>
        <v>UA-2025-01-22-016532-a</v>
      </c>
      <c r="Q837" s="391">
        <v>98.311459999999997</v>
      </c>
      <c r="R837" s="391">
        <v>1</v>
      </c>
      <c r="S837" s="391">
        <v>98.311459999999997</v>
      </c>
      <c r="T837" s="392">
        <v>45679</v>
      </c>
      <c r="U837" s="352"/>
      <c r="V837" s="391" t="s">
        <v>59</v>
      </c>
    </row>
    <row r="838" spans="1:22" ht="46.8" x14ac:dyDescent="0.3">
      <c r="A838" s="352">
        <v>832</v>
      </c>
      <c r="B838" s="352" t="s">
        <v>21</v>
      </c>
      <c r="C838" s="44" t="s">
        <v>1622</v>
      </c>
      <c r="D838" s="395" t="s">
        <v>58</v>
      </c>
      <c r="E838" s="391" t="s">
        <v>75</v>
      </c>
      <c r="F838" s="44" t="s">
        <v>2009</v>
      </c>
      <c r="G838" s="352" t="s">
        <v>186</v>
      </c>
      <c r="H838" s="589"/>
      <c r="I838" s="352">
        <v>2</v>
      </c>
      <c r="J838" s="589">
        <v>524.19749999999999</v>
      </c>
      <c r="K838" s="589"/>
      <c r="L838" s="391">
        <v>2</v>
      </c>
      <c r="M838" s="589">
        <v>524.19749999999999</v>
      </c>
      <c r="N838" s="6" t="s">
        <v>1747</v>
      </c>
      <c r="O838" s="392">
        <v>45679</v>
      </c>
      <c r="P838" s="120" t="str">
        <f>HYPERLINK("https://my.zakupivli.pro/remote/dispatcher/state_purchase_view/56797832", "UA-2025-01-22-010427-a")</f>
        <v>UA-2025-01-22-010427-a</v>
      </c>
      <c r="Q838" s="352"/>
      <c r="R838" s="352">
        <v>2</v>
      </c>
      <c r="S838" s="352">
        <v>445.8</v>
      </c>
      <c r="T838" s="353">
        <v>45700</v>
      </c>
      <c r="U838" s="352"/>
      <c r="V838" s="352"/>
    </row>
    <row r="839" spans="1:22" ht="62.4" x14ac:dyDescent="0.3">
      <c r="A839" s="352">
        <v>833</v>
      </c>
      <c r="B839" s="352" t="s">
        <v>40</v>
      </c>
      <c r="C839" s="503" t="s">
        <v>1991</v>
      </c>
      <c r="D839" s="446"/>
      <c r="E839" s="446" t="s">
        <v>20</v>
      </c>
      <c r="F839" s="452" t="s">
        <v>1745</v>
      </c>
      <c r="G839" s="352" t="s">
        <v>184</v>
      </c>
      <c r="H839" s="589">
        <v>101.5132</v>
      </c>
      <c r="I839" s="352">
        <v>1</v>
      </c>
      <c r="J839" s="589">
        <v>101.5132</v>
      </c>
      <c r="K839" s="589">
        <v>101.5132</v>
      </c>
      <c r="L839" s="391">
        <v>1</v>
      </c>
      <c r="M839" s="589">
        <v>101.5132</v>
      </c>
      <c r="N839" s="6" t="s">
        <v>1748</v>
      </c>
      <c r="O839" s="392">
        <v>45679</v>
      </c>
      <c r="P839" s="120" t="str">
        <f>HYPERLINK("https://my.zakupivli.pro/remote/dispatcher/state_purchase_view/56780342", "UA-2025-01-22-002610-a")</f>
        <v>UA-2025-01-22-002610-a</v>
      </c>
      <c r="Q839" s="391">
        <v>101.5132</v>
      </c>
      <c r="R839" s="391">
        <v>1</v>
      </c>
      <c r="S839" s="391">
        <v>101.5132</v>
      </c>
      <c r="T839" s="392">
        <v>45679</v>
      </c>
      <c r="U839" s="352"/>
      <c r="V839" s="391" t="s">
        <v>59</v>
      </c>
    </row>
    <row r="840" spans="1:22" ht="62.4" x14ac:dyDescent="0.3">
      <c r="A840" s="352">
        <v>834</v>
      </c>
      <c r="B840" s="43" t="s">
        <v>40</v>
      </c>
      <c r="C840" s="44" t="s">
        <v>41</v>
      </c>
      <c r="D840" s="105"/>
      <c r="E840" s="394" t="s">
        <v>20</v>
      </c>
      <c r="F840" s="44" t="s">
        <v>2176</v>
      </c>
      <c r="G840" s="394" t="s">
        <v>184</v>
      </c>
      <c r="H840" s="589">
        <v>55.728409999999997</v>
      </c>
      <c r="I840" s="352">
        <v>1</v>
      </c>
      <c r="J840" s="589">
        <v>55.728409999999997</v>
      </c>
      <c r="K840" s="589">
        <v>55.728409999999997</v>
      </c>
      <c r="L840" s="394">
        <v>1</v>
      </c>
      <c r="M840" s="589">
        <v>55.728409999999997</v>
      </c>
      <c r="N840" s="6" t="s">
        <v>1749</v>
      </c>
      <c r="O840" s="393">
        <v>45680</v>
      </c>
      <c r="P840" s="33" t="str">
        <f>HYPERLINK("https://my.zakupivli.pro/remote/dispatcher/state_purchase_view/56857702", "UA-2025-01-23-015872-a")</f>
        <v>UA-2025-01-23-015872-a</v>
      </c>
      <c r="Q840" s="394">
        <v>55.728409999999997</v>
      </c>
      <c r="R840" s="394">
        <v>1</v>
      </c>
      <c r="S840" s="394">
        <v>55.728409999999997</v>
      </c>
      <c r="T840" s="353">
        <v>45680</v>
      </c>
      <c r="U840" s="352"/>
      <c r="V840" s="394" t="s">
        <v>59</v>
      </c>
    </row>
    <row r="841" spans="1:22" ht="43.2" x14ac:dyDescent="0.3">
      <c r="A841" s="352">
        <v>835</v>
      </c>
      <c r="B841" s="395" t="s">
        <v>21</v>
      </c>
      <c r="C841" s="44" t="s">
        <v>873</v>
      </c>
      <c r="D841" s="395" t="s">
        <v>58</v>
      </c>
      <c r="E841" s="395" t="s">
        <v>75</v>
      </c>
      <c r="F841" s="44" t="s">
        <v>2175</v>
      </c>
      <c r="G841" s="352" t="s">
        <v>186</v>
      </c>
      <c r="H841" s="589"/>
      <c r="I841" s="352">
        <v>40</v>
      </c>
      <c r="J841" s="589">
        <v>1250</v>
      </c>
      <c r="K841" s="589"/>
      <c r="L841" s="395">
        <v>40</v>
      </c>
      <c r="M841" s="589">
        <v>1250</v>
      </c>
      <c r="N841" s="6" t="s">
        <v>1751</v>
      </c>
      <c r="O841" s="353">
        <v>45684</v>
      </c>
      <c r="P841" s="33" t="str">
        <f>HYPERLINK("https://my.zakupivli.pro/remote/dispatcher/state_purchase_view/56925415", "UA-2025-01-27-005506-a")</f>
        <v>UA-2025-01-27-005506-a</v>
      </c>
      <c r="Q841" s="352"/>
      <c r="R841" s="352">
        <v>40</v>
      </c>
      <c r="S841" s="352">
        <v>880.84416999999996</v>
      </c>
      <c r="T841" s="441">
        <v>45708</v>
      </c>
      <c r="U841" s="352"/>
      <c r="V841" s="352"/>
    </row>
    <row r="842" spans="1:22" ht="62.4" x14ac:dyDescent="0.3">
      <c r="A842" s="352">
        <v>836</v>
      </c>
      <c r="B842" s="395" t="s">
        <v>21</v>
      </c>
      <c r="C842" s="44" t="s">
        <v>894</v>
      </c>
      <c r="D842" s="352"/>
      <c r="E842" s="395" t="s">
        <v>75</v>
      </c>
      <c r="F842" s="44" t="s">
        <v>2174</v>
      </c>
      <c r="G842" s="352" t="s">
        <v>185</v>
      </c>
      <c r="H842" s="589">
        <v>82.5</v>
      </c>
      <c r="I842" s="352">
        <v>5</v>
      </c>
      <c r="J842" s="589">
        <v>82.5</v>
      </c>
      <c r="K842" s="589">
        <v>82.5</v>
      </c>
      <c r="L842" s="395">
        <v>5</v>
      </c>
      <c r="M842" s="589">
        <v>82.5</v>
      </c>
      <c r="N842" s="6" t="s">
        <v>1752</v>
      </c>
      <c r="O842" s="396">
        <v>45684</v>
      </c>
      <c r="P842" s="33" t="str">
        <f>HYPERLINK("https://my.zakupivli.pro/remote/dispatcher/state_purchase_view/56922843", "UA-2025-01-27-004441-a")</f>
        <v>UA-2025-01-27-004441-a</v>
      </c>
      <c r="Q842" s="117">
        <v>82.5</v>
      </c>
      <c r="R842" s="395">
        <v>5</v>
      </c>
      <c r="S842" s="117">
        <v>82.5</v>
      </c>
      <c r="T842" s="396">
        <v>45684</v>
      </c>
      <c r="U842" s="352"/>
      <c r="V842" s="395" t="s">
        <v>59</v>
      </c>
    </row>
    <row r="843" spans="1:22" ht="62.4" x14ac:dyDescent="0.3">
      <c r="A843" s="352">
        <v>837</v>
      </c>
      <c r="B843" s="395" t="s">
        <v>21</v>
      </c>
      <c r="C843" s="452" t="s">
        <v>2167</v>
      </c>
      <c r="D843" s="446"/>
      <c r="E843" s="446" t="s">
        <v>75</v>
      </c>
      <c r="F843" s="452" t="s">
        <v>1750</v>
      </c>
      <c r="G843" s="352" t="s">
        <v>185</v>
      </c>
      <c r="H843" s="589">
        <v>83.325000000000003</v>
      </c>
      <c r="I843" s="352">
        <v>5</v>
      </c>
      <c r="J843" s="589">
        <v>83.325000000000003</v>
      </c>
      <c r="K843" s="589">
        <v>83.325000000000003</v>
      </c>
      <c r="L843" s="395">
        <v>5</v>
      </c>
      <c r="M843" s="589">
        <v>83.325000000000003</v>
      </c>
      <c r="N843" s="6" t="s">
        <v>1753</v>
      </c>
      <c r="O843" s="396">
        <v>45684</v>
      </c>
      <c r="P843" s="33" t="str">
        <f>HYPERLINK("https://my.zakupivli.pro/remote/dispatcher/state_purchase_view/56922591", "UA-2025-01-27-004273-a")</f>
        <v>UA-2025-01-27-004273-a</v>
      </c>
      <c r="Q843" s="395">
        <v>83.325000000000003</v>
      </c>
      <c r="R843" s="395">
        <v>5</v>
      </c>
      <c r="S843" s="395">
        <v>83.325000000000003</v>
      </c>
      <c r="T843" s="396">
        <v>45684</v>
      </c>
      <c r="U843" s="352"/>
      <c r="V843" s="395" t="s">
        <v>59</v>
      </c>
    </row>
    <row r="844" spans="1:22" ht="109.2" x14ac:dyDescent="0.3">
      <c r="A844" s="352">
        <v>838</v>
      </c>
      <c r="B844" s="43" t="s">
        <v>40</v>
      </c>
      <c r="C844" s="44" t="s">
        <v>2008</v>
      </c>
      <c r="D844" s="395" t="s">
        <v>58</v>
      </c>
      <c r="E844" s="395" t="s">
        <v>88</v>
      </c>
      <c r="F844" s="44" t="s">
        <v>1754</v>
      </c>
      <c r="G844" s="352" t="s">
        <v>184</v>
      </c>
      <c r="H844" s="589">
        <v>4346.2678999999998</v>
      </c>
      <c r="I844" s="352">
        <v>1</v>
      </c>
      <c r="J844" s="589">
        <v>4346.2678999999998</v>
      </c>
      <c r="K844" s="589">
        <v>4346.2678999999998</v>
      </c>
      <c r="L844" s="395">
        <v>1</v>
      </c>
      <c r="M844" s="589">
        <v>4346.2678999999998</v>
      </c>
      <c r="N844" s="6" t="s">
        <v>1757</v>
      </c>
      <c r="O844" s="396">
        <v>45684</v>
      </c>
      <c r="P844" s="33" t="str">
        <f>HYPERLINK("https://my.zakupivli.pro/remote/dispatcher/state_purchase_view/56941416", "UA-2025-01-27-012573-a")</f>
        <v>UA-2025-01-27-012573-a</v>
      </c>
      <c r="Q844" s="352"/>
      <c r="R844" s="352"/>
      <c r="S844" s="352"/>
      <c r="T844" s="353"/>
      <c r="U844" s="352"/>
      <c r="V844" s="352" t="s">
        <v>1793</v>
      </c>
    </row>
    <row r="845" spans="1:22" ht="109.2" x14ac:dyDescent="0.3">
      <c r="A845" s="352">
        <v>839</v>
      </c>
      <c r="B845" s="43" t="s">
        <v>40</v>
      </c>
      <c r="C845" s="44" t="s">
        <v>2008</v>
      </c>
      <c r="D845" s="395" t="s">
        <v>58</v>
      </c>
      <c r="E845" s="395" t="s">
        <v>88</v>
      </c>
      <c r="F845" s="44" t="s">
        <v>1755</v>
      </c>
      <c r="G845" s="395" t="s">
        <v>184</v>
      </c>
      <c r="H845" s="589">
        <v>28548.56783</v>
      </c>
      <c r="I845" s="352">
        <v>1</v>
      </c>
      <c r="J845" s="589">
        <v>28548.56783</v>
      </c>
      <c r="K845" s="589">
        <v>28548.56783</v>
      </c>
      <c r="L845" s="395">
        <v>1</v>
      </c>
      <c r="M845" s="589">
        <v>28548.56783</v>
      </c>
      <c r="N845" s="6" t="s">
        <v>1758</v>
      </c>
      <c r="O845" s="396">
        <v>45684</v>
      </c>
      <c r="P845" s="33" t="str">
        <f>HYPERLINK("https://my.zakupivli.pro/remote/dispatcher/state_purchase_view/56941334", "UA-2025-01-27-012515-a")</f>
        <v>UA-2025-01-27-012515-a</v>
      </c>
      <c r="Q845" s="117">
        <v>28548.5</v>
      </c>
      <c r="R845" s="352">
        <v>1</v>
      </c>
      <c r="S845" s="117">
        <v>28548.5</v>
      </c>
      <c r="T845" s="353">
        <v>45722</v>
      </c>
      <c r="U845" s="352"/>
      <c r="V845" s="352"/>
    </row>
    <row r="846" spans="1:22" ht="109.2" x14ac:dyDescent="0.3">
      <c r="A846" s="352">
        <v>840</v>
      </c>
      <c r="B846" s="43" t="s">
        <v>40</v>
      </c>
      <c r="C846" s="44" t="s">
        <v>2008</v>
      </c>
      <c r="D846" s="395" t="s">
        <v>58</v>
      </c>
      <c r="E846" s="395" t="s">
        <v>88</v>
      </c>
      <c r="F846" s="44" t="s">
        <v>1756</v>
      </c>
      <c r="G846" s="395" t="s">
        <v>184</v>
      </c>
      <c r="H846" s="589">
        <v>2484.1018399999998</v>
      </c>
      <c r="I846" s="352">
        <v>1</v>
      </c>
      <c r="J846" s="589">
        <v>2484.1018399999998</v>
      </c>
      <c r="K846" s="589">
        <v>2484.1018399999998</v>
      </c>
      <c r="L846" s="395">
        <v>1</v>
      </c>
      <c r="M846" s="589">
        <v>2484.1018399999998</v>
      </c>
      <c r="N846" s="6" t="s">
        <v>1759</v>
      </c>
      <c r="O846" s="396">
        <v>45684</v>
      </c>
      <c r="P846" s="33" t="str">
        <f>HYPERLINK("https://my.zakupivli.pro/remote/dispatcher/state_purchase_view/56940479", "UA-2025-01-27-012138-a")</f>
        <v>UA-2025-01-27-012138-a</v>
      </c>
      <c r="Q846" s="440">
        <v>2483.7523000000001</v>
      </c>
      <c r="R846" s="352">
        <v>1</v>
      </c>
      <c r="S846" s="352">
        <v>2483.7523000000001</v>
      </c>
      <c r="T846" s="353">
        <v>45716</v>
      </c>
      <c r="U846" s="352"/>
      <c r="V846" s="352"/>
    </row>
    <row r="847" spans="1:22" ht="156" x14ac:dyDescent="0.3">
      <c r="A847" s="352">
        <v>841</v>
      </c>
      <c r="B847" s="43" t="s">
        <v>40</v>
      </c>
      <c r="C847" s="44" t="s">
        <v>2008</v>
      </c>
      <c r="D847" s="395" t="s">
        <v>58</v>
      </c>
      <c r="E847" s="395" t="s">
        <v>88</v>
      </c>
      <c r="F847" s="44" t="s">
        <v>1760</v>
      </c>
      <c r="G847" s="395" t="s">
        <v>184</v>
      </c>
      <c r="H847" s="589">
        <v>8461.8582999999999</v>
      </c>
      <c r="I847" s="352">
        <v>1</v>
      </c>
      <c r="J847" s="589">
        <v>8461.8582999999999</v>
      </c>
      <c r="K847" s="589">
        <v>8461.8582999999999</v>
      </c>
      <c r="L847" s="395">
        <v>1</v>
      </c>
      <c r="M847" s="589">
        <v>8461.8582999999999</v>
      </c>
      <c r="N847" s="6" t="s">
        <v>1761</v>
      </c>
      <c r="O847" s="396">
        <v>45684</v>
      </c>
      <c r="P847" s="33" t="str">
        <f>HYPERLINK("https://my.zakupivli.pro/remote/dispatcher/state_purchase_view/56943093", "UA-2025-01-27-013389-a")</f>
        <v>UA-2025-01-27-013389-a</v>
      </c>
      <c r="Q847" s="446">
        <v>5461.8554999999997</v>
      </c>
      <c r="R847" s="446">
        <v>1</v>
      </c>
      <c r="S847" s="446">
        <v>5461.8554999999997</v>
      </c>
      <c r="T847" s="441">
        <v>45721</v>
      </c>
      <c r="U847" s="352"/>
      <c r="V847" s="352"/>
    </row>
    <row r="848" spans="1:22" ht="109.2" x14ac:dyDescent="0.3">
      <c r="A848" s="352">
        <v>842</v>
      </c>
      <c r="B848" s="43" t="s">
        <v>40</v>
      </c>
      <c r="C848" s="44" t="s">
        <v>41</v>
      </c>
      <c r="D848" s="395" t="s">
        <v>58</v>
      </c>
      <c r="E848" s="395" t="s">
        <v>88</v>
      </c>
      <c r="F848" s="44" t="s">
        <v>2173</v>
      </c>
      <c r="G848" s="395" t="s">
        <v>184</v>
      </c>
      <c r="H848" s="589">
        <v>1764.4071100000001</v>
      </c>
      <c r="I848" s="352">
        <v>1</v>
      </c>
      <c r="J848" s="589">
        <v>1764.4071100000001</v>
      </c>
      <c r="K848" s="589">
        <v>1764.4071100000001</v>
      </c>
      <c r="L848" s="395">
        <v>1</v>
      </c>
      <c r="M848" s="589">
        <v>1764.4071100000001</v>
      </c>
      <c r="N848" s="6" t="s">
        <v>1762</v>
      </c>
      <c r="O848" s="396">
        <v>45684</v>
      </c>
      <c r="P848" s="33" t="str">
        <f>HYPERLINK("https://my.zakupivli.pro/remote/dispatcher/state_purchase_view/56942695", "UA-2025-01-27-013156-a")</f>
        <v>UA-2025-01-27-013156-a</v>
      </c>
      <c r="Q848" s="443">
        <v>1764.2238</v>
      </c>
      <c r="R848" s="352">
        <v>1</v>
      </c>
      <c r="S848" s="352">
        <v>1764.2238</v>
      </c>
      <c r="T848" s="353">
        <v>45350</v>
      </c>
      <c r="U848" s="352"/>
      <c r="V848" s="352"/>
    </row>
    <row r="849" spans="1:22" ht="140.4" x14ac:dyDescent="0.3">
      <c r="A849" s="352">
        <v>843</v>
      </c>
      <c r="B849" s="43" t="s">
        <v>40</v>
      </c>
      <c r="C849" s="44" t="s">
        <v>1991</v>
      </c>
      <c r="D849" s="395" t="s">
        <v>58</v>
      </c>
      <c r="E849" s="395" t="s">
        <v>88</v>
      </c>
      <c r="F849" s="44" t="s">
        <v>1763</v>
      </c>
      <c r="G849" s="395" t="s">
        <v>184</v>
      </c>
      <c r="H849" s="589">
        <v>9651.1299999999992</v>
      </c>
      <c r="I849" s="352">
        <v>1</v>
      </c>
      <c r="J849" s="589">
        <v>9651.1299999999992</v>
      </c>
      <c r="K849" s="589">
        <v>9651.1299999999992</v>
      </c>
      <c r="L849" s="395">
        <v>1</v>
      </c>
      <c r="M849" s="589">
        <v>9651.1299999999992</v>
      </c>
      <c r="N849" s="6" t="s">
        <v>1765</v>
      </c>
      <c r="O849" s="396">
        <v>45684</v>
      </c>
      <c r="P849" s="33" t="str">
        <f>HYPERLINK("https://my.zakupivli.pro/remote/dispatcher/state_purchase_view/56943542", "UA-2025-01-27-013503-a")</f>
        <v>UA-2025-01-27-013503-a</v>
      </c>
      <c r="Q849" s="443">
        <v>9554.3718700000009</v>
      </c>
      <c r="R849" s="352">
        <v>1</v>
      </c>
      <c r="S849" s="352">
        <v>9554.3718700000009</v>
      </c>
      <c r="T849" s="353">
        <v>45726</v>
      </c>
      <c r="U849" s="352"/>
      <c r="V849" s="352"/>
    </row>
    <row r="850" spans="1:22" ht="109.2" x14ac:dyDescent="0.3">
      <c r="A850" s="352">
        <v>844</v>
      </c>
      <c r="B850" s="43" t="s">
        <v>40</v>
      </c>
      <c r="C850" s="44" t="s">
        <v>2008</v>
      </c>
      <c r="D850" s="395" t="s">
        <v>58</v>
      </c>
      <c r="E850" s="395" t="s">
        <v>88</v>
      </c>
      <c r="F850" s="44" t="s">
        <v>1764</v>
      </c>
      <c r="G850" s="395" t="s">
        <v>184</v>
      </c>
      <c r="H850" s="589">
        <v>1705.3318400000001</v>
      </c>
      <c r="I850" s="352">
        <v>1</v>
      </c>
      <c r="J850" s="589">
        <v>1705.3318400000001</v>
      </c>
      <c r="K850" s="589">
        <v>1705.3318400000001</v>
      </c>
      <c r="L850" s="395">
        <v>1</v>
      </c>
      <c r="M850" s="589">
        <v>1705.3318400000001</v>
      </c>
      <c r="N850" s="6" t="s">
        <v>1766</v>
      </c>
      <c r="O850" s="396">
        <v>45684</v>
      </c>
      <c r="P850" s="33" t="str">
        <f>HYPERLINK("https://my.zakupivli.pro/remote/dispatcher/state_purchase_view/56943535", "UA-2025-01-27-013497-a")</f>
        <v>UA-2025-01-27-013497-a</v>
      </c>
      <c r="Q850" s="443">
        <v>1705.33167</v>
      </c>
      <c r="R850" s="352">
        <v>1</v>
      </c>
      <c r="S850" s="352">
        <v>1705.33167</v>
      </c>
      <c r="T850" s="353">
        <v>45727</v>
      </c>
      <c r="U850" s="352"/>
      <c r="V850" s="352"/>
    </row>
    <row r="851" spans="1:22" ht="156" x14ac:dyDescent="0.3">
      <c r="A851" s="352">
        <v>845</v>
      </c>
      <c r="B851" s="43" t="s">
        <v>40</v>
      </c>
      <c r="C851" s="44" t="s">
        <v>41</v>
      </c>
      <c r="D851" s="395" t="s">
        <v>58</v>
      </c>
      <c r="E851" s="395" t="s">
        <v>88</v>
      </c>
      <c r="F851" s="44" t="s">
        <v>2172</v>
      </c>
      <c r="G851" s="395" t="s">
        <v>184</v>
      </c>
      <c r="H851" s="589">
        <v>12596.012000000001</v>
      </c>
      <c r="I851" s="352">
        <v>1</v>
      </c>
      <c r="J851" s="589">
        <v>12596.012000000001</v>
      </c>
      <c r="K851" s="589">
        <v>12596.012000000001</v>
      </c>
      <c r="L851" s="395">
        <v>1</v>
      </c>
      <c r="M851" s="589">
        <v>12596.012000000001</v>
      </c>
      <c r="N851" s="6" t="s">
        <v>1768</v>
      </c>
      <c r="O851" s="396">
        <v>45684</v>
      </c>
      <c r="P851" s="33" t="str">
        <f>HYPERLINK("https://my.zakupivli.pro/remote/dispatcher/state_purchase_view/56944556", "UA-2025-01-27-014006-a")</f>
        <v>UA-2025-01-27-014006-a</v>
      </c>
      <c r="Q851" s="352">
        <v>12576.503650000001</v>
      </c>
      <c r="R851" s="352">
        <v>1</v>
      </c>
      <c r="S851" s="443">
        <v>12576.503650000001</v>
      </c>
      <c r="T851" s="353">
        <v>45726</v>
      </c>
      <c r="U851" s="352"/>
      <c r="V851" s="352"/>
    </row>
    <row r="852" spans="1:22" ht="109.2" x14ac:dyDescent="0.3">
      <c r="A852" s="352">
        <v>846</v>
      </c>
      <c r="B852" s="43" t="s">
        <v>40</v>
      </c>
      <c r="C852" s="44" t="s">
        <v>2008</v>
      </c>
      <c r="D852" s="395" t="s">
        <v>58</v>
      </c>
      <c r="E852" s="395" t="s">
        <v>88</v>
      </c>
      <c r="F852" s="44" t="s">
        <v>1767</v>
      </c>
      <c r="G852" s="395" t="s">
        <v>184</v>
      </c>
      <c r="H852" s="589">
        <v>2505.2600000000002</v>
      </c>
      <c r="I852" s="352">
        <v>1</v>
      </c>
      <c r="J852" s="589">
        <v>2505.2600000000002</v>
      </c>
      <c r="K852" s="589">
        <v>2505.2600000000002</v>
      </c>
      <c r="L852" s="395">
        <v>1</v>
      </c>
      <c r="M852" s="589">
        <v>2505.2600000000002</v>
      </c>
      <c r="N852" s="6" t="s">
        <v>1769</v>
      </c>
      <c r="O852" s="396">
        <v>45684</v>
      </c>
      <c r="P852" s="33" t="str">
        <f>HYPERLINK("https://my.zakupivli.pro/remote/dispatcher/state_purchase_view/56944415", "UA-2025-01-27-013929-a")</f>
        <v>UA-2025-01-27-013929-a</v>
      </c>
      <c r="Q852" s="352">
        <v>2505.1131999999998</v>
      </c>
      <c r="R852" s="352">
        <v>1</v>
      </c>
      <c r="S852" s="443">
        <v>2505.1131999999998</v>
      </c>
      <c r="T852" s="353">
        <v>45716</v>
      </c>
      <c r="U852" s="352"/>
      <c r="V852" s="352"/>
    </row>
    <row r="853" spans="1:22" ht="109.2" x14ac:dyDescent="0.3">
      <c r="A853" s="395">
        <v>847</v>
      </c>
      <c r="B853" s="395" t="s">
        <v>40</v>
      </c>
      <c r="C853" s="44" t="s">
        <v>1991</v>
      </c>
      <c r="D853" s="395" t="s">
        <v>58</v>
      </c>
      <c r="E853" s="395" t="s">
        <v>88</v>
      </c>
      <c r="F853" s="44" t="s">
        <v>1770</v>
      </c>
      <c r="G853" s="395" t="s">
        <v>184</v>
      </c>
      <c r="H853" s="589">
        <v>3754.07</v>
      </c>
      <c r="I853" s="395">
        <v>1</v>
      </c>
      <c r="J853" s="589">
        <v>3754.07</v>
      </c>
      <c r="K853" s="589">
        <v>3754.07</v>
      </c>
      <c r="L853" s="395">
        <v>1</v>
      </c>
      <c r="M853" s="589">
        <v>3754.07</v>
      </c>
      <c r="N853" s="6" t="s">
        <v>1771</v>
      </c>
      <c r="O853" s="396">
        <v>45684</v>
      </c>
      <c r="P853" s="33" t="str">
        <f>HYPERLINK("https://my.zakupivli.pro/remote/dispatcher/state_purchase_view/56946083", "UA-2025-01-27-014685-a")</f>
        <v>UA-2025-01-27-014685-a</v>
      </c>
      <c r="Q853" s="395">
        <v>3716.3158699999999</v>
      </c>
      <c r="R853" s="395">
        <v>1</v>
      </c>
      <c r="S853" s="443">
        <v>3716.3158699999999</v>
      </c>
      <c r="T853" s="396">
        <v>45726</v>
      </c>
      <c r="U853" s="395"/>
      <c r="V853" s="395"/>
    </row>
    <row r="854" spans="1:22" ht="109.2" x14ac:dyDescent="0.3">
      <c r="A854" s="395">
        <v>848</v>
      </c>
      <c r="B854" s="395" t="s">
        <v>40</v>
      </c>
      <c r="C854" s="44" t="s">
        <v>41</v>
      </c>
      <c r="D854" s="395" t="s">
        <v>58</v>
      </c>
      <c r="E854" s="395" t="s">
        <v>88</v>
      </c>
      <c r="F854" s="44" t="s">
        <v>2171</v>
      </c>
      <c r="G854" s="395" t="s">
        <v>184</v>
      </c>
      <c r="H854" s="589" t="s">
        <v>1773</v>
      </c>
      <c r="I854" s="395">
        <v>1</v>
      </c>
      <c r="J854" s="589" t="s">
        <v>1773</v>
      </c>
      <c r="K854" s="589" t="s">
        <v>1773</v>
      </c>
      <c r="L854" s="395">
        <v>1</v>
      </c>
      <c r="M854" s="589" t="s">
        <v>1773</v>
      </c>
      <c r="N854" s="6" t="s">
        <v>1772</v>
      </c>
      <c r="O854" s="396">
        <v>45684</v>
      </c>
      <c r="P854" s="33" t="str">
        <f>HYPERLINK("https://my.zakupivli.pro/remote/dispatcher/state_purchase_view/56944894", "UA-2025-01-27-014227-a")</f>
        <v>UA-2025-01-27-014227-a</v>
      </c>
      <c r="Q854" s="395">
        <v>1525.7291700000001</v>
      </c>
      <c r="R854" s="395">
        <v>1</v>
      </c>
      <c r="S854" s="443">
        <v>1525.7291700000001</v>
      </c>
      <c r="T854" s="396">
        <v>45727</v>
      </c>
      <c r="U854" s="395"/>
      <c r="V854" s="395"/>
    </row>
    <row r="855" spans="1:22" ht="62.4" x14ac:dyDescent="0.3">
      <c r="A855" s="395">
        <v>849</v>
      </c>
      <c r="B855" s="395" t="s">
        <v>40</v>
      </c>
      <c r="C855" s="44" t="s">
        <v>1991</v>
      </c>
      <c r="D855" s="395"/>
      <c r="E855" s="395" t="s">
        <v>20</v>
      </c>
      <c r="F855" s="44" t="s">
        <v>1774</v>
      </c>
      <c r="G855" s="395" t="s">
        <v>184</v>
      </c>
      <c r="H855" s="589">
        <v>334.97960999999998</v>
      </c>
      <c r="I855" s="395">
        <v>1</v>
      </c>
      <c r="J855" s="589">
        <v>334.97960999999998</v>
      </c>
      <c r="K855" s="589">
        <v>334.97960999999998</v>
      </c>
      <c r="L855" s="395">
        <v>1</v>
      </c>
      <c r="M855" s="589">
        <v>334.97960999999998</v>
      </c>
      <c r="N855" s="6" t="s">
        <v>1776</v>
      </c>
      <c r="O855" s="396">
        <v>45684</v>
      </c>
      <c r="P855" s="33" t="str">
        <f>HYPERLINK("https://my.zakupivli.pro/remote/dispatcher/state_purchase_view/56947418", "UA-2025-01-27-015305-a")</f>
        <v>UA-2025-01-27-015305-a</v>
      </c>
      <c r="Q855" s="395">
        <v>334.97960999999998</v>
      </c>
      <c r="R855" s="395">
        <v>1</v>
      </c>
      <c r="S855" s="395">
        <v>334.97960999999998</v>
      </c>
      <c r="T855" s="396">
        <v>45684</v>
      </c>
      <c r="U855" s="395"/>
      <c r="V855" s="395" t="s">
        <v>59</v>
      </c>
    </row>
    <row r="856" spans="1:22" ht="140.4" x14ac:dyDescent="0.3">
      <c r="A856" s="395">
        <v>850</v>
      </c>
      <c r="B856" s="395" t="s">
        <v>40</v>
      </c>
      <c r="C856" s="44" t="s">
        <v>2008</v>
      </c>
      <c r="D856" s="395" t="s">
        <v>58</v>
      </c>
      <c r="E856" s="395" t="s">
        <v>88</v>
      </c>
      <c r="F856" s="44" t="s">
        <v>1775</v>
      </c>
      <c r="G856" s="395" t="s">
        <v>184</v>
      </c>
      <c r="H856" s="589">
        <v>12326.102199999999</v>
      </c>
      <c r="I856" s="395">
        <v>1</v>
      </c>
      <c r="J856" s="589">
        <v>12326.102199999999</v>
      </c>
      <c r="K856" s="589">
        <v>12326.102199999999</v>
      </c>
      <c r="L856" s="395">
        <v>1</v>
      </c>
      <c r="M856" s="589">
        <v>12326.102199999999</v>
      </c>
      <c r="N856" s="6" t="s">
        <v>1777</v>
      </c>
      <c r="O856" s="396">
        <v>45684</v>
      </c>
      <c r="P856" s="33" t="str">
        <f>HYPERLINK("https://my.zakupivli.pro/remote/dispatcher/state_purchase_view/56946120", "UA-2025-01-27-014719-a")</f>
        <v>UA-2025-01-27-014719-a</v>
      </c>
      <c r="Q856" s="395">
        <v>12291.666670000001</v>
      </c>
      <c r="R856" s="395">
        <v>1</v>
      </c>
      <c r="S856" s="443">
        <v>12291.666670000001</v>
      </c>
      <c r="T856" s="396">
        <v>45727</v>
      </c>
      <c r="U856" s="395"/>
      <c r="V856" s="395"/>
    </row>
    <row r="857" spans="1:22" ht="124.8" x14ac:dyDescent="0.3">
      <c r="A857" s="395">
        <v>851</v>
      </c>
      <c r="B857" s="395" t="s">
        <v>40</v>
      </c>
      <c r="C857" s="44" t="s">
        <v>2008</v>
      </c>
      <c r="D857" s="395" t="s">
        <v>58</v>
      </c>
      <c r="E857" s="395" t="s">
        <v>88</v>
      </c>
      <c r="F857" s="44" t="s">
        <v>1778</v>
      </c>
      <c r="G857" s="395" t="s">
        <v>184</v>
      </c>
      <c r="H857" s="589">
        <v>9000.2278900000001</v>
      </c>
      <c r="I857" s="395">
        <v>1</v>
      </c>
      <c r="J857" s="589">
        <v>9000.2278900000001</v>
      </c>
      <c r="K857" s="589">
        <v>9000.2278900000001</v>
      </c>
      <c r="L857" s="395">
        <v>1</v>
      </c>
      <c r="M857" s="589">
        <v>9000.2278900000001</v>
      </c>
      <c r="N857" s="6" t="s">
        <v>1780</v>
      </c>
      <c r="O857" s="396">
        <v>45684</v>
      </c>
      <c r="P857" s="33" t="str">
        <f>HYPERLINK("https://my.zakupivli.pro/remote/dispatcher/state_purchase_view/56947859", "UA-2025-01-27-015612-a")</f>
        <v>UA-2025-01-27-015612-a</v>
      </c>
      <c r="Q857" s="395">
        <v>8871.6583300000002</v>
      </c>
      <c r="R857" s="395">
        <v>1</v>
      </c>
      <c r="S857" s="443">
        <v>8871.6583300000002</v>
      </c>
      <c r="T857" s="396">
        <v>45727</v>
      </c>
      <c r="U857" s="395"/>
      <c r="V857" s="395"/>
    </row>
    <row r="858" spans="1:22" ht="109.2" x14ac:dyDescent="0.3">
      <c r="A858" s="395">
        <v>852</v>
      </c>
      <c r="B858" s="395" t="s">
        <v>40</v>
      </c>
      <c r="C858" s="44" t="s">
        <v>1991</v>
      </c>
      <c r="D858" s="395" t="s">
        <v>58</v>
      </c>
      <c r="E858" s="395" t="s">
        <v>88</v>
      </c>
      <c r="F858" s="44" t="s">
        <v>1779</v>
      </c>
      <c r="G858" s="395" t="s">
        <v>184</v>
      </c>
      <c r="H858" s="589">
        <v>2234.98</v>
      </c>
      <c r="I858" s="395">
        <v>1</v>
      </c>
      <c r="J858" s="589">
        <v>2234.98</v>
      </c>
      <c r="K858" s="589">
        <v>2234.98</v>
      </c>
      <c r="L858" s="395">
        <v>1</v>
      </c>
      <c r="M858" s="589">
        <v>2234.98</v>
      </c>
      <c r="N858" s="6" t="s">
        <v>1781</v>
      </c>
      <c r="O858" s="396">
        <v>45684</v>
      </c>
      <c r="P858" s="33" t="str">
        <f>HYPERLINK("https://my.zakupivli.pro/remote/dispatcher/state_purchase_view/56947791", "UA-2025-01-27-015561-a")</f>
        <v>UA-2025-01-27-015561-a</v>
      </c>
      <c r="Q858" s="395">
        <v>2212.82015</v>
      </c>
      <c r="R858" s="395">
        <v>1</v>
      </c>
      <c r="S858" s="443">
        <v>2212.82015</v>
      </c>
      <c r="T858" s="396">
        <v>45726</v>
      </c>
      <c r="U858" s="395"/>
      <c r="V858" s="395"/>
    </row>
    <row r="859" spans="1:22" ht="140.4" x14ac:dyDescent="0.3">
      <c r="A859" s="395">
        <v>853</v>
      </c>
      <c r="B859" s="395" t="s">
        <v>40</v>
      </c>
      <c r="C859" s="44" t="s">
        <v>41</v>
      </c>
      <c r="D859" s="395" t="s">
        <v>58</v>
      </c>
      <c r="E859" s="395" t="s">
        <v>88</v>
      </c>
      <c r="F859" s="44" t="s">
        <v>2170</v>
      </c>
      <c r="G859" s="395" t="s">
        <v>184</v>
      </c>
      <c r="H859" s="589">
        <v>14352</v>
      </c>
      <c r="I859" s="395">
        <v>1</v>
      </c>
      <c r="J859" s="589">
        <v>14352</v>
      </c>
      <c r="K859" s="589">
        <v>14352</v>
      </c>
      <c r="L859" s="395">
        <v>1</v>
      </c>
      <c r="M859" s="589">
        <v>14352</v>
      </c>
      <c r="N859" s="6" t="s">
        <v>1783</v>
      </c>
      <c r="O859" s="396">
        <v>45684</v>
      </c>
      <c r="P859" s="33" t="str">
        <f>HYPERLINK("https://my.zakupivli.pro/remote/dispatcher/state_purchase_view/56948967", "UA-2025-01-27-016031-a")</f>
        <v>UA-2025-01-27-016031-a</v>
      </c>
      <c r="Q859" s="395">
        <v>14208.07228</v>
      </c>
      <c r="R859" s="395">
        <v>1</v>
      </c>
      <c r="S859" s="443">
        <v>14208.07228</v>
      </c>
      <c r="T859" s="396">
        <v>45726</v>
      </c>
      <c r="U859" s="395"/>
      <c r="V859" s="395"/>
    </row>
    <row r="860" spans="1:22" ht="109.2" x14ac:dyDescent="0.3">
      <c r="A860" s="395">
        <v>854</v>
      </c>
      <c r="B860" s="395" t="s">
        <v>40</v>
      </c>
      <c r="C860" s="44" t="s">
        <v>2008</v>
      </c>
      <c r="D860" s="395" t="s">
        <v>58</v>
      </c>
      <c r="E860" s="395" t="s">
        <v>88</v>
      </c>
      <c r="F860" s="44" t="s">
        <v>1782</v>
      </c>
      <c r="G860" s="395" t="s">
        <v>184</v>
      </c>
      <c r="H860" s="589">
        <v>10440.961300000001</v>
      </c>
      <c r="I860" s="395">
        <v>1</v>
      </c>
      <c r="J860" s="589">
        <v>10440.961300000001</v>
      </c>
      <c r="K860" s="589">
        <v>10440.961300000001</v>
      </c>
      <c r="L860" s="395">
        <v>1</v>
      </c>
      <c r="M860" s="589">
        <v>10440.961300000001</v>
      </c>
      <c r="N860" s="6" t="s">
        <v>1784</v>
      </c>
      <c r="O860" s="396">
        <v>45684</v>
      </c>
      <c r="P860" s="33" t="str">
        <f>HYPERLINK("https://my.zakupivli.pro/remote/dispatcher/state_purchase_view/56948698", "UA-2025-01-27-016004-a")</f>
        <v>UA-2025-01-27-016004-a</v>
      </c>
      <c r="Q860" s="395">
        <v>10426.333339999999</v>
      </c>
      <c r="R860" s="395">
        <v>1</v>
      </c>
      <c r="S860" s="443">
        <v>10426.333339999999</v>
      </c>
      <c r="T860" s="396">
        <v>45727</v>
      </c>
      <c r="U860" s="395"/>
      <c r="V860" s="395"/>
    </row>
    <row r="861" spans="1:22" ht="93.6" x14ac:dyDescent="0.3">
      <c r="A861" s="395">
        <v>855</v>
      </c>
      <c r="B861" s="395" t="s">
        <v>40</v>
      </c>
      <c r="C861" s="44" t="s">
        <v>2008</v>
      </c>
      <c r="D861" s="395" t="s">
        <v>58</v>
      </c>
      <c r="E861" s="395" t="s">
        <v>88</v>
      </c>
      <c r="F861" s="44" t="s">
        <v>1785</v>
      </c>
      <c r="G861" s="395" t="s">
        <v>184</v>
      </c>
      <c r="H861" s="589">
        <v>3441.9586599999998</v>
      </c>
      <c r="I861" s="395">
        <v>1</v>
      </c>
      <c r="J861" s="589">
        <v>3441.9586599999998</v>
      </c>
      <c r="K861" s="589">
        <v>3441.9586599999998</v>
      </c>
      <c r="L861" s="395">
        <v>1</v>
      </c>
      <c r="M861" s="589">
        <v>3441.9586599999998</v>
      </c>
      <c r="N861" s="6" t="s">
        <v>1787</v>
      </c>
      <c r="O861" s="396">
        <v>45684</v>
      </c>
      <c r="P861" s="33" t="str">
        <f>HYPERLINK("https://my.zakupivli.pro/remote/dispatcher/state_purchase_view/56950592", "UA-2025-01-27-016823-a")</f>
        <v>UA-2025-01-27-016823-a</v>
      </c>
      <c r="Q861" s="395">
        <v>3416.6666700000001</v>
      </c>
      <c r="R861" s="395">
        <v>1</v>
      </c>
      <c r="S861" s="443">
        <v>3416.6666700000001</v>
      </c>
      <c r="T861" s="396">
        <v>45726</v>
      </c>
      <c r="U861" s="395"/>
      <c r="V861" s="395"/>
    </row>
    <row r="862" spans="1:22" ht="93.6" x14ac:dyDescent="0.3">
      <c r="A862" s="395">
        <v>856</v>
      </c>
      <c r="B862" s="395" t="s">
        <v>40</v>
      </c>
      <c r="C862" s="44" t="s">
        <v>2008</v>
      </c>
      <c r="D862" s="395" t="s">
        <v>58</v>
      </c>
      <c r="E862" s="395" t="s">
        <v>88</v>
      </c>
      <c r="F862" s="452" t="s">
        <v>1786</v>
      </c>
      <c r="G862" s="395" t="s">
        <v>184</v>
      </c>
      <c r="H862" s="589">
        <v>2837.1167799999998</v>
      </c>
      <c r="I862" s="395">
        <v>1</v>
      </c>
      <c r="J862" s="589">
        <v>2837.1167799999998</v>
      </c>
      <c r="K862" s="589">
        <v>2837.1167799999998</v>
      </c>
      <c r="L862" s="395">
        <v>1</v>
      </c>
      <c r="M862" s="589">
        <v>2837.1167799999998</v>
      </c>
      <c r="N862" s="6" t="s">
        <v>1788</v>
      </c>
      <c r="O862" s="396">
        <v>45684</v>
      </c>
      <c r="P862" s="33" t="str">
        <f>HYPERLINK("https://my.zakupivli.pro/remote/dispatcher/state_purchase_view/56949716", "UA-2025-01-27-016390-a")</f>
        <v>UA-2025-01-27-016390-a</v>
      </c>
      <c r="Q862" s="395">
        <v>2734.1666700000001</v>
      </c>
      <c r="R862" s="395">
        <v>1</v>
      </c>
      <c r="S862" s="443">
        <v>2734.1666700000001</v>
      </c>
      <c r="T862" s="396">
        <v>45726</v>
      </c>
      <c r="U862" s="395"/>
      <c r="V862" s="395"/>
    </row>
    <row r="863" spans="1:22" ht="43.2" x14ac:dyDescent="0.3">
      <c r="A863" s="395">
        <v>857</v>
      </c>
      <c r="B863" s="395" t="s">
        <v>21</v>
      </c>
      <c r="C863" s="44" t="s">
        <v>1789</v>
      </c>
      <c r="D863" s="397" t="s">
        <v>58</v>
      </c>
      <c r="E863" s="395" t="s">
        <v>75</v>
      </c>
      <c r="F863" s="44" t="s">
        <v>2169</v>
      </c>
      <c r="G863" s="395" t="s">
        <v>186</v>
      </c>
      <c r="H863" s="589"/>
      <c r="I863" s="395">
        <v>42</v>
      </c>
      <c r="J863" s="589">
        <v>3854.1666700000001</v>
      </c>
      <c r="K863" s="589"/>
      <c r="L863" s="397">
        <v>42</v>
      </c>
      <c r="M863" s="589">
        <v>3854.1666700000001</v>
      </c>
      <c r="N863" s="6" t="s">
        <v>1790</v>
      </c>
      <c r="O863" s="396">
        <v>45685</v>
      </c>
      <c r="P863" s="33" t="str">
        <f>HYPERLINK("https://my.zakupivli.pro/remote/dispatcher/state_purchase_view/56991092", "UA-2025-01-28-015503-a")</f>
        <v>UA-2025-01-28-015503-a</v>
      </c>
      <c r="Q863" s="395"/>
      <c r="R863" s="395">
        <v>1</v>
      </c>
      <c r="S863" s="395">
        <v>3466.3110000000001</v>
      </c>
      <c r="T863" s="398">
        <v>45707</v>
      </c>
      <c r="U863" s="395"/>
      <c r="V863" s="395"/>
    </row>
    <row r="864" spans="1:22" ht="109.2" x14ac:dyDescent="0.3">
      <c r="A864" s="395">
        <v>858</v>
      </c>
      <c r="B864" s="395" t="s">
        <v>21</v>
      </c>
      <c r="C864" s="44" t="s">
        <v>1723</v>
      </c>
      <c r="D864" s="397" t="s">
        <v>58</v>
      </c>
      <c r="E864" s="399" t="s">
        <v>75</v>
      </c>
      <c r="F864" s="502" t="s">
        <v>2168</v>
      </c>
      <c r="G864" s="395" t="s">
        <v>185</v>
      </c>
      <c r="H864" s="589"/>
      <c r="I864" s="395">
        <v>11</v>
      </c>
      <c r="J864" s="589">
        <v>191.1</v>
      </c>
      <c r="K864" s="589"/>
      <c r="L864" s="397">
        <v>11</v>
      </c>
      <c r="M864" s="589">
        <v>191.1</v>
      </c>
      <c r="N864" s="6" t="s">
        <v>1791</v>
      </c>
      <c r="O864" s="398">
        <v>45685</v>
      </c>
      <c r="P864" s="33" t="str">
        <f>HYPERLINK("https://my.zakupivli.pro/remote/dispatcher/state_purchase_view/56987956", "UA-2025-01-28-014015-a")</f>
        <v>UA-2025-01-28-014015-a</v>
      </c>
      <c r="Q864" s="395"/>
      <c r="R864" s="395">
        <v>11</v>
      </c>
      <c r="S864" s="395">
        <v>145.13</v>
      </c>
      <c r="T864" s="398">
        <v>45700</v>
      </c>
      <c r="U864" s="395"/>
      <c r="V864" s="395"/>
    </row>
    <row r="865" spans="1:22" ht="62.4" x14ac:dyDescent="0.3">
      <c r="A865" s="395">
        <v>859</v>
      </c>
      <c r="B865" s="395" t="s">
        <v>21</v>
      </c>
      <c r="C865" s="44" t="s">
        <v>2167</v>
      </c>
      <c r="D865" s="395"/>
      <c r="E865" s="399" t="s">
        <v>75</v>
      </c>
      <c r="F865" s="44" t="s">
        <v>1750</v>
      </c>
      <c r="G865" s="395" t="s">
        <v>185</v>
      </c>
      <c r="H865" s="589"/>
      <c r="I865" s="395">
        <v>4</v>
      </c>
      <c r="J865" s="589">
        <v>66.66</v>
      </c>
      <c r="K865" s="589"/>
      <c r="L865" s="397">
        <v>4</v>
      </c>
      <c r="M865" s="589">
        <v>66.66</v>
      </c>
      <c r="N865" s="6" t="s">
        <v>1792</v>
      </c>
      <c r="O865" s="398">
        <v>45685</v>
      </c>
      <c r="P865" s="33" t="str">
        <f>HYPERLINK("https://my.zakupivli.pro/remote/dispatcher/state_purchase_view/56982494", "UA-2025-01-28-011482-a")</f>
        <v>UA-2025-01-28-011482-a</v>
      </c>
      <c r="Q865" s="395"/>
      <c r="R865" s="397">
        <v>4</v>
      </c>
      <c r="S865" s="397">
        <v>66.66</v>
      </c>
      <c r="T865" s="398">
        <v>45685</v>
      </c>
      <c r="U865" s="395"/>
      <c r="V865" s="397" t="s">
        <v>59</v>
      </c>
    </row>
    <row r="866" spans="1:22" ht="43.2" x14ac:dyDescent="0.3">
      <c r="A866" s="399">
        <v>860</v>
      </c>
      <c r="B866" s="446" t="s">
        <v>21</v>
      </c>
      <c r="C866" s="452" t="s">
        <v>2167</v>
      </c>
      <c r="D866" s="446" t="s">
        <v>58</v>
      </c>
      <c r="E866" s="446" t="s">
        <v>75</v>
      </c>
      <c r="F866" s="452" t="s">
        <v>801</v>
      </c>
      <c r="G866" s="399" t="s">
        <v>185</v>
      </c>
      <c r="H866" s="589"/>
      <c r="I866" s="399">
        <v>32</v>
      </c>
      <c r="J866" s="589">
        <v>425.41665999999998</v>
      </c>
      <c r="K866" s="589"/>
      <c r="L866" s="399">
        <v>32</v>
      </c>
      <c r="M866" s="589">
        <v>425.41665999999998</v>
      </c>
      <c r="N866" s="6" t="s">
        <v>1794</v>
      </c>
      <c r="O866" s="400">
        <v>45686</v>
      </c>
      <c r="P866" s="33" t="str">
        <f>HYPERLINK("https://my.zakupivli.pro/remote/dispatcher/state_purchase_view/57010056", "UA-2025-01-29-003903-a")</f>
        <v>UA-2025-01-29-003903-a</v>
      </c>
      <c r="Q866" s="399"/>
      <c r="R866" s="399">
        <v>32</v>
      </c>
      <c r="S866" s="399">
        <v>417.82560000000001</v>
      </c>
      <c r="T866" s="400">
        <v>45712</v>
      </c>
      <c r="U866" s="399"/>
      <c r="V866" s="399"/>
    </row>
    <row r="867" spans="1:22" ht="43.2" x14ac:dyDescent="0.3">
      <c r="A867" s="399">
        <v>861</v>
      </c>
      <c r="B867" s="399" t="s">
        <v>21</v>
      </c>
      <c r="C867" s="44" t="s">
        <v>2167</v>
      </c>
      <c r="D867" s="399" t="s">
        <v>58</v>
      </c>
      <c r="E867" s="399" t="s">
        <v>75</v>
      </c>
      <c r="F867" s="44" t="s">
        <v>802</v>
      </c>
      <c r="G867" s="399" t="s">
        <v>185</v>
      </c>
      <c r="H867" s="589"/>
      <c r="I867" s="399">
        <v>259</v>
      </c>
      <c r="J867" s="589">
        <v>250.20249999999999</v>
      </c>
      <c r="K867" s="589"/>
      <c r="L867" s="399">
        <v>259</v>
      </c>
      <c r="M867" s="589">
        <v>250.20249999999999</v>
      </c>
      <c r="N867" s="6" t="s">
        <v>1795</v>
      </c>
      <c r="O867" s="400">
        <v>45686</v>
      </c>
      <c r="P867" s="33" t="str">
        <f>HYPERLINK("https://my.zakupivli.pro/remote/dispatcher/state_purchase_view/57010056", "UA-2025-01-29-003903-a")</f>
        <v>UA-2025-01-29-003903-a</v>
      </c>
      <c r="Q867" s="399"/>
      <c r="R867" s="399">
        <v>259</v>
      </c>
      <c r="S867" s="399">
        <v>160.41237000000001</v>
      </c>
      <c r="T867" s="400">
        <v>45706</v>
      </c>
      <c r="U867" s="399"/>
      <c r="V867" s="399"/>
    </row>
    <row r="868" spans="1:22" ht="43.2" x14ac:dyDescent="0.3">
      <c r="A868" s="399">
        <v>862</v>
      </c>
      <c r="B868" s="399" t="s">
        <v>21</v>
      </c>
      <c r="C868" s="44" t="s">
        <v>32</v>
      </c>
      <c r="D868" s="399" t="s">
        <v>58</v>
      </c>
      <c r="E868" s="399" t="s">
        <v>75</v>
      </c>
      <c r="F868" s="44" t="s">
        <v>2166</v>
      </c>
      <c r="G868" s="399" t="s">
        <v>186</v>
      </c>
      <c r="H868" s="589"/>
      <c r="I868" s="399">
        <v>8</v>
      </c>
      <c r="J868" s="589">
        <v>575</v>
      </c>
      <c r="K868" s="589"/>
      <c r="L868" s="399">
        <v>8</v>
      </c>
      <c r="M868" s="589">
        <v>575</v>
      </c>
      <c r="N868" s="6" t="s">
        <v>1796</v>
      </c>
      <c r="O868" s="400">
        <v>45687</v>
      </c>
      <c r="P868" s="33" t="str">
        <f>HYPERLINK("https://my.zakupivli.pro/remote/dispatcher/state_purchase_view/57062513", "UA-2025-01-30-008146-a")</f>
        <v>UA-2025-01-30-008146-a</v>
      </c>
      <c r="Q868" s="446"/>
      <c r="R868" s="446">
        <v>8</v>
      </c>
      <c r="S868" s="446">
        <v>405.4</v>
      </c>
      <c r="T868" s="441">
        <v>45712</v>
      </c>
      <c r="U868" s="399"/>
      <c r="V868" s="399"/>
    </row>
    <row r="869" spans="1:22" ht="43.2" x14ac:dyDescent="0.3">
      <c r="A869" s="399">
        <v>863</v>
      </c>
      <c r="B869" s="399" t="s">
        <v>21</v>
      </c>
      <c r="C869" s="44" t="s">
        <v>2039</v>
      </c>
      <c r="D869" s="399" t="s">
        <v>58</v>
      </c>
      <c r="E869" s="399" t="s">
        <v>75</v>
      </c>
      <c r="F869" s="44" t="s">
        <v>982</v>
      </c>
      <c r="G869" s="399" t="s">
        <v>186</v>
      </c>
      <c r="H869" s="589"/>
      <c r="I869" s="399">
        <v>19</v>
      </c>
      <c r="J869" s="589">
        <v>35537.1</v>
      </c>
      <c r="K869" s="589"/>
      <c r="L869" s="399">
        <v>19</v>
      </c>
      <c r="M869" s="589">
        <v>35537.1</v>
      </c>
      <c r="N869" s="6" t="s">
        <v>1797</v>
      </c>
      <c r="O869" s="400">
        <v>45687</v>
      </c>
      <c r="P869" s="33" t="str">
        <f>HYPERLINK("https://my.zakupivli.pro/remote/dispatcher/state_purchase_view/57062513", "UA-2025-01-30-008146-a")</f>
        <v>UA-2025-01-30-008146-a</v>
      </c>
      <c r="Q869" s="399"/>
      <c r="R869" s="399">
        <v>19</v>
      </c>
      <c r="S869" s="117">
        <v>30791</v>
      </c>
      <c r="T869" s="400">
        <v>45743</v>
      </c>
      <c r="U869" s="399"/>
      <c r="V869" s="399"/>
    </row>
    <row r="870" spans="1:22" ht="43.2" x14ac:dyDescent="0.3">
      <c r="A870" s="399">
        <v>864</v>
      </c>
      <c r="B870" s="399" t="s">
        <v>21</v>
      </c>
      <c r="C870" s="44" t="s">
        <v>2039</v>
      </c>
      <c r="D870" s="399" t="s">
        <v>58</v>
      </c>
      <c r="E870" s="399" t="s">
        <v>75</v>
      </c>
      <c r="F870" s="44" t="s">
        <v>983</v>
      </c>
      <c r="G870" s="399" t="s">
        <v>186</v>
      </c>
      <c r="H870" s="589">
        <v>1310.75</v>
      </c>
      <c r="I870" s="399">
        <v>1</v>
      </c>
      <c r="J870" s="589">
        <v>1310.75</v>
      </c>
      <c r="K870" s="589">
        <v>1310.75</v>
      </c>
      <c r="L870" s="399">
        <v>1</v>
      </c>
      <c r="M870" s="589">
        <v>1310.75</v>
      </c>
      <c r="N870" s="6" t="s">
        <v>1798</v>
      </c>
      <c r="O870" s="400">
        <v>45687</v>
      </c>
      <c r="P870" s="33" t="str">
        <f>HYPERLINK("https://my.zakupivli.pro/remote/dispatcher/state_purchase_view/57062513", "UA-2025-01-30-008146-a")</f>
        <v>UA-2025-01-30-008146-a</v>
      </c>
      <c r="Q870" s="399">
        <v>1256.3040000000001</v>
      </c>
      <c r="R870" s="399">
        <v>1</v>
      </c>
      <c r="S870" s="443">
        <v>1256.3040000000001</v>
      </c>
      <c r="T870" s="400">
        <v>45726</v>
      </c>
      <c r="U870" s="399"/>
      <c r="V870" s="399"/>
    </row>
    <row r="871" spans="1:22" ht="43.2" x14ac:dyDescent="0.3">
      <c r="A871" s="399">
        <v>865</v>
      </c>
      <c r="B871" s="399" t="s">
        <v>21</v>
      </c>
      <c r="C871" s="44" t="s">
        <v>2039</v>
      </c>
      <c r="D871" s="399" t="s">
        <v>58</v>
      </c>
      <c r="E871" s="399" t="s">
        <v>75</v>
      </c>
      <c r="F871" s="44" t="s">
        <v>984</v>
      </c>
      <c r="G871" s="399" t="s">
        <v>186</v>
      </c>
      <c r="H871" s="589"/>
      <c r="I871" s="399">
        <v>2</v>
      </c>
      <c r="J871" s="589">
        <v>21.70833</v>
      </c>
      <c r="K871" s="589"/>
      <c r="L871" s="399">
        <v>2</v>
      </c>
      <c r="M871" s="589">
        <v>21.70833</v>
      </c>
      <c r="N871" s="6" t="s">
        <v>1799</v>
      </c>
      <c r="O871" s="400">
        <v>45687</v>
      </c>
      <c r="P871" s="33" t="str">
        <f>HYPERLINK("https://my.zakupivli.pro/remote/dispatcher/state_purchase_view/57062513", "UA-2025-01-30-008146-a")</f>
        <v>UA-2025-01-30-008146-a</v>
      </c>
      <c r="Q871" s="399"/>
      <c r="R871" s="399">
        <v>2</v>
      </c>
      <c r="S871" s="399">
        <v>21.701000000000001</v>
      </c>
      <c r="T871" s="400">
        <v>45708</v>
      </c>
      <c r="U871" s="399"/>
      <c r="V871" s="399"/>
    </row>
    <row r="872" spans="1:22" ht="62.4" x14ac:dyDescent="0.3">
      <c r="A872" s="399">
        <v>866</v>
      </c>
      <c r="B872" s="446" t="s">
        <v>40</v>
      </c>
      <c r="C872" s="452" t="s">
        <v>2081</v>
      </c>
      <c r="D872" s="446"/>
      <c r="E872" s="446" t="s">
        <v>75</v>
      </c>
      <c r="F872" s="452" t="s">
        <v>1800</v>
      </c>
      <c r="G872" s="399" t="s">
        <v>184</v>
      </c>
      <c r="H872" s="589">
        <v>1213.87454</v>
      </c>
      <c r="I872" s="399">
        <v>1</v>
      </c>
      <c r="J872" s="589">
        <v>1213.87454</v>
      </c>
      <c r="K872" s="589">
        <v>1213.87454</v>
      </c>
      <c r="L872" s="401">
        <v>1</v>
      </c>
      <c r="M872" s="589">
        <v>1213.87454</v>
      </c>
      <c r="N872" s="6" t="s">
        <v>1804</v>
      </c>
      <c r="O872" s="400">
        <v>45688</v>
      </c>
      <c r="P872" s="33" t="str">
        <f>HYPERLINK("https://my.zakupivli.pro/remote/dispatcher/state_purchase_view/57102057", "UA-2025-01-31-008018-a")</f>
        <v>UA-2025-01-31-008018-a</v>
      </c>
      <c r="Q872" s="401">
        <v>1213.87454</v>
      </c>
      <c r="R872" s="401">
        <v>1</v>
      </c>
      <c r="S872" s="401">
        <v>1213.87454</v>
      </c>
      <c r="T872" s="402">
        <v>45688</v>
      </c>
      <c r="U872" s="399"/>
      <c r="V872" s="401" t="s">
        <v>59</v>
      </c>
    </row>
    <row r="873" spans="1:22" ht="62.4" x14ac:dyDescent="0.3">
      <c r="A873" s="401">
        <v>867</v>
      </c>
      <c r="B873" s="401" t="s">
        <v>40</v>
      </c>
      <c r="C873" s="44" t="s">
        <v>41</v>
      </c>
      <c r="D873" s="401"/>
      <c r="E873" s="401" t="s">
        <v>20</v>
      </c>
      <c r="F873" s="44" t="s">
        <v>2165</v>
      </c>
      <c r="G873" s="401" t="s">
        <v>184</v>
      </c>
      <c r="H873" s="589">
        <v>170.66155000000001</v>
      </c>
      <c r="I873" s="401">
        <v>1</v>
      </c>
      <c r="J873" s="589">
        <v>170.66155000000001</v>
      </c>
      <c r="K873" s="589">
        <v>170.66155000000001</v>
      </c>
      <c r="L873" s="401">
        <v>1</v>
      </c>
      <c r="M873" s="589">
        <v>170.66155000000001</v>
      </c>
      <c r="N873" s="6" t="s">
        <v>1805</v>
      </c>
      <c r="O873" s="402">
        <v>45688</v>
      </c>
      <c r="P873" s="33" t="str">
        <f>HYPERLINK("https://my.zakupivli.pro/remote/dispatcher/state_purchase_view/57100319", "UA-2025-01-31-007250-a")</f>
        <v>UA-2025-01-31-007250-a</v>
      </c>
      <c r="Q873" s="401">
        <v>170.66155000000001</v>
      </c>
      <c r="R873" s="401">
        <v>1</v>
      </c>
      <c r="S873" s="401">
        <v>170.66155000000001</v>
      </c>
      <c r="T873" s="402">
        <v>45688</v>
      </c>
      <c r="U873" s="401"/>
      <c r="V873" s="401" t="s">
        <v>59</v>
      </c>
    </row>
    <row r="874" spans="1:22" ht="62.4" x14ac:dyDescent="0.3">
      <c r="A874" s="401">
        <v>868</v>
      </c>
      <c r="B874" s="446" t="s">
        <v>40</v>
      </c>
      <c r="C874" s="452" t="s">
        <v>2081</v>
      </c>
      <c r="D874" s="446"/>
      <c r="E874" s="446" t="s">
        <v>75</v>
      </c>
      <c r="F874" s="452" t="s">
        <v>1801</v>
      </c>
      <c r="G874" s="401" t="s">
        <v>184</v>
      </c>
      <c r="H874" s="589">
        <v>1221.7584400000001</v>
      </c>
      <c r="I874" s="401">
        <v>1</v>
      </c>
      <c r="J874" s="589">
        <v>1221.7584400000001</v>
      </c>
      <c r="K874" s="589">
        <v>1221.7584400000001</v>
      </c>
      <c r="L874" s="401">
        <v>1</v>
      </c>
      <c r="M874" s="589">
        <v>1221.7584400000001</v>
      </c>
      <c r="N874" s="6" t="s">
        <v>1806</v>
      </c>
      <c r="O874" s="402">
        <v>45688</v>
      </c>
      <c r="P874" s="33" t="str">
        <f>HYPERLINK("https://my.zakupivli.pro/remote/dispatcher/state_purchase_view/57092256", "UA-2025-01-31-003646-a")</f>
        <v>UA-2025-01-31-003646-a</v>
      </c>
      <c r="Q874" s="401">
        <v>1221.7584400000001</v>
      </c>
      <c r="R874" s="401">
        <v>1</v>
      </c>
      <c r="S874" s="401">
        <v>1221.7584400000001</v>
      </c>
      <c r="T874" s="402">
        <v>45688</v>
      </c>
      <c r="U874" s="401"/>
      <c r="V874" s="401" t="s">
        <v>59</v>
      </c>
    </row>
    <row r="875" spans="1:22" ht="62.4" x14ac:dyDescent="0.3">
      <c r="A875" s="401">
        <v>869</v>
      </c>
      <c r="B875" s="401" t="s">
        <v>40</v>
      </c>
      <c r="C875" s="44" t="s">
        <v>73</v>
      </c>
      <c r="D875" s="401"/>
      <c r="E875" s="401" t="s">
        <v>75</v>
      </c>
      <c r="F875" s="44" t="s">
        <v>2164</v>
      </c>
      <c r="G875" s="401" t="s">
        <v>184</v>
      </c>
      <c r="H875" s="589">
        <v>1212.7150200000001</v>
      </c>
      <c r="I875" s="401">
        <v>1</v>
      </c>
      <c r="J875" s="589">
        <v>1212.7150200000001</v>
      </c>
      <c r="K875" s="589">
        <v>1212.7150200000001</v>
      </c>
      <c r="L875" s="401">
        <v>1</v>
      </c>
      <c r="M875" s="589">
        <v>1212.7150200000001</v>
      </c>
      <c r="N875" s="6" t="s">
        <v>1807</v>
      </c>
      <c r="O875" s="402">
        <v>45688</v>
      </c>
      <c r="P875" s="33" t="str">
        <f>HYPERLINK("https://my.zakupivli.pro/remote/dispatcher/state_purchase_view/57092017", "UA-2025-01-31-003489-a")</f>
        <v>UA-2025-01-31-003489-a</v>
      </c>
      <c r="Q875" s="401">
        <v>1212.7150200000001</v>
      </c>
      <c r="R875" s="401">
        <v>1</v>
      </c>
      <c r="S875" s="401">
        <v>1212.7150200000001</v>
      </c>
      <c r="T875" s="402">
        <v>45688</v>
      </c>
      <c r="U875" s="401"/>
      <c r="V875" s="401" t="s">
        <v>59</v>
      </c>
    </row>
    <row r="876" spans="1:22" ht="62.4" x14ac:dyDescent="0.3">
      <c r="A876" s="401">
        <v>870</v>
      </c>
      <c r="B876" s="401" t="s">
        <v>21</v>
      </c>
      <c r="C876" s="44" t="s">
        <v>2007</v>
      </c>
      <c r="D876" s="401"/>
      <c r="E876" s="446" t="s">
        <v>75</v>
      </c>
      <c r="F876" s="452" t="s">
        <v>1720</v>
      </c>
      <c r="G876" s="401" t="s">
        <v>185</v>
      </c>
      <c r="H876" s="589"/>
      <c r="I876" s="401">
        <v>6156</v>
      </c>
      <c r="J876" s="589">
        <v>4784.1333299999997</v>
      </c>
      <c r="K876" s="589"/>
      <c r="L876" s="401">
        <v>6156</v>
      </c>
      <c r="M876" s="589">
        <v>4784.1333299999997</v>
      </c>
      <c r="N876" s="6" t="s">
        <v>1808</v>
      </c>
      <c r="O876" s="402">
        <v>45688</v>
      </c>
      <c r="P876" s="33" t="str">
        <f>HYPERLINK("https://my.zakupivli.pro/remote/dispatcher/state_purchase_view/57088046", "UA-2025-01-31-001734-a")</f>
        <v>UA-2025-01-31-001734-a</v>
      </c>
      <c r="Q876" s="401"/>
      <c r="R876" s="401">
        <v>6156</v>
      </c>
      <c r="S876" s="401">
        <v>4707.7524999999996</v>
      </c>
      <c r="T876" s="402">
        <v>45707</v>
      </c>
      <c r="U876" s="401"/>
      <c r="V876" s="401"/>
    </row>
    <row r="877" spans="1:22" ht="43.2" x14ac:dyDescent="0.3">
      <c r="A877" s="401">
        <v>871</v>
      </c>
      <c r="B877" s="401" t="s">
        <v>21</v>
      </c>
      <c r="C877" s="44" t="s">
        <v>1803</v>
      </c>
      <c r="D877" s="401"/>
      <c r="E877" s="401" t="s">
        <v>75</v>
      </c>
      <c r="F877" s="44" t="s">
        <v>2163</v>
      </c>
      <c r="G877" s="401" t="s">
        <v>186</v>
      </c>
      <c r="H877" s="589"/>
      <c r="I877" s="401">
        <v>34</v>
      </c>
      <c r="J877" s="589">
        <v>534.52913000000001</v>
      </c>
      <c r="K877" s="589"/>
      <c r="L877" s="401">
        <v>34</v>
      </c>
      <c r="M877" s="589">
        <v>534.52913000000001</v>
      </c>
      <c r="N877" s="6" t="s">
        <v>1809</v>
      </c>
      <c r="O877" s="402">
        <v>45688</v>
      </c>
      <c r="P877" s="33" t="str">
        <f>HYPERLINK("https://my.zakupivli.pro/remote/dispatcher/state_purchase_view/57084914", "UA-2025-01-31-000377-a")</f>
        <v>UA-2025-01-31-000377-a</v>
      </c>
      <c r="Q877" s="401"/>
      <c r="R877" s="401">
        <v>34</v>
      </c>
      <c r="S877" s="401">
        <v>502.09455000000003</v>
      </c>
      <c r="T877" s="442">
        <v>45707</v>
      </c>
      <c r="U877" s="401"/>
      <c r="V877" s="401"/>
    </row>
    <row r="878" spans="1:22" ht="43.2" x14ac:dyDescent="0.3">
      <c r="A878" s="401">
        <v>872</v>
      </c>
      <c r="B878" s="401" t="s">
        <v>21</v>
      </c>
      <c r="C878" s="44" t="s">
        <v>2162</v>
      </c>
      <c r="D878" s="401"/>
      <c r="E878" s="401" t="s">
        <v>75</v>
      </c>
      <c r="F878" s="44" t="s">
        <v>1802</v>
      </c>
      <c r="G878" s="401" t="s">
        <v>186</v>
      </c>
      <c r="H878" s="589"/>
      <c r="I878" s="401">
        <v>3</v>
      </c>
      <c r="J878" s="589">
        <v>467.08332999999999</v>
      </c>
      <c r="K878" s="589"/>
      <c r="L878" s="401">
        <v>3</v>
      </c>
      <c r="M878" s="589">
        <v>467.08332999999999</v>
      </c>
      <c r="N878" s="6" t="s">
        <v>1810</v>
      </c>
      <c r="O878" s="402">
        <v>45688</v>
      </c>
      <c r="P878" s="42" t="str">
        <f>HYPERLINK("https://my.zakupivli.pro/remote/dispatcher/state_purchase_view/57084914", "UA-2025-01-31-000377-a")</f>
        <v>UA-2025-01-31-000377-a</v>
      </c>
      <c r="Q878" s="401"/>
      <c r="R878" s="401">
        <v>3</v>
      </c>
      <c r="S878" s="401">
        <v>461.30840000000001</v>
      </c>
      <c r="T878" s="402">
        <v>45706</v>
      </c>
      <c r="U878" s="401"/>
      <c r="V878" s="401"/>
    </row>
    <row r="879" spans="1:22" ht="62.4" x14ac:dyDescent="0.3">
      <c r="A879" s="401">
        <v>873</v>
      </c>
      <c r="B879" s="401" t="s">
        <v>40</v>
      </c>
      <c r="C879" s="44" t="s">
        <v>73</v>
      </c>
      <c r="D879" s="401"/>
      <c r="E879" s="403" t="s">
        <v>75</v>
      </c>
      <c r="F879" s="44" t="s">
        <v>2161</v>
      </c>
      <c r="G879" s="401" t="s">
        <v>184</v>
      </c>
      <c r="H879" s="589">
        <v>1249.1666600000001</v>
      </c>
      <c r="I879" s="401">
        <v>1</v>
      </c>
      <c r="J879" s="589">
        <v>1249.1666600000001</v>
      </c>
      <c r="K879" s="589">
        <v>1249.1666600000001</v>
      </c>
      <c r="L879" s="403">
        <v>1</v>
      </c>
      <c r="M879" s="589">
        <v>1249.1666600000001</v>
      </c>
      <c r="N879" s="6" t="s">
        <v>1813</v>
      </c>
      <c r="O879" s="402">
        <v>45691</v>
      </c>
      <c r="P879" s="33" t="str">
        <f>HYPERLINK("https://my.zakupivli.pro/remote/dispatcher/state_purchase_view/57145030", "UA-2025-02-03-010811-a")</f>
        <v>UA-2025-02-03-010811-a</v>
      </c>
      <c r="Q879" s="403">
        <v>1249.1666600000001</v>
      </c>
      <c r="R879" s="403">
        <v>1</v>
      </c>
      <c r="S879" s="403">
        <v>1249.1666600000001</v>
      </c>
      <c r="T879" s="404">
        <v>45691</v>
      </c>
      <c r="U879" s="401"/>
      <c r="V879" s="403" t="s">
        <v>59</v>
      </c>
    </row>
    <row r="880" spans="1:22" ht="62.4" x14ac:dyDescent="0.3">
      <c r="A880" s="403">
        <v>874</v>
      </c>
      <c r="B880" s="403" t="s">
        <v>40</v>
      </c>
      <c r="C880" s="452" t="s">
        <v>73</v>
      </c>
      <c r="D880" s="446"/>
      <c r="E880" s="446" t="s">
        <v>75</v>
      </c>
      <c r="F880" s="452" t="s">
        <v>2160</v>
      </c>
      <c r="G880" s="403" t="s">
        <v>184</v>
      </c>
      <c r="H880" s="589">
        <v>1249.1666600000001</v>
      </c>
      <c r="I880" s="403">
        <v>1</v>
      </c>
      <c r="J880" s="589">
        <v>1249.1666600000001</v>
      </c>
      <c r="K880" s="589">
        <v>1249.1666600000001</v>
      </c>
      <c r="L880" s="403">
        <v>1</v>
      </c>
      <c r="M880" s="589">
        <v>1249.1666600000001</v>
      </c>
      <c r="N880" s="6" t="s">
        <v>1814</v>
      </c>
      <c r="O880" s="404">
        <v>45691</v>
      </c>
      <c r="P880" s="33" t="str">
        <f>HYPERLINK("https://my.zakupivli.pro/remote/dispatcher/state_purchase_view/57144174", "UA-2025-02-03-010425-a")</f>
        <v>UA-2025-02-03-010425-a</v>
      </c>
      <c r="Q880" s="403">
        <v>1249.1666600000001</v>
      </c>
      <c r="R880" s="403">
        <v>1</v>
      </c>
      <c r="S880" s="403">
        <v>1249.1666600000001</v>
      </c>
      <c r="T880" s="404">
        <v>45691</v>
      </c>
      <c r="U880" s="403"/>
      <c r="V880" s="403" t="s">
        <v>59</v>
      </c>
    </row>
    <row r="881" spans="1:22" ht="62.4" x14ac:dyDescent="0.3">
      <c r="A881" s="403">
        <v>875</v>
      </c>
      <c r="B881" s="403" t="s">
        <v>40</v>
      </c>
      <c r="C881" s="44" t="s">
        <v>2081</v>
      </c>
      <c r="D881" s="403"/>
      <c r="E881" s="403" t="s">
        <v>75</v>
      </c>
      <c r="F881" s="44" t="s">
        <v>1811</v>
      </c>
      <c r="G881" s="403" t="s">
        <v>184</v>
      </c>
      <c r="H881" s="589">
        <v>1249.8669400000001</v>
      </c>
      <c r="I881" s="403">
        <v>1</v>
      </c>
      <c r="J881" s="589">
        <v>1249.8669400000001</v>
      </c>
      <c r="K881" s="589">
        <v>1249.8669400000001</v>
      </c>
      <c r="L881" s="403">
        <v>1</v>
      </c>
      <c r="M881" s="589">
        <v>1249.8669400000001</v>
      </c>
      <c r="N881" s="6" t="s">
        <v>1815</v>
      </c>
      <c r="O881" s="404">
        <v>45691</v>
      </c>
      <c r="P881" s="33" t="str">
        <f>HYPERLINK("https://my.zakupivli.pro/remote/dispatcher/state_purchase_view/57141917", "UA-2025-02-03-009439-a")</f>
        <v>UA-2025-02-03-009439-a</v>
      </c>
      <c r="Q881" s="403">
        <v>1249.8669400000001</v>
      </c>
      <c r="R881" s="403">
        <v>1</v>
      </c>
      <c r="S881" s="403">
        <v>1249.8669400000001</v>
      </c>
      <c r="T881" s="404">
        <v>45691</v>
      </c>
      <c r="U881" s="403"/>
      <c r="V881" s="403" t="s">
        <v>59</v>
      </c>
    </row>
    <row r="882" spans="1:22" ht="62.4" x14ac:dyDescent="0.3">
      <c r="A882" s="403">
        <v>876</v>
      </c>
      <c r="B882" s="403" t="s">
        <v>40</v>
      </c>
      <c r="C882" s="44" t="s">
        <v>2081</v>
      </c>
      <c r="D882" s="403"/>
      <c r="E882" s="403" t="s">
        <v>75</v>
      </c>
      <c r="F882" s="44" t="s">
        <v>1812</v>
      </c>
      <c r="G882" s="403" t="s">
        <v>184</v>
      </c>
      <c r="H882" s="589">
        <v>1249.63825</v>
      </c>
      <c r="I882" s="403">
        <v>1</v>
      </c>
      <c r="J882" s="589">
        <v>1249.63825</v>
      </c>
      <c r="K882" s="589">
        <v>1249.63825</v>
      </c>
      <c r="L882" s="403">
        <v>1</v>
      </c>
      <c r="M882" s="589">
        <v>1249.63825</v>
      </c>
      <c r="N882" s="6" t="s">
        <v>1816</v>
      </c>
      <c r="O882" s="404">
        <v>45691</v>
      </c>
      <c r="P882" s="33" t="str">
        <f>HYPERLINK("https://my.zakupivli.pro/remote/dispatcher/state_purchase_view/57141684", "UA-2025-02-03-009297-a")</f>
        <v>UA-2025-02-03-009297-a</v>
      </c>
      <c r="Q882" s="403">
        <v>1249.63825</v>
      </c>
      <c r="R882" s="403">
        <v>1</v>
      </c>
      <c r="S882" s="403">
        <v>1249.63825</v>
      </c>
      <c r="T882" s="404">
        <v>45691</v>
      </c>
      <c r="U882" s="403"/>
      <c r="V882" s="403" t="s">
        <v>59</v>
      </c>
    </row>
    <row r="883" spans="1:22" ht="62.4" x14ac:dyDescent="0.3">
      <c r="A883" s="403">
        <v>877</v>
      </c>
      <c r="B883" s="403" t="s">
        <v>40</v>
      </c>
      <c r="C883" s="44" t="s">
        <v>884</v>
      </c>
      <c r="D883" s="403"/>
      <c r="E883" s="403" t="s">
        <v>20</v>
      </c>
      <c r="F883" s="44" t="s">
        <v>2119</v>
      </c>
      <c r="G883" s="403" t="s">
        <v>184</v>
      </c>
      <c r="H883" s="589">
        <v>283.64323000000002</v>
      </c>
      <c r="I883" s="403">
        <v>1</v>
      </c>
      <c r="J883" s="589">
        <v>283.64323000000002</v>
      </c>
      <c r="K883" s="589">
        <v>283.64323000000002</v>
      </c>
      <c r="L883" s="403">
        <v>1</v>
      </c>
      <c r="M883" s="589">
        <v>283.64323000000002</v>
      </c>
      <c r="N883" s="6" t="s">
        <v>1817</v>
      </c>
      <c r="O883" s="404">
        <v>45691</v>
      </c>
      <c r="P883" s="33" t="str">
        <f>HYPERLINK("https://my.zakupivli.pro/remote/dispatcher/state_purchase_view/57122049", "UA-2025-02-03-000583-a")</f>
        <v>UA-2025-02-03-000583-a</v>
      </c>
      <c r="Q883" s="403">
        <v>283.64323000000002</v>
      </c>
      <c r="R883" s="403">
        <v>1</v>
      </c>
      <c r="S883" s="403">
        <v>283.64323000000002</v>
      </c>
      <c r="T883" s="404">
        <v>45691</v>
      </c>
      <c r="U883" s="403"/>
      <c r="V883" s="403" t="s">
        <v>59</v>
      </c>
    </row>
    <row r="884" spans="1:22" ht="62.4" x14ac:dyDescent="0.3">
      <c r="A884" s="403">
        <v>878</v>
      </c>
      <c r="B884" s="403" t="s">
        <v>40</v>
      </c>
      <c r="C884" s="44" t="s">
        <v>884</v>
      </c>
      <c r="D884" s="403"/>
      <c r="E884" s="403" t="s">
        <v>20</v>
      </c>
      <c r="F884" s="44" t="s">
        <v>2118</v>
      </c>
      <c r="G884" s="403" t="s">
        <v>184</v>
      </c>
      <c r="H884" s="589">
        <v>49.407220000000002</v>
      </c>
      <c r="I884" s="403">
        <v>1</v>
      </c>
      <c r="J884" s="589">
        <v>49.407220000000002</v>
      </c>
      <c r="K884" s="589">
        <v>49.407220000000002</v>
      </c>
      <c r="L884" s="403">
        <v>1</v>
      </c>
      <c r="M884" s="589">
        <v>49.407220000000002</v>
      </c>
      <c r="N884" s="6" t="s">
        <v>1818</v>
      </c>
      <c r="O884" s="404">
        <v>45691</v>
      </c>
      <c r="P884" s="33" t="str">
        <f>HYPERLINK("https://my.zakupivli.pro/remote/dispatcher/state_purchase_view/57121076", "UA-2025-02-03-000158-a")</f>
        <v>UA-2025-02-03-000158-a</v>
      </c>
      <c r="Q884" s="403">
        <v>49.407220000000002</v>
      </c>
      <c r="R884" s="403">
        <v>1</v>
      </c>
      <c r="S884" s="403">
        <v>49.407220000000002</v>
      </c>
      <c r="T884" s="404">
        <v>45691</v>
      </c>
      <c r="U884" s="403"/>
      <c r="V884" s="403" t="s">
        <v>59</v>
      </c>
    </row>
    <row r="885" spans="1:22" ht="93.6" x14ac:dyDescent="0.3">
      <c r="A885" s="403">
        <v>879</v>
      </c>
      <c r="B885" s="403" t="s">
        <v>1150</v>
      </c>
      <c r="C885" s="44" t="s">
        <v>2117</v>
      </c>
      <c r="D885" s="405" t="s">
        <v>58</v>
      </c>
      <c r="E885" s="403" t="s">
        <v>75</v>
      </c>
      <c r="F885" s="44" t="s">
        <v>1819</v>
      </c>
      <c r="G885" s="403" t="s">
        <v>1149</v>
      </c>
      <c r="H885" s="589">
        <v>1491.6666600000001</v>
      </c>
      <c r="I885" s="403">
        <v>1</v>
      </c>
      <c r="J885" s="589">
        <v>1491.6666600000001</v>
      </c>
      <c r="K885" s="589">
        <v>1491.6666600000001</v>
      </c>
      <c r="L885" s="405">
        <v>1</v>
      </c>
      <c r="M885" s="589">
        <v>1491.6666600000001</v>
      </c>
      <c r="N885" s="6" t="s">
        <v>1820</v>
      </c>
      <c r="O885" s="404">
        <v>45661</v>
      </c>
      <c r="P885" s="33" t="str">
        <f>HYPERLINK("https://my.zakupivli.pro/remote/dispatcher/state_purchase_view/57188673", "UA-2025-02-04-013387-a")</f>
        <v>UA-2025-02-04-013387-a</v>
      </c>
      <c r="Q885" s="403">
        <v>1491.6666600000001</v>
      </c>
      <c r="R885" s="403">
        <v>1</v>
      </c>
      <c r="S885" s="443">
        <v>1491.6666600000001</v>
      </c>
      <c r="T885" s="404">
        <v>45708</v>
      </c>
      <c r="U885" s="403"/>
      <c r="V885" s="403"/>
    </row>
    <row r="886" spans="1:22" ht="78" x14ac:dyDescent="0.3">
      <c r="A886" s="403">
        <v>880</v>
      </c>
      <c r="B886" s="403" t="s">
        <v>40</v>
      </c>
      <c r="C886" s="44" t="s">
        <v>1991</v>
      </c>
      <c r="D886" s="403"/>
      <c r="E886" s="403" t="s">
        <v>20</v>
      </c>
      <c r="F886" s="44" t="s">
        <v>1821</v>
      </c>
      <c r="G886" s="403" t="s">
        <v>184</v>
      </c>
      <c r="H886" s="589">
        <v>106.89339</v>
      </c>
      <c r="I886" s="403">
        <v>1</v>
      </c>
      <c r="J886" s="589">
        <v>106.89339</v>
      </c>
      <c r="K886" s="589">
        <v>106.89339</v>
      </c>
      <c r="L886" s="406">
        <v>1</v>
      </c>
      <c r="M886" s="589">
        <v>106.89339</v>
      </c>
      <c r="N886" s="6" t="s">
        <v>1826</v>
      </c>
      <c r="O886" s="404">
        <v>45693</v>
      </c>
      <c r="P886" s="33" t="str">
        <f>HYPERLINK("https://my.zakupivli.pro/remote/dispatcher/state_purchase_view/57231734", "UA-2025-02-05-014871-a")</f>
        <v>UA-2025-02-05-014871-a</v>
      </c>
      <c r="Q886" s="406">
        <v>106.89339</v>
      </c>
      <c r="R886" s="406">
        <v>1</v>
      </c>
      <c r="S886" s="406">
        <v>106.89339</v>
      </c>
      <c r="T886" s="407">
        <v>45693</v>
      </c>
      <c r="U886" s="403"/>
      <c r="V886" s="406" t="s">
        <v>59</v>
      </c>
    </row>
    <row r="887" spans="1:22" ht="62.4" x14ac:dyDescent="0.3">
      <c r="A887" s="406">
        <v>881</v>
      </c>
      <c r="B887" s="406" t="s">
        <v>21</v>
      </c>
      <c r="C887" s="44" t="s">
        <v>2038</v>
      </c>
      <c r="D887" s="406"/>
      <c r="E887" s="406" t="s">
        <v>75</v>
      </c>
      <c r="F887" s="44" t="s">
        <v>908</v>
      </c>
      <c r="G887" s="406" t="s">
        <v>185</v>
      </c>
      <c r="H887" s="589"/>
      <c r="I887" s="406">
        <v>24</v>
      </c>
      <c r="J887" s="589">
        <v>63.216000000000001</v>
      </c>
      <c r="K887" s="589"/>
      <c r="L887" s="406">
        <v>24</v>
      </c>
      <c r="M887" s="589">
        <v>63.216000000000001</v>
      </c>
      <c r="N887" s="6" t="s">
        <v>1827</v>
      </c>
      <c r="O887" s="407">
        <v>45693</v>
      </c>
      <c r="P887" s="33" t="str">
        <f>HYPERLINK("https://my.zakupivli.pro/remote/dispatcher/state_purchase_view/57223306", "UA-2025-02-05-010881-a")</f>
        <v>UA-2025-02-05-010881-a</v>
      </c>
      <c r="Q887" s="406"/>
      <c r="R887" s="406">
        <v>24</v>
      </c>
      <c r="S887" s="406">
        <v>63.216000000000001</v>
      </c>
      <c r="T887" s="407">
        <v>45693</v>
      </c>
      <c r="U887" s="406"/>
      <c r="V887" s="406" t="s">
        <v>59</v>
      </c>
    </row>
    <row r="888" spans="1:22" ht="78" x14ac:dyDescent="0.3">
      <c r="A888" s="406">
        <v>882</v>
      </c>
      <c r="B888" s="406" t="s">
        <v>40</v>
      </c>
      <c r="C888" s="44" t="s">
        <v>1991</v>
      </c>
      <c r="D888" s="406"/>
      <c r="E888" s="406" t="s">
        <v>20</v>
      </c>
      <c r="F888" s="44" t="s">
        <v>1822</v>
      </c>
      <c r="G888" s="406" t="s">
        <v>184</v>
      </c>
      <c r="H888" s="589">
        <v>83.528109999999998</v>
      </c>
      <c r="I888" s="406">
        <v>1</v>
      </c>
      <c r="J888" s="589">
        <v>83.528109999999998</v>
      </c>
      <c r="K888" s="589">
        <v>83.528109999999998</v>
      </c>
      <c r="L888" s="406">
        <v>1</v>
      </c>
      <c r="M888" s="589">
        <v>83.528109999999998</v>
      </c>
      <c r="N888" s="6" t="s">
        <v>1828</v>
      </c>
      <c r="O888" s="407">
        <v>45693</v>
      </c>
      <c r="P888" s="33" t="str">
        <f>HYPERLINK("https://my.zakupivli.pro/remote/dispatcher/state_purchase_view/57220856", "UA-2025-02-05-009779-a")</f>
        <v>UA-2025-02-05-009779-a</v>
      </c>
      <c r="Q888" s="406">
        <v>83.528109999999998</v>
      </c>
      <c r="R888" s="406">
        <v>1</v>
      </c>
      <c r="S888" s="406">
        <v>83.528109999999998</v>
      </c>
      <c r="T888" s="407">
        <v>45693</v>
      </c>
      <c r="U888" s="406"/>
      <c r="V888" s="406" t="s">
        <v>59</v>
      </c>
    </row>
    <row r="889" spans="1:22" ht="78" x14ac:dyDescent="0.3">
      <c r="A889" s="406">
        <v>883</v>
      </c>
      <c r="B889" s="406" t="s">
        <v>40</v>
      </c>
      <c r="C889" s="44" t="s">
        <v>1991</v>
      </c>
      <c r="D889" s="406"/>
      <c r="E889" s="406" t="s">
        <v>20</v>
      </c>
      <c r="F889" s="44" t="s">
        <v>1823</v>
      </c>
      <c r="G889" s="406" t="s">
        <v>184</v>
      </c>
      <c r="H889" s="589">
        <v>476.90512999999999</v>
      </c>
      <c r="I889" s="406">
        <v>1</v>
      </c>
      <c r="J889" s="589">
        <v>476.90512999999999</v>
      </c>
      <c r="K889" s="589">
        <v>476.90512999999999</v>
      </c>
      <c r="L889" s="406">
        <v>1</v>
      </c>
      <c r="M889" s="589">
        <v>476.90512999999999</v>
      </c>
      <c r="N889" s="6" t="s">
        <v>1829</v>
      </c>
      <c r="O889" s="407">
        <v>45693</v>
      </c>
      <c r="P889" s="33" t="str">
        <f>HYPERLINK("https://my.zakupivli.pro/remote/dispatcher/state_purchase_view/57220098", "UA-2025-02-05-009432-a")</f>
        <v>UA-2025-02-05-009432-a</v>
      </c>
      <c r="Q889" s="406">
        <v>476.90512999999999</v>
      </c>
      <c r="R889" s="406">
        <v>1</v>
      </c>
      <c r="S889" s="406">
        <v>476.90512999999999</v>
      </c>
      <c r="T889" s="407">
        <v>45693</v>
      </c>
      <c r="U889" s="406"/>
      <c r="V889" s="406" t="s">
        <v>59</v>
      </c>
    </row>
    <row r="890" spans="1:22" ht="62.4" x14ac:dyDescent="0.3">
      <c r="A890" s="406">
        <v>884</v>
      </c>
      <c r="B890" s="406" t="s">
        <v>21</v>
      </c>
      <c r="C890" s="452" t="s">
        <v>2116</v>
      </c>
      <c r="D890" s="446" t="s">
        <v>58</v>
      </c>
      <c r="E890" s="446" t="s">
        <v>75</v>
      </c>
      <c r="F890" s="452" t="s">
        <v>1824</v>
      </c>
      <c r="G890" s="406" t="s">
        <v>186</v>
      </c>
      <c r="H890" s="589"/>
      <c r="I890" s="406">
        <v>36</v>
      </c>
      <c r="J890" s="589">
        <v>733.33333000000005</v>
      </c>
      <c r="K890" s="589"/>
      <c r="L890" s="406">
        <v>36</v>
      </c>
      <c r="M890" s="589">
        <v>733.33333000000005</v>
      </c>
      <c r="N890" s="6" t="s">
        <v>1830</v>
      </c>
      <c r="O890" s="407">
        <v>45693</v>
      </c>
      <c r="P890" s="33" t="str">
        <f>HYPERLINK("https://my.zakupivli.pro/remote/dispatcher/state_purchase_view/57218765", "UA-2025-02-05-008804-a")</f>
        <v>UA-2025-02-05-008804-a</v>
      </c>
      <c r="Q890" s="406"/>
      <c r="R890" s="406">
        <v>36</v>
      </c>
      <c r="S890" s="406">
        <v>523.14535000000001</v>
      </c>
      <c r="T890" s="407">
        <v>45708</v>
      </c>
      <c r="U890" s="406"/>
      <c r="V890" s="406"/>
    </row>
    <row r="891" spans="1:22" ht="62.4" x14ac:dyDescent="0.3">
      <c r="A891" s="406">
        <v>885</v>
      </c>
      <c r="B891" s="406" t="s">
        <v>21</v>
      </c>
      <c r="C891" s="44" t="s">
        <v>1217</v>
      </c>
      <c r="D891" s="406" t="s">
        <v>58</v>
      </c>
      <c r="E891" s="406" t="s">
        <v>75</v>
      </c>
      <c r="F891" s="44" t="s">
        <v>2087</v>
      </c>
      <c r="G891" s="406" t="s">
        <v>185</v>
      </c>
      <c r="H891" s="589"/>
      <c r="I891" s="406">
        <v>357</v>
      </c>
      <c r="J891" s="589">
        <v>4154.7439999999997</v>
      </c>
      <c r="K891" s="589"/>
      <c r="L891" s="406">
        <v>357</v>
      </c>
      <c r="M891" s="589">
        <v>4154.7439999999997</v>
      </c>
      <c r="N891" s="6" t="s">
        <v>1831</v>
      </c>
      <c r="O891" s="407">
        <v>45693</v>
      </c>
      <c r="P891" s="33" t="str">
        <f>HYPERLINK("https://my.zakupivli.pro/remote/dispatcher/state_purchase_view/57218243", "UA-2025-02-05-008594-a")</f>
        <v>UA-2025-02-05-008594-a</v>
      </c>
      <c r="Q891" s="406"/>
      <c r="R891" s="406">
        <v>357</v>
      </c>
      <c r="S891" s="406">
        <v>3238.7710000000002</v>
      </c>
      <c r="T891" s="407">
        <v>45727</v>
      </c>
      <c r="U891" s="406"/>
      <c r="V891" s="406"/>
    </row>
    <row r="892" spans="1:22" ht="43.2" x14ac:dyDescent="0.3">
      <c r="A892" s="406">
        <v>886</v>
      </c>
      <c r="B892" s="406" t="s">
        <v>21</v>
      </c>
      <c r="C892" s="44" t="s">
        <v>2086</v>
      </c>
      <c r="D892" s="406" t="s">
        <v>58</v>
      </c>
      <c r="E892" s="406" t="s">
        <v>75</v>
      </c>
      <c r="F892" s="44" t="s">
        <v>1825</v>
      </c>
      <c r="G892" s="406" t="s">
        <v>186</v>
      </c>
      <c r="H892" s="589"/>
      <c r="I892" s="406">
        <v>15</v>
      </c>
      <c r="J892" s="589">
        <v>238.33332999999999</v>
      </c>
      <c r="K892" s="589"/>
      <c r="L892" s="406"/>
      <c r="M892" s="589"/>
      <c r="N892" s="6" t="s">
        <v>1832</v>
      </c>
      <c r="O892" s="407">
        <v>45693</v>
      </c>
      <c r="P892" s="33" t="str">
        <f>HYPERLINK("https://my.zakupivli.pro/remote/dispatcher/state_purchase_view/57204593", "UA-2025-02-05-002451-a")</f>
        <v>UA-2025-02-05-002451-a</v>
      </c>
      <c r="Q892" s="406"/>
      <c r="R892" s="406">
        <v>15</v>
      </c>
      <c r="S892" s="406">
        <v>214.17869999999999</v>
      </c>
      <c r="T892" s="407">
        <v>45712</v>
      </c>
      <c r="U892" s="406"/>
      <c r="V892" s="406"/>
    </row>
    <row r="893" spans="1:22" ht="43.2" x14ac:dyDescent="0.3">
      <c r="A893" s="408">
        <v>887</v>
      </c>
      <c r="B893" s="408" t="s">
        <v>21</v>
      </c>
      <c r="C893" s="452" t="s">
        <v>2085</v>
      </c>
      <c r="D893" s="446" t="s">
        <v>58</v>
      </c>
      <c r="E893" s="446" t="s">
        <v>75</v>
      </c>
      <c r="F893" s="475" t="s">
        <v>1833</v>
      </c>
      <c r="G893" s="408" t="s">
        <v>186</v>
      </c>
      <c r="H893" s="589"/>
      <c r="I893" s="408">
        <v>16</v>
      </c>
      <c r="J893" s="589">
        <v>1516.6666600000001</v>
      </c>
      <c r="K893" s="589"/>
      <c r="L893" s="408">
        <v>16</v>
      </c>
      <c r="M893" s="589">
        <v>1516.6666600000001</v>
      </c>
      <c r="N893" s="6" t="s">
        <v>1834</v>
      </c>
      <c r="O893" s="409">
        <v>45694</v>
      </c>
      <c r="P893" s="33" t="str">
        <f>HYPERLINK("https://my.zakupivli.pro/remote/dispatcher/state_purchase_view/57248238", "UA-2025-02-06-004155-a")</f>
        <v>UA-2025-02-06-004155-a</v>
      </c>
      <c r="Q893" s="446"/>
      <c r="R893" s="446">
        <v>16</v>
      </c>
      <c r="S893" s="446">
        <v>1264.9974999999999</v>
      </c>
      <c r="T893" s="441">
        <v>45713</v>
      </c>
      <c r="U893" s="408"/>
      <c r="V893" s="408"/>
    </row>
    <row r="894" spans="1:22" ht="78" x14ac:dyDescent="0.3">
      <c r="A894" s="408">
        <v>888</v>
      </c>
      <c r="B894" s="408" t="s">
        <v>21</v>
      </c>
      <c r="C894" s="44" t="s">
        <v>174</v>
      </c>
      <c r="D894" s="410" t="s">
        <v>58</v>
      </c>
      <c r="E894" s="408" t="s">
        <v>75</v>
      </c>
      <c r="F894" s="44" t="s">
        <v>2084</v>
      </c>
      <c r="G894" s="408" t="s">
        <v>186</v>
      </c>
      <c r="H894" s="589"/>
      <c r="I894" s="408">
        <v>17</v>
      </c>
      <c r="J894" s="589">
        <v>720</v>
      </c>
      <c r="K894" s="589"/>
      <c r="L894" s="410">
        <v>17</v>
      </c>
      <c r="M894" s="589">
        <v>720</v>
      </c>
      <c r="N894" s="6" t="s">
        <v>1835</v>
      </c>
      <c r="O894" s="409">
        <v>45695</v>
      </c>
      <c r="P894" s="33" t="str">
        <f>HYPERLINK("https://my.zakupivli.pro/remote/dispatcher/state_purchase_view/57301275", "UA-2025-02-07-010817-a")</f>
        <v>UA-2025-02-07-010817-a</v>
      </c>
      <c r="Q894" s="408"/>
      <c r="R894" s="408">
        <v>17</v>
      </c>
      <c r="S894" s="408">
        <v>580.73310000000004</v>
      </c>
      <c r="T894" s="409">
        <v>45715</v>
      </c>
      <c r="U894" s="408"/>
      <c r="V894" s="408"/>
    </row>
    <row r="895" spans="1:22" ht="93.6" x14ac:dyDescent="0.3">
      <c r="A895" s="408">
        <v>889</v>
      </c>
      <c r="B895" s="408" t="s">
        <v>40</v>
      </c>
      <c r="C895" s="44" t="s">
        <v>41</v>
      </c>
      <c r="D895" s="408"/>
      <c r="E895" s="408" t="s">
        <v>20</v>
      </c>
      <c r="F895" s="44" t="s">
        <v>2083</v>
      </c>
      <c r="G895" s="408" t="s">
        <v>184</v>
      </c>
      <c r="H895" s="589">
        <v>787.02700000000004</v>
      </c>
      <c r="I895" s="408">
        <v>1</v>
      </c>
      <c r="J895" s="589">
        <v>787.02700000000004</v>
      </c>
      <c r="K895" s="589">
        <v>787.02700000000004</v>
      </c>
      <c r="L895" s="410">
        <v>1</v>
      </c>
      <c r="M895" s="589">
        <v>787.02700000000004</v>
      </c>
      <c r="N895" s="6" t="s">
        <v>1836</v>
      </c>
      <c r="O895" s="411">
        <v>45695</v>
      </c>
      <c r="P895" s="33" t="str">
        <f>HYPERLINK("https://my.zakupivli.pro/remote/dispatcher/state_purchase_view/57295165", "UA-2025-02-07-007901-a")</f>
        <v>UA-2025-02-07-007901-a</v>
      </c>
      <c r="Q895" s="410">
        <v>787.02700000000004</v>
      </c>
      <c r="R895" s="410">
        <v>1</v>
      </c>
      <c r="S895" s="410">
        <v>787.02700000000004</v>
      </c>
      <c r="T895" s="411">
        <v>45695</v>
      </c>
      <c r="U895" s="408"/>
      <c r="V895" s="410" t="s">
        <v>59</v>
      </c>
    </row>
    <row r="896" spans="1:22" ht="62.4" x14ac:dyDescent="0.3">
      <c r="A896" s="408">
        <v>890</v>
      </c>
      <c r="B896" s="408" t="s">
        <v>40</v>
      </c>
      <c r="C896" s="452" t="s">
        <v>73</v>
      </c>
      <c r="D896" s="446"/>
      <c r="E896" s="446" t="s">
        <v>75</v>
      </c>
      <c r="F896" s="452" t="s">
        <v>2082</v>
      </c>
      <c r="G896" s="408" t="s">
        <v>184</v>
      </c>
      <c r="H896" s="589">
        <v>387.74173999999999</v>
      </c>
      <c r="I896" s="408">
        <v>1</v>
      </c>
      <c r="J896" s="589">
        <v>387.74173999999999</v>
      </c>
      <c r="K896" s="589">
        <v>387.74173999999999</v>
      </c>
      <c r="L896" s="410">
        <v>1</v>
      </c>
      <c r="M896" s="589">
        <v>387.74173999999999</v>
      </c>
      <c r="N896" s="6" t="s">
        <v>1837</v>
      </c>
      <c r="O896" s="411">
        <v>45695</v>
      </c>
      <c r="P896" s="33" t="str">
        <f>HYPERLINK("https://my.zakupivli.pro/remote/dispatcher/state_purchase_view/57279883", "UA-2025-02-07-001208-a")</f>
        <v>UA-2025-02-07-001208-a</v>
      </c>
      <c r="Q896" s="410">
        <v>387.74173999999999</v>
      </c>
      <c r="R896" s="410">
        <v>1</v>
      </c>
      <c r="S896" s="410">
        <v>387.74173999999999</v>
      </c>
      <c r="T896" s="411">
        <v>45695</v>
      </c>
      <c r="U896" s="408"/>
      <c r="V896" s="410" t="s">
        <v>59</v>
      </c>
    </row>
    <row r="897" spans="1:22" ht="62.4" x14ac:dyDescent="0.3">
      <c r="A897" s="412">
        <v>891</v>
      </c>
      <c r="B897" s="412" t="s">
        <v>40</v>
      </c>
      <c r="C897" s="44" t="s">
        <v>2081</v>
      </c>
      <c r="D897" s="412"/>
      <c r="E897" s="412" t="s">
        <v>75</v>
      </c>
      <c r="F897" s="44" t="s">
        <v>1838</v>
      </c>
      <c r="G897" s="412" t="s">
        <v>184</v>
      </c>
      <c r="H897" s="589">
        <v>243.83950999999999</v>
      </c>
      <c r="I897" s="412">
        <v>1</v>
      </c>
      <c r="J897" s="589">
        <v>243.83950999999999</v>
      </c>
      <c r="K897" s="589">
        <v>243.83950999999999</v>
      </c>
      <c r="L897" s="412">
        <v>1</v>
      </c>
      <c r="M897" s="589">
        <v>243.83950999999999</v>
      </c>
      <c r="N897" s="6" t="s">
        <v>1839</v>
      </c>
      <c r="O897" s="413">
        <v>45698</v>
      </c>
      <c r="P897" s="33" t="str">
        <f>HYPERLINK("https://my.zakupivli.pro/remote/dispatcher/state_purchase_view/57327334", "UA-2025-02-10-005542-a")</f>
        <v>UA-2025-02-10-005542-a</v>
      </c>
      <c r="Q897" s="412">
        <v>243.83950999999999</v>
      </c>
      <c r="R897" s="412">
        <v>1</v>
      </c>
      <c r="S897" s="412">
        <v>243.83950999999999</v>
      </c>
      <c r="T897" s="413">
        <v>45691</v>
      </c>
      <c r="U897" s="412"/>
      <c r="V897" s="412" t="s">
        <v>59</v>
      </c>
    </row>
    <row r="898" spans="1:22" ht="62.4" x14ac:dyDescent="0.3">
      <c r="A898" s="414">
        <v>892</v>
      </c>
      <c r="B898" s="414" t="s">
        <v>21</v>
      </c>
      <c r="C898" s="44" t="s">
        <v>2080</v>
      </c>
      <c r="D898" s="414" t="s">
        <v>58</v>
      </c>
      <c r="E898" s="414" t="s">
        <v>75</v>
      </c>
      <c r="F898" s="44" t="s">
        <v>1840</v>
      </c>
      <c r="G898" s="414" t="s">
        <v>185</v>
      </c>
      <c r="H898" s="589"/>
      <c r="I898" s="414">
        <v>121</v>
      </c>
      <c r="J898" s="589">
        <v>2684.5</v>
      </c>
      <c r="K898" s="589"/>
      <c r="L898" s="414">
        <v>121</v>
      </c>
      <c r="M898" s="589">
        <v>2684.5</v>
      </c>
      <c r="N898" s="6" t="s">
        <v>1844</v>
      </c>
      <c r="O898" s="415">
        <v>45699</v>
      </c>
      <c r="P898" s="33" t="str">
        <f>HYPERLINK("https://my.zakupivli.pro/remote/dispatcher/state_purchase_view/57385934", "UA-2025-02-11-014813-a")</f>
        <v>UA-2025-02-11-014813-a</v>
      </c>
      <c r="Q898" s="414"/>
      <c r="R898" s="414">
        <v>121</v>
      </c>
      <c r="S898" s="414">
        <v>2361.3530000000001</v>
      </c>
      <c r="T898" s="415">
        <v>45727</v>
      </c>
      <c r="U898" s="414"/>
      <c r="V898" s="414"/>
    </row>
    <row r="899" spans="1:22" ht="62.4" x14ac:dyDescent="0.3">
      <c r="A899" s="414">
        <v>893</v>
      </c>
      <c r="B899" s="414" t="s">
        <v>21</v>
      </c>
      <c r="C899" s="44" t="s">
        <v>405</v>
      </c>
      <c r="D899" s="414" t="s">
        <v>58</v>
      </c>
      <c r="E899" s="414" t="s">
        <v>75</v>
      </c>
      <c r="F899" s="44" t="s">
        <v>2079</v>
      </c>
      <c r="G899" s="414" t="s">
        <v>186</v>
      </c>
      <c r="H899" s="589"/>
      <c r="I899" s="414">
        <v>23</v>
      </c>
      <c r="J899" s="589">
        <v>2904.5833299999999</v>
      </c>
      <c r="K899" s="589"/>
      <c r="L899" s="414">
        <v>23</v>
      </c>
      <c r="M899" s="589">
        <v>2904.5833299999999</v>
      </c>
      <c r="N899" s="6" t="s">
        <v>1845</v>
      </c>
      <c r="O899" s="415">
        <v>45699</v>
      </c>
      <c r="P899" s="33" t="str">
        <f>HYPERLINK("https://my.zakupivli.pro/remote/dispatcher/state_purchase_view/57385694", "UA-2025-02-11-014703-a")</f>
        <v>UA-2025-02-11-014703-a</v>
      </c>
      <c r="Q899" s="414"/>
      <c r="R899" s="414">
        <v>23</v>
      </c>
      <c r="S899" s="414">
        <v>2737.4838</v>
      </c>
      <c r="T899" s="415">
        <v>45733</v>
      </c>
      <c r="U899" s="414"/>
      <c r="V899" s="414"/>
    </row>
    <row r="900" spans="1:22" ht="62.4" x14ac:dyDescent="0.3">
      <c r="A900" s="414">
        <v>894</v>
      </c>
      <c r="B900" s="414" t="s">
        <v>21</v>
      </c>
      <c r="C900" s="452" t="s">
        <v>2007</v>
      </c>
      <c r="D900" s="446" t="s">
        <v>58</v>
      </c>
      <c r="E900" s="446" t="s">
        <v>75</v>
      </c>
      <c r="F900" s="452" t="s">
        <v>1841</v>
      </c>
      <c r="G900" s="414" t="s">
        <v>186</v>
      </c>
      <c r="H900" s="589"/>
      <c r="I900" s="414">
        <v>18</v>
      </c>
      <c r="J900" s="589">
        <v>2034.8084100000001</v>
      </c>
      <c r="K900" s="589"/>
      <c r="L900" s="414">
        <v>18</v>
      </c>
      <c r="M900" s="589">
        <v>2034.8084100000001</v>
      </c>
      <c r="N900" s="6" t="s">
        <v>1846</v>
      </c>
      <c r="O900" s="415">
        <v>45699</v>
      </c>
      <c r="P900" s="33" t="str">
        <f>HYPERLINK("https://my.zakupivli.pro/remote/dispatcher/state_purchase_view/57385694", "UA-2025-02-11-014703-a")</f>
        <v>UA-2025-02-11-014703-a</v>
      </c>
      <c r="Q900" s="414"/>
      <c r="R900" s="414">
        <v>18</v>
      </c>
      <c r="S900" s="414">
        <v>1745.1990000000001</v>
      </c>
      <c r="T900" s="415">
        <v>45727</v>
      </c>
      <c r="U900" s="414"/>
      <c r="V900" s="414"/>
    </row>
    <row r="901" spans="1:22" ht="62.4" x14ac:dyDescent="0.3">
      <c r="A901" s="414">
        <v>895</v>
      </c>
      <c r="B901" s="414" t="s">
        <v>21</v>
      </c>
      <c r="C901" s="44" t="s">
        <v>2007</v>
      </c>
      <c r="D901" s="414" t="s">
        <v>58</v>
      </c>
      <c r="E901" s="414" t="s">
        <v>75</v>
      </c>
      <c r="F901" s="44" t="s">
        <v>1842</v>
      </c>
      <c r="G901" s="414" t="s">
        <v>186</v>
      </c>
      <c r="H901" s="589">
        <v>1791.6666600000001</v>
      </c>
      <c r="I901" s="414">
        <v>1</v>
      </c>
      <c r="J901" s="589">
        <v>1791.6666600000001</v>
      </c>
      <c r="K901" s="589">
        <v>1791.6666600000001</v>
      </c>
      <c r="L901" s="414">
        <v>1</v>
      </c>
      <c r="M901" s="589">
        <v>1791.6666600000001</v>
      </c>
      <c r="N901" s="6" t="s">
        <v>1847</v>
      </c>
      <c r="O901" s="415">
        <v>45699</v>
      </c>
      <c r="P901" s="33" t="str">
        <f>HYPERLINK("https://my.zakupivli.pro/remote/dispatcher/state_purchase_view/57385694", "UA-2025-02-11-014703-a")</f>
        <v>UA-2025-02-11-014703-a</v>
      </c>
      <c r="Q901" s="414">
        <v>1579.16</v>
      </c>
      <c r="R901" s="414">
        <v>1</v>
      </c>
      <c r="S901" s="443">
        <v>1579.16</v>
      </c>
      <c r="T901" s="415">
        <v>45733</v>
      </c>
      <c r="U901" s="414"/>
      <c r="V901" s="414"/>
    </row>
    <row r="902" spans="1:22" ht="62.4" x14ac:dyDescent="0.3">
      <c r="A902" s="414">
        <v>896</v>
      </c>
      <c r="B902" s="414" t="s">
        <v>21</v>
      </c>
      <c r="C902" s="44" t="s">
        <v>405</v>
      </c>
      <c r="D902" s="414" t="s">
        <v>58</v>
      </c>
      <c r="E902" s="414" t="s">
        <v>75</v>
      </c>
      <c r="F902" s="44" t="s">
        <v>2078</v>
      </c>
      <c r="G902" s="414" t="s">
        <v>186</v>
      </c>
      <c r="H902" s="589"/>
      <c r="I902" s="414">
        <v>4</v>
      </c>
      <c r="J902" s="589">
        <v>6268.7</v>
      </c>
      <c r="K902" s="589"/>
      <c r="L902" s="414">
        <v>4</v>
      </c>
      <c r="M902" s="589">
        <v>6268.7</v>
      </c>
      <c r="N902" s="6" t="s">
        <v>1848</v>
      </c>
      <c r="O902" s="415">
        <v>45699</v>
      </c>
      <c r="P902" s="33" t="str">
        <f>HYPERLINK("https://my.zakupivli.pro/remote/dispatcher/state_purchase_view/57385694", "UA-2025-02-11-014703-a")</f>
        <v>UA-2025-02-11-014703-a</v>
      </c>
      <c r="Q902" s="414"/>
      <c r="R902" s="414">
        <v>4</v>
      </c>
      <c r="S902" s="117">
        <v>6260</v>
      </c>
      <c r="T902" s="415">
        <v>45727</v>
      </c>
      <c r="U902" s="414"/>
      <c r="V902" s="414"/>
    </row>
    <row r="903" spans="1:22" ht="46.8" x14ac:dyDescent="0.3">
      <c r="A903" s="414">
        <v>897</v>
      </c>
      <c r="B903" s="414" t="s">
        <v>21</v>
      </c>
      <c r="C903" s="452" t="s">
        <v>1117</v>
      </c>
      <c r="D903" s="446" t="s">
        <v>58</v>
      </c>
      <c r="E903" s="446" t="s">
        <v>75</v>
      </c>
      <c r="F903" s="452" t="s">
        <v>2077</v>
      </c>
      <c r="G903" s="414" t="s">
        <v>186</v>
      </c>
      <c r="H903" s="589"/>
      <c r="I903" s="414">
        <v>10</v>
      </c>
      <c r="J903" s="589">
        <v>218.75</v>
      </c>
      <c r="K903" s="589"/>
      <c r="L903" s="414">
        <v>10</v>
      </c>
      <c r="M903" s="589">
        <v>218.75</v>
      </c>
      <c r="N903" s="6" t="s">
        <v>1849</v>
      </c>
      <c r="O903" s="415">
        <v>45699</v>
      </c>
      <c r="P903" s="33" t="str">
        <f>HYPERLINK("https://my.zakupivli.pro/remote/dispatcher/state_purchase_view/57380194", "UA-2025-02-11-012151-a")</f>
        <v>UA-2025-02-11-012151-a</v>
      </c>
      <c r="Q903" s="414"/>
      <c r="R903" s="414"/>
      <c r="S903" s="414"/>
      <c r="T903" s="415"/>
      <c r="U903" s="414" t="s">
        <v>1793</v>
      </c>
      <c r="V903" s="414"/>
    </row>
    <row r="904" spans="1:22" ht="62.4" x14ac:dyDescent="0.3">
      <c r="A904" s="414">
        <v>898</v>
      </c>
      <c r="B904" s="414" t="s">
        <v>21</v>
      </c>
      <c r="C904" s="44" t="s">
        <v>2011</v>
      </c>
      <c r="D904" s="414"/>
      <c r="E904" s="414" t="s">
        <v>20</v>
      </c>
      <c r="F904" s="44" t="s">
        <v>1843</v>
      </c>
      <c r="G904" s="414" t="s">
        <v>185</v>
      </c>
      <c r="H904" s="589">
        <v>47.5</v>
      </c>
      <c r="I904" s="414">
        <v>1</v>
      </c>
      <c r="J904" s="589">
        <v>47.5</v>
      </c>
      <c r="K904" s="589">
        <v>47.5</v>
      </c>
      <c r="L904" s="414">
        <v>1</v>
      </c>
      <c r="M904" s="589">
        <v>47.5</v>
      </c>
      <c r="N904" s="6" t="s">
        <v>1850</v>
      </c>
      <c r="O904" s="415">
        <v>45700</v>
      </c>
      <c r="P904" s="33" t="str">
        <f>HYPERLINK("https://my.zakupivli.pro/remote/dispatcher/state_purchase_view/57407976", "UA-2025-02-12-008425-a")</f>
        <v>UA-2025-02-12-008425-a</v>
      </c>
      <c r="Q904" s="117">
        <v>47.5</v>
      </c>
      <c r="R904" s="414">
        <v>1</v>
      </c>
      <c r="S904" s="117">
        <v>47.5</v>
      </c>
      <c r="T904" s="415">
        <v>45700</v>
      </c>
      <c r="U904" s="414"/>
      <c r="V904" s="414" t="s">
        <v>59</v>
      </c>
    </row>
    <row r="905" spans="1:22" ht="62.4" x14ac:dyDescent="0.3">
      <c r="A905" s="414">
        <v>899</v>
      </c>
      <c r="B905" s="414" t="s">
        <v>21</v>
      </c>
      <c r="C905" s="44" t="s">
        <v>2076</v>
      </c>
      <c r="D905" s="414"/>
      <c r="E905" s="414" t="s">
        <v>75</v>
      </c>
      <c r="F905" s="44" t="s">
        <v>1851</v>
      </c>
      <c r="G905" s="414" t="s">
        <v>185</v>
      </c>
      <c r="H905" s="589"/>
      <c r="I905" s="414">
        <v>600</v>
      </c>
      <c r="J905" s="589">
        <v>82.38</v>
      </c>
      <c r="K905" s="589"/>
      <c r="L905" s="417">
        <v>600</v>
      </c>
      <c r="M905" s="589">
        <v>82.38</v>
      </c>
      <c r="N905" s="6" t="s">
        <v>1854</v>
      </c>
      <c r="O905" s="415">
        <v>45701</v>
      </c>
      <c r="P905" s="33" t="str">
        <f>HYPERLINK("https://my.zakupivli.pro/remote/dispatcher/state_purchase_view/57447516", "UA-2025-02-13-010243-a")</f>
        <v>UA-2025-02-13-010243-a</v>
      </c>
      <c r="Q905" s="414"/>
      <c r="R905" s="417">
        <v>600</v>
      </c>
      <c r="S905" s="117">
        <v>82.38</v>
      </c>
      <c r="T905" s="416">
        <v>45729</v>
      </c>
      <c r="U905" s="414"/>
      <c r="V905" s="417" t="s">
        <v>59</v>
      </c>
    </row>
    <row r="906" spans="1:22" ht="62.4" x14ac:dyDescent="0.3">
      <c r="A906" s="414">
        <v>900</v>
      </c>
      <c r="B906" s="414" t="s">
        <v>21</v>
      </c>
      <c r="C906" s="452" t="s">
        <v>1853</v>
      </c>
      <c r="D906" s="446" t="s">
        <v>58</v>
      </c>
      <c r="E906" s="446" t="s">
        <v>75</v>
      </c>
      <c r="F906" s="452" t="s">
        <v>2075</v>
      </c>
      <c r="G906" s="414" t="s">
        <v>186</v>
      </c>
      <c r="H906" s="589"/>
      <c r="I906" s="414">
        <v>23</v>
      </c>
      <c r="J906" s="589">
        <v>1258.3333299999999</v>
      </c>
      <c r="K906" s="589"/>
      <c r="L906" s="417">
        <v>23</v>
      </c>
      <c r="M906" s="589">
        <v>1258.3333299999999</v>
      </c>
      <c r="N906" s="6" t="s">
        <v>1855</v>
      </c>
      <c r="O906" s="419">
        <v>45701</v>
      </c>
      <c r="P906" s="33" t="str">
        <f>HYPERLINK("https://my.zakupivli.pro/remote/dispatcher/state_purchase_view/57446387", "UA-2025-02-13-009809-a")</f>
        <v>UA-2025-02-13-009809-a</v>
      </c>
      <c r="Q906" s="414"/>
      <c r="R906" s="414">
        <v>23</v>
      </c>
      <c r="S906" s="414">
        <v>1133.4929</v>
      </c>
      <c r="T906" s="415">
        <v>45715</v>
      </c>
      <c r="U906" s="414"/>
      <c r="V906" s="414"/>
    </row>
    <row r="907" spans="1:22" ht="46.8" x14ac:dyDescent="0.3">
      <c r="A907" s="414">
        <v>901</v>
      </c>
      <c r="B907" s="414" t="s">
        <v>21</v>
      </c>
      <c r="C907" s="44" t="s">
        <v>1068</v>
      </c>
      <c r="D907" s="417" t="s">
        <v>58</v>
      </c>
      <c r="E907" s="414" t="s">
        <v>75</v>
      </c>
      <c r="F907" s="44" t="s">
        <v>2074</v>
      </c>
      <c r="G907" s="414" t="s">
        <v>185</v>
      </c>
      <c r="H907" s="589"/>
      <c r="I907" s="414">
        <v>762</v>
      </c>
      <c r="J907" s="589">
        <v>464.81247000000002</v>
      </c>
      <c r="K907" s="589"/>
      <c r="L907" s="417">
        <v>762</v>
      </c>
      <c r="M907" s="589">
        <v>464.81247000000002</v>
      </c>
      <c r="N907" s="6" t="s">
        <v>1856</v>
      </c>
      <c r="O907" s="419">
        <v>45701</v>
      </c>
      <c r="P907" s="33" t="str">
        <f>HYPERLINK("https://my.zakupivli.pro/remote/dispatcher/state_purchase_view/57445600", "UA-2025-02-13-009405-a")</f>
        <v>UA-2025-02-13-009405-a</v>
      </c>
      <c r="Q907" s="414"/>
      <c r="R907" s="414">
        <v>762</v>
      </c>
      <c r="S907" s="414">
        <v>459.81484999999998</v>
      </c>
      <c r="T907" s="415">
        <v>45716</v>
      </c>
      <c r="U907" s="414"/>
      <c r="V907" s="414"/>
    </row>
    <row r="908" spans="1:22" ht="62.4" x14ac:dyDescent="0.3">
      <c r="A908" s="414">
        <v>902</v>
      </c>
      <c r="B908" s="414" t="s">
        <v>40</v>
      </c>
      <c r="C908" s="44" t="s">
        <v>884</v>
      </c>
      <c r="D908" s="414"/>
      <c r="E908" s="414" t="s">
        <v>20</v>
      </c>
      <c r="F908" s="44" t="s">
        <v>2073</v>
      </c>
      <c r="G908" s="414" t="s">
        <v>184</v>
      </c>
      <c r="H908" s="589">
        <v>373.69754999999998</v>
      </c>
      <c r="I908" s="414">
        <v>1</v>
      </c>
      <c r="J908" s="589">
        <v>373.69754999999998</v>
      </c>
      <c r="K908" s="589">
        <v>373.69754999999998</v>
      </c>
      <c r="L908" s="417">
        <v>1</v>
      </c>
      <c r="M908" s="589">
        <v>373.69754999999998</v>
      </c>
      <c r="N908" s="6" t="s">
        <v>1857</v>
      </c>
      <c r="O908" s="419">
        <v>45701</v>
      </c>
      <c r="P908" s="33" t="str">
        <f>HYPERLINK("https://my.zakupivli.pro/remote/dispatcher/state_purchase_view/57443185", "UA-2025-02-13-008334-a")</f>
        <v>UA-2025-02-13-008334-a</v>
      </c>
      <c r="Q908" s="417">
        <v>373.69754999999998</v>
      </c>
      <c r="R908" s="417">
        <v>1</v>
      </c>
      <c r="S908" s="417">
        <v>373.69754999999998</v>
      </c>
      <c r="T908" s="419">
        <v>45701</v>
      </c>
      <c r="U908" s="414"/>
      <c r="V908" s="417" t="s">
        <v>59</v>
      </c>
    </row>
    <row r="909" spans="1:22" ht="62.4" x14ac:dyDescent="0.3">
      <c r="A909" s="414">
        <v>903</v>
      </c>
      <c r="B909" s="414" t="s">
        <v>40</v>
      </c>
      <c r="C909" s="452" t="s">
        <v>2008</v>
      </c>
      <c r="D909" s="446"/>
      <c r="E909" s="446" t="s">
        <v>20</v>
      </c>
      <c r="F909" s="452" t="s">
        <v>1852</v>
      </c>
      <c r="G909" s="414" t="s">
        <v>184</v>
      </c>
      <c r="H909" s="589">
        <v>91.886300000000006</v>
      </c>
      <c r="I909" s="414">
        <v>1</v>
      </c>
      <c r="J909" s="589">
        <v>91.886300000000006</v>
      </c>
      <c r="K909" s="589">
        <v>91.886300000000006</v>
      </c>
      <c r="L909" s="417">
        <v>1</v>
      </c>
      <c r="M909" s="589">
        <v>91.886300000000006</v>
      </c>
      <c r="N909" s="6" t="s">
        <v>1858</v>
      </c>
      <c r="O909" s="419">
        <v>45701</v>
      </c>
      <c r="P909" s="33" t="str">
        <f>HYPERLINK("https://my.zakupivli.pro/remote/dispatcher/state_purchase_view/57441860", "UA-2025-02-13-007747-a")</f>
        <v>UA-2025-02-13-007747-a</v>
      </c>
      <c r="Q909" s="417">
        <v>91.886300000000006</v>
      </c>
      <c r="R909" s="417">
        <v>1</v>
      </c>
      <c r="S909" s="417">
        <v>91.886300000000006</v>
      </c>
      <c r="T909" s="419">
        <v>45701</v>
      </c>
      <c r="U909" s="414"/>
      <c r="V909" s="417" t="s">
        <v>59</v>
      </c>
    </row>
    <row r="910" spans="1:22" ht="62.4" x14ac:dyDescent="0.3">
      <c r="A910" s="414">
        <v>904</v>
      </c>
      <c r="B910" s="414" t="s">
        <v>40</v>
      </c>
      <c r="C910" s="44" t="s">
        <v>884</v>
      </c>
      <c r="D910" s="414"/>
      <c r="E910" s="414" t="s">
        <v>20</v>
      </c>
      <c r="F910" s="44" t="s">
        <v>2072</v>
      </c>
      <c r="G910" s="414" t="s">
        <v>184</v>
      </c>
      <c r="H910" s="589">
        <v>82.772499999999994</v>
      </c>
      <c r="I910" s="414">
        <v>1</v>
      </c>
      <c r="J910" s="589">
        <v>82.772499999999994</v>
      </c>
      <c r="K910" s="589">
        <v>82.772499999999994</v>
      </c>
      <c r="L910" s="417">
        <v>1</v>
      </c>
      <c r="M910" s="589">
        <v>82.772499999999994</v>
      </c>
      <c r="N910" s="6" t="s">
        <v>1859</v>
      </c>
      <c r="O910" s="419">
        <v>45701</v>
      </c>
      <c r="P910" s="33" t="str">
        <f>HYPERLINK("https://my.zakupivli.pro/remote/dispatcher/state_purchase_view/57435375", "UA-2025-02-13-004874-a")</f>
        <v>UA-2025-02-13-004874-a</v>
      </c>
      <c r="Q910" s="417">
        <v>82.772499999999994</v>
      </c>
      <c r="R910" s="417">
        <v>1</v>
      </c>
      <c r="S910" s="417">
        <v>82.772499999999994</v>
      </c>
      <c r="T910" s="419">
        <v>45701</v>
      </c>
      <c r="U910" s="414"/>
      <c r="V910" s="417" t="s">
        <v>59</v>
      </c>
    </row>
    <row r="911" spans="1:22" ht="62.4" x14ac:dyDescent="0.3">
      <c r="A911" s="417">
        <v>905</v>
      </c>
      <c r="B911" s="418" t="s">
        <v>40</v>
      </c>
      <c r="C911" s="44" t="s">
        <v>73</v>
      </c>
      <c r="D911" s="417"/>
      <c r="E911" s="417" t="s">
        <v>75</v>
      </c>
      <c r="F911" s="44" t="s">
        <v>2071</v>
      </c>
      <c r="G911" s="417" t="s">
        <v>184</v>
      </c>
      <c r="H911" s="589">
        <v>273.72771999999998</v>
      </c>
      <c r="I911" s="417">
        <v>1</v>
      </c>
      <c r="J911" s="589">
        <v>273.72771999999998</v>
      </c>
      <c r="K911" s="589">
        <v>273.72771999999998</v>
      </c>
      <c r="L911" s="418">
        <v>1</v>
      </c>
      <c r="M911" s="589">
        <v>273.72771999999998</v>
      </c>
      <c r="N911" s="6" t="s">
        <v>1860</v>
      </c>
      <c r="O911" s="419">
        <v>45701</v>
      </c>
      <c r="P911" s="120" t="str">
        <f>HYPERLINK("https://my.zakupivli.pro/remote/dispatcher/state_purchase_view/57453868", "UA-2025-02-13-013204-a")</f>
        <v>UA-2025-02-13-013204-a</v>
      </c>
      <c r="Q911" s="418">
        <v>273.72771999999998</v>
      </c>
      <c r="R911" s="418">
        <v>1</v>
      </c>
      <c r="S911" s="418">
        <v>273.72771999999998</v>
      </c>
      <c r="T911" s="419">
        <v>45687</v>
      </c>
      <c r="U911" s="417"/>
      <c r="V911" s="418" t="s">
        <v>59</v>
      </c>
    </row>
    <row r="912" spans="1:22" ht="46.8" x14ac:dyDescent="0.3">
      <c r="A912" s="417">
        <v>906</v>
      </c>
      <c r="B912" s="417" t="s">
        <v>21</v>
      </c>
      <c r="C912" s="44" t="s">
        <v>733</v>
      </c>
      <c r="D912" s="417"/>
      <c r="E912" s="420" t="s">
        <v>75</v>
      </c>
      <c r="F912" s="44" t="s">
        <v>2070</v>
      </c>
      <c r="G912" s="417" t="s">
        <v>186</v>
      </c>
      <c r="H912" s="589"/>
      <c r="I912" s="417">
        <v>41</v>
      </c>
      <c r="J912" s="589">
        <v>541.66665999999998</v>
      </c>
      <c r="K912" s="589"/>
      <c r="L912" s="420">
        <v>41</v>
      </c>
      <c r="M912" s="589">
        <v>541.66665999999998</v>
      </c>
      <c r="N912" s="6" t="s">
        <v>1864</v>
      </c>
      <c r="O912" s="416">
        <v>45702</v>
      </c>
      <c r="P912" s="33" t="str">
        <f>HYPERLINK("https://my.zakupivli.pro/remote/dispatcher/state_purchase_view/57483469", "UA-2025-02-14-010906-a")</f>
        <v>UA-2025-02-14-010906-a</v>
      </c>
      <c r="Q912" s="417"/>
      <c r="R912" s="417">
        <v>41</v>
      </c>
      <c r="S912" s="417">
        <v>323.62799999999999</v>
      </c>
      <c r="T912" s="416">
        <v>45733</v>
      </c>
      <c r="U912" s="417"/>
      <c r="V912" s="417"/>
    </row>
    <row r="913" spans="1:22" ht="62.4" x14ac:dyDescent="0.3">
      <c r="A913" s="417">
        <v>907</v>
      </c>
      <c r="B913" s="420" t="s">
        <v>40</v>
      </c>
      <c r="C913" s="452" t="s">
        <v>2069</v>
      </c>
      <c r="D913" s="446"/>
      <c r="E913" s="446" t="s">
        <v>75</v>
      </c>
      <c r="F913" s="452" t="s">
        <v>1861</v>
      </c>
      <c r="G913" s="417" t="s">
        <v>184</v>
      </c>
      <c r="H913" s="589">
        <v>640.28858000000002</v>
      </c>
      <c r="I913" s="417">
        <v>1</v>
      </c>
      <c r="J913" s="589">
        <v>640.28858000000002</v>
      </c>
      <c r="K913" s="589">
        <v>640.28858000000002</v>
      </c>
      <c r="L913" s="420">
        <v>1</v>
      </c>
      <c r="M913" s="589">
        <v>640.28858000000002</v>
      </c>
      <c r="N913" s="6" t="s">
        <v>1865</v>
      </c>
      <c r="O913" s="421">
        <v>45702</v>
      </c>
      <c r="P913" s="33" t="str">
        <f>HYPERLINK("https://my.zakupivli.pro/remote/dispatcher/state_purchase_view/57480226", "UA-2025-02-14-009461-a")</f>
        <v>UA-2025-02-14-009461-a</v>
      </c>
      <c r="Q913" s="420">
        <v>640.28858000000002</v>
      </c>
      <c r="R913" s="420">
        <v>1</v>
      </c>
      <c r="S913" s="420">
        <v>640.28858000000002</v>
      </c>
      <c r="T913" s="421">
        <v>45702</v>
      </c>
      <c r="U913" s="417"/>
      <c r="V913" s="420" t="s">
        <v>59</v>
      </c>
    </row>
    <row r="914" spans="1:22" ht="62.4" x14ac:dyDescent="0.3">
      <c r="A914" s="417">
        <v>908</v>
      </c>
      <c r="B914" s="420" t="s">
        <v>40</v>
      </c>
      <c r="C914" s="44" t="s">
        <v>541</v>
      </c>
      <c r="D914" s="417"/>
      <c r="E914" s="420" t="s">
        <v>75</v>
      </c>
      <c r="F914" s="44" t="s">
        <v>2031</v>
      </c>
      <c r="G914" s="417" t="s">
        <v>184</v>
      </c>
      <c r="H914" s="589">
        <v>603.43341999999996</v>
      </c>
      <c r="I914" s="417">
        <v>1</v>
      </c>
      <c r="J914" s="589">
        <v>603.43341999999996</v>
      </c>
      <c r="K914" s="589">
        <v>603.43341999999996</v>
      </c>
      <c r="L914" s="420">
        <v>1</v>
      </c>
      <c r="M914" s="589">
        <v>603.43341999999996</v>
      </c>
      <c r="N914" s="6" t="s">
        <v>1866</v>
      </c>
      <c r="O914" s="421">
        <v>45702</v>
      </c>
      <c r="P914" s="33" t="str">
        <f>HYPERLINK("https://my.zakupivli.pro/remote/dispatcher/state_purchase_view/57478572", "UA-2025-02-14-008779-a")</f>
        <v>UA-2025-02-14-008779-a</v>
      </c>
      <c r="Q914" s="420">
        <v>603.43341999999996</v>
      </c>
      <c r="R914" s="420">
        <v>1</v>
      </c>
      <c r="S914" s="420">
        <v>603.43341999999996</v>
      </c>
      <c r="T914" s="421">
        <v>45702</v>
      </c>
      <c r="U914" s="417"/>
      <c r="V914" s="420" t="s">
        <v>59</v>
      </c>
    </row>
    <row r="915" spans="1:22" ht="62.4" x14ac:dyDescent="0.3">
      <c r="A915" s="417">
        <v>909</v>
      </c>
      <c r="B915" s="420" t="s">
        <v>40</v>
      </c>
      <c r="C915" s="44" t="s">
        <v>884</v>
      </c>
      <c r="D915" s="417"/>
      <c r="E915" s="417" t="s">
        <v>20</v>
      </c>
      <c r="F915" s="44" t="s">
        <v>2060</v>
      </c>
      <c r="G915" s="417" t="s">
        <v>184</v>
      </c>
      <c r="H915" s="589">
        <v>77.498519999999999</v>
      </c>
      <c r="I915" s="417">
        <v>1</v>
      </c>
      <c r="J915" s="589">
        <v>77.498519999999999</v>
      </c>
      <c r="K915" s="589">
        <v>77.498519999999999</v>
      </c>
      <c r="L915" s="420">
        <v>1</v>
      </c>
      <c r="M915" s="589">
        <v>77.498519999999999</v>
      </c>
      <c r="N915" s="6" t="s">
        <v>1867</v>
      </c>
      <c r="O915" s="421">
        <v>45702</v>
      </c>
      <c r="P915" s="33" t="str">
        <f>HYPERLINK("https://my.zakupivli.pro/remote/dispatcher/state_purchase_view/57476914", "UA-2025-02-14-008026-a")</f>
        <v>UA-2025-02-14-008026-a</v>
      </c>
      <c r="Q915" s="420">
        <v>77.498519999999999</v>
      </c>
      <c r="R915" s="420">
        <v>1</v>
      </c>
      <c r="S915" s="420">
        <v>77.498519999999999</v>
      </c>
      <c r="T915" s="421">
        <v>45702</v>
      </c>
      <c r="U915" s="417"/>
      <c r="V915" s="420" t="s">
        <v>59</v>
      </c>
    </row>
    <row r="916" spans="1:22" ht="62.4" x14ac:dyDescent="0.3">
      <c r="A916" s="420">
        <v>910</v>
      </c>
      <c r="B916" s="420" t="s">
        <v>21</v>
      </c>
      <c r="C916" s="44" t="s">
        <v>2059</v>
      </c>
      <c r="D916" s="420"/>
      <c r="E916" s="420" t="s">
        <v>75</v>
      </c>
      <c r="F916" s="44" t="s">
        <v>1862</v>
      </c>
      <c r="G916" s="420" t="s">
        <v>1158</v>
      </c>
      <c r="H916" s="589"/>
      <c r="I916" s="420">
        <v>143</v>
      </c>
      <c r="J916" s="589">
        <v>48.762999999999998</v>
      </c>
      <c r="K916" s="589"/>
      <c r="L916" s="420">
        <v>143</v>
      </c>
      <c r="M916" s="589">
        <v>48.762999999999998</v>
      </c>
      <c r="N916" s="6" t="s">
        <v>1868</v>
      </c>
      <c r="O916" s="421">
        <v>45702</v>
      </c>
      <c r="P916" s="33" t="str">
        <f>HYPERLINK("https://my.zakupivli.pro/remote/dispatcher/state_purchase_view/57476203", "UA-2025-02-14-007675-a")</f>
        <v>UA-2025-02-14-007675-a</v>
      </c>
      <c r="Q916" s="420"/>
      <c r="R916" s="420">
        <v>143</v>
      </c>
      <c r="S916" s="420">
        <v>48.762999999999998</v>
      </c>
      <c r="T916" s="421">
        <v>45702</v>
      </c>
      <c r="U916" s="420"/>
      <c r="V916" s="420" t="s">
        <v>59</v>
      </c>
    </row>
    <row r="917" spans="1:22" ht="62.4" x14ac:dyDescent="0.3">
      <c r="A917" s="420">
        <v>911</v>
      </c>
      <c r="B917" s="420" t="s">
        <v>21</v>
      </c>
      <c r="C917" s="452" t="s">
        <v>178</v>
      </c>
      <c r="D917" s="446"/>
      <c r="E917" s="446" t="s">
        <v>75</v>
      </c>
      <c r="F917" s="452" t="s">
        <v>2058</v>
      </c>
      <c r="G917" s="420" t="s">
        <v>185</v>
      </c>
      <c r="H917" s="589"/>
      <c r="I917" s="420">
        <v>10</v>
      </c>
      <c r="J917" s="589">
        <v>330</v>
      </c>
      <c r="K917" s="589"/>
      <c r="L917" s="420">
        <v>10</v>
      </c>
      <c r="M917" s="589">
        <v>330</v>
      </c>
      <c r="N917" s="6" t="s">
        <v>1869</v>
      </c>
      <c r="O917" s="421">
        <v>45702</v>
      </c>
      <c r="P917" s="33" t="str">
        <f>HYPERLINK("https://my.zakupivli.pro/remote/dispatcher/state_purchase_view/57475723", "UA-2025-02-14-007472-a")</f>
        <v>UA-2025-02-14-007472-a</v>
      </c>
      <c r="Q917" s="420"/>
      <c r="R917" s="420">
        <v>10</v>
      </c>
      <c r="S917" s="117">
        <v>310.3</v>
      </c>
      <c r="T917" s="421">
        <v>45726</v>
      </c>
      <c r="U917" s="420"/>
      <c r="V917" s="420"/>
    </row>
    <row r="918" spans="1:22" ht="62.4" x14ac:dyDescent="0.3">
      <c r="A918" s="420">
        <v>912</v>
      </c>
      <c r="B918" s="420" t="s">
        <v>21</v>
      </c>
      <c r="C918" s="44" t="s">
        <v>2038</v>
      </c>
      <c r="D918" s="420"/>
      <c r="E918" s="420" t="s">
        <v>75</v>
      </c>
      <c r="F918" s="44" t="s">
        <v>1863</v>
      </c>
      <c r="G918" s="420" t="s">
        <v>185</v>
      </c>
      <c r="H918" s="589"/>
      <c r="I918" s="420">
        <v>2</v>
      </c>
      <c r="J918" s="589">
        <v>52.1</v>
      </c>
      <c r="K918" s="589"/>
      <c r="L918" s="420">
        <v>2</v>
      </c>
      <c r="M918" s="589">
        <v>52.1</v>
      </c>
      <c r="N918" s="6" t="s">
        <v>1870</v>
      </c>
      <c r="O918" s="421">
        <v>45702</v>
      </c>
      <c r="P918" s="33" t="str">
        <f>HYPERLINK("https://my.zakupivli.pro/remote/dispatcher/state_purchase_view/57469944", "UA-2025-02-14-004784-a")</f>
        <v>UA-2025-02-14-004784-a</v>
      </c>
      <c r="Q918" s="420"/>
      <c r="R918" s="420">
        <v>2</v>
      </c>
      <c r="S918" s="117">
        <v>52.1</v>
      </c>
      <c r="T918" s="421">
        <v>45702</v>
      </c>
      <c r="U918" s="420"/>
      <c r="V918" s="420" t="s">
        <v>59</v>
      </c>
    </row>
    <row r="919" spans="1:22" ht="62.4" x14ac:dyDescent="0.3">
      <c r="A919" s="422">
        <v>913</v>
      </c>
      <c r="B919" s="422" t="s">
        <v>40</v>
      </c>
      <c r="C919" s="44" t="s">
        <v>1991</v>
      </c>
      <c r="D919" s="422"/>
      <c r="E919" s="422" t="s">
        <v>20</v>
      </c>
      <c r="F919" s="44" t="s">
        <v>1871</v>
      </c>
      <c r="G919" s="422" t="s">
        <v>184</v>
      </c>
      <c r="H919" s="589">
        <v>110.63678</v>
      </c>
      <c r="I919" s="422">
        <v>1</v>
      </c>
      <c r="J919" s="589">
        <v>110.63678</v>
      </c>
      <c r="K919" s="589">
        <v>110.63678</v>
      </c>
      <c r="L919" s="422">
        <v>1</v>
      </c>
      <c r="M919" s="589">
        <v>110.63678</v>
      </c>
      <c r="N919" s="6" t="s">
        <v>1873</v>
      </c>
      <c r="O919" s="423">
        <v>45706</v>
      </c>
      <c r="P919" s="33" t="str">
        <f>HYPERLINK("https://my.zakupivli.pro/remote/dispatcher/state_purchase_view/57524444", "UA-2025-02-18-000134-a")</f>
        <v>UA-2025-02-18-000134-a</v>
      </c>
      <c r="Q919" s="422">
        <v>110.63678</v>
      </c>
      <c r="R919" s="422">
        <v>1</v>
      </c>
      <c r="S919" s="422">
        <v>110.63678</v>
      </c>
      <c r="T919" s="423">
        <v>45705</v>
      </c>
      <c r="U919" s="422"/>
      <c r="V919" s="422" t="s">
        <v>59</v>
      </c>
    </row>
    <row r="920" spans="1:22" ht="62.4" x14ac:dyDescent="0.3">
      <c r="A920" s="422">
        <v>914</v>
      </c>
      <c r="B920" s="422" t="s">
        <v>40</v>
      </c>
      <c r="C920" s="452" t="s">
        <v>2008</v>
      </c>
      <c r="D920" s="446"/>
      <c r="E920" s="446" t="s">
        <v>20</v>
      </c>
      <c r="F920" s="452" t="s">
        <v>1872</v>
      </c>
      <c r="G920" s="422" t="s">
        <v>184</v>
      </c>
      <c r="H920" s="589">
        <v>160.78029000000001</v>
      </c>
      <c r="I920" s="422">
        <v>1</v>
      </c>
      <c r="J920" s="589">
        <v>160.78029000000001</v>
      </c>
      <c r="K920" s="589">
        <v>160.78029000000001</v>
      </c>
      <c r="L920" s="422">
        <v>1</v>
      </c>
      <c r="M920" s="589">
        <v>160.78029000000001</v>
      </c>
      <c r="N920" s="6" t="s">
        <v>1874</v>
      </c>
      <c r="O920" s="423">
        <v>45706</v>
      </c>
      <c r="P920" s="33" t="str">
        <f>HYPERLINK("https://my.zakupivli.pro/remote/dispatcher/state_purchase_view/57524423", "UA-2025-02-18-000121-a")</f>
        <v>UA-2025-02-18-000121-a</v>
      </c>
      <c r="Q920" s="422">
        <v>160.78029000000001</v>
      </c>
      <c r="R920" s="422">
        <v>1</v>
      </c>
      <c r="S920" s="422">
        <v>160.78029000000001</v>
      </c>
      <c r="T920" s="423">
        <v>45705</v>
      </c>
      <c r="U920" s="422"/>
      <c r="V920" s="422" t="s">
        <v>59</v>
      </c>
    </row>
    <row r="921" spans="1:22" ht="62.4" x14ac:dyDescent="0.3">
      <c r="A921" s="424">
        <v>915</v>
      </c>
      <c r="B921" s="424" t="s">
        <v>40</v>
      </c>
      <c r="C921" s="44" t="s">
        <v>73</v>
      </c>
      <c r="D921" s="424"/>
      <c r="E921" s="424" t="s">
        <v>75</v>
      </c>
      <c r="F921" s="44" t="s">
        <v>2040</v>
      </c>
      <c r="G921" s="424" t="s">
        <v>184</v>
      </c>
      <c r="H921" s="589">
        <v>194.39855</v>
      </c>
      <c r="I921" s="424">
        <v>1</v>
      </c>
      <c r="J921" s="589">
        <v>194.39855</v>
      </c>
      <c r="K921" s="589">
        <v>194.39855</v>
      </c>
      <c r="L921" s="424">
        <v>1</v>
      </c>
      <c r="M921" s="589">
        <v>194.39855</v>
      </c>
      <c r="N921" s="6" t="s">
        <v>1881</v>
      </c>
      <c r="O921" s="425">
        <v>45708</v>
      </c>
      <c r="P921" s="33" t="str">
        <f>HYPERLINK("https://my.zakupivli.pro/remote/dispatcher/state_purchase_view/57612514", "UA-2025-02-20-010663-a")</f>
        <v>UA-2025-02-20-010663-a</v>
      </c>
      <c r="Q921" s="424">
        <v>194.39855</v>
      </c>
      <c r="R921" s="424">
        <v>1</v>
      </c>
      <c r="S921" s="424">
        <v>194.39855</v>
      </c>
      <c r="T921" s="425">
        <v>45708</v>
      </c>
      <c r="U921" s="424"/>
      <c r="V921" s="424" t="s">
        <v>59</v>
      </c>
    </row>
    <row r="922" spans="1:22" ht="46.8" x14ac:dyDescent="0.3">
      <c r="A922" s="424">
        <v>916</v>
      </c>
      <c r="B922" s="424" t="s">
        <v>21</v>
      </c>
      <c r="C922" s="44" t="s">
        <v>2039</v>
      </c>
      <c r="D922" s="424"/>
      <c r="E922" s="424" t="s">
        <v>88</v>
      </c>
      <c r="F922" s="44" t="s">
        <v>1876</v>
      </c>
      <c r="G922" s="424" t="s">
        <v>185</v>
      </c>
      <c r="H922" s="589"/>
      <c r="I922" s="424">
        <v>147</v>
      </c>
      <c r="J922" s="589">
        <v>135.73500000000001</v>
      </c>
      <c r="K922" s="589"/>
      <c r="L922" s="424">
        <v>147</v>
      </c>
      <c r="M922" s="589">
        <v>135.73500000000001</v>
      </c>
      <c r="N922" s="6" t="s">
        <v>1882</v>
      </c>
      <c r="O922" s="425">
        <v>45708</v>
      </c>
      <c r="P922" s="33" t="str">
        <f>HYPERLINK("https://my.zakupivli.pro/remote/dispatcher/state_purchase_view/57606569", "UA-2025-02-20-008191-a")</f>
        <v>UA-2025-02-20-008191-a</v>
      </c>
      <c r="Q922" s="424"/>
      <c r="R922" s="424">
        <v>147</v>
      </c>
      <c r="S922" s="424">
        <v>124.26</v>
      </c>
      <c r="T922" s="425">
        <v>45733</v>
      </c>
      <c r="U922" s="424"/>
      <c r="V922" s="424"/>
    </row>
    <row r="923" spans="1:22" ht="62.4" x14ac:dyDescent="0.3">
      <c r="A923" s="424">
        <v>917</v>
      </c>
      <c r="B923" s="424" t="s">
        <v>21</v>
      </c>
      <c r="C923" s="44" t="s">
        <v>2038</v>
      </c>
      <c r="D923" s="424"/>
      <c r="E923" s="424" t="s">
        <v>75</v>
      </c>
      <c r="F923" s="44" t="s">
        <v>1877</v>
      </c>
      <c r="G923" s="424" t="s">
        <v>185</v>
      </c>
      <c r="H923" s="589"/>
      <c r="I923" s="424">
        <v>12</v>
      </c>
      <c r="J923" s="589">
        <v>66.396000000000001</v>
      </c>
      <c r="K923" s="589"/>
      <c r="L923" s="424">
        <v>12</v>
      </c>
      <c r="M923" s="589">
        <v>66.396000000000001</v>
      </c>
      <c r="N923" s="6" t="s">
        <v>1883</v>
      </c>
      <c r="O923" s="425">
        <v>45708</v>
      </c>
      <c r="P923" s="33" t="str">
        <f>HYPERLINK("https://my.zakupivli.pro/remote/dispatcher/state_purchase_view/57603945", "UA-2025-02-20-007017-a")</f>
        <v>UA-2025-02-20-007017-a</v>
      </c>
      <c r="Q923" s="424"/>
      <c r="R923" s="443">
        <v>12</v>
      </c>
      <c r="S923" s="443">
        <v>66.396000000000001</v>
      </c>
      <c r="T923" s="442">
        <v>45708</v>
      </c>
      <c r="U923" s="424"/>
      <c r="V923" s="443" t="s">
        <v>59</v>
      </c>
    </row>
    <row r="924" spans="1:22" ht="46.8" x14ac:dyDescent="0.3">
      <c r="A924" s="424">
        <v>918</v>
      </c>
      <c r="B924" s="424" t="s">
        <v>21</v>
      </c>
      <c r="C924" s="44" t="s">
        <v>2037</v>
      </c>
      <c r="D924" s="424"/>
      <c r="E924" s="424" t="s">
        <v>88</v>
      </c>
      <c r="F924" s="44" t="s">
        <v>1878</v>
      </c>
      <c r="G924" s="424" t="s">
        <v>186</v>
      </c>
      <c r="H924" s="589"/>
      <c r="I924" s="424">
        <v>6</v>
      </c>
      <c r="J924" s="589">
        <v>4237.9769999999999</v>
      </c>
      <c r="K924" s="589"/>
      <c r="L924" s="424">
        <v>6</v>
      </c>
      <c r="M924" s="589">
        <v>4237.9769999999999</v>
      </c>
      <c r="N924" s="6" t="s">
        <v>1884</v>
      </c>
      <c r="O924" s="425">
        <v>45708</v>
      </c>
      <c r="P924" s="33" t="str">
        <f>HYPERLINK("https://my.zakupivli.pro/remote/dispatcher/state_purchase_view/57593579", "UA-2025-02-20-002410-a")</f>
        <v>UA-2025-02-20-002410-a</v>
      </c>
      <c r="Q924" s="424"/>
      <c r="R924" s="424">
        <v>6</v>
      </c>
      <c r="S924" s="424">
        <v>4237.9279999999999</v>
      </c>
      <c r="T924" s="425">
        <v>45726</v>
      </c>
      <c r="U924" s="424"/>
      <c r="V924" s="424"/>
    </row>
    <row r="925" spans="1:22" ht="46.8" x14ac:dyDescent="0.3">
      <c r="A925" s="424">
        <v>919</v>
      </c>
      <c r="B925" s="424" t="s">
        <v>21</v>
      </c>
      <c r="C925" s="44" t="s">
        <v>2037</v>
      </c>
      <c r="D925" s="424"/>
      <c r="E925" s="424" t="s">
        <v>88</v>
      </c>
      <c r="F925" s="44" t="s">
        <v>1879</v>
      </c>
      <c r="G925" s="424" t="s">
        <v>186</v>
      </c>
      <c r="H925" s="589"/>
      <c r="I925" s="424">
        <v>2</v>
      </c>
      <c r="J925" s="589">
        <v>2549.4</v>
      </c>
      <c r="K925" s="589"/>
      <c r="L925" s="424">
        <v>2</v>
      </c>
      <c r="M925" s="589">
        <v>2549.4</v>
      </c>
      <c r="N925" s="6" t="s">
        <v>1885</v>
      </c>
      <c r="O925" s="425">
        <v>45708</v>
      </c>
      <c r="P925" s="33" t="str">
        <f>HYPERLINK("https://my.zakupivli.pro/remote/dispatcher/state_purchase_view/57593579", "UA-2025-02-20-002410-a")</f>
        <v>UA-2025-02-20-002410-a</v>
      </c>
      <c r="Q925" s="424"/>
      <c r="R925" s="424">
        <v>2</v>
      </c>
      <c r="S925" s="117">
        <v>2549.4</v>
      </c>
      <c r="T925" s="425">
        <v>45726</v>
      </c>
      <c r="U925" s="424"/>
      <c r="V925" s="424"/>
    </row>
    <row r="926" spans="1:22" ht="46.8" x14ac:dyDescent="0.3">
      <c r="A926" s="424">
        <v>920</v>
      </c>
      <c r="B926" s="424" t="s">
        <v>21</v>
      </c>
      <c r="C926" s="44" t="s">
        <v>1880</v>
      </c>
      <c r="D926" s="424"/>
      <c r="E926" s="424" t="s">
        <v>75</v>
      </c>
      <c r="F926" s="44" t="s">
        <v>2036</v>
      </c>
      <c r="G926" s="424" t="s">
        <v>186</v>
      </c>
      <c r="H926" s="589"/>
      <c r="I926" s="424">
        <v>6</v>
      </c>
      <c r="J926" s="589">
        <v>258.69400000000002</v>
      </c>
      <c r="K926" s="589"/>
      <c r="L926" s="424">
        <v>6</v>
      </c>
      <c r="M926" s="589">
        <v>258.69400000000002</v>
      </c>
      <c r="N926" s="6" t="s">
        <v>1886</v>
      </c>
      <c r="O926" s="425">
        <v>45708</v>
      </c>
      <c r="P926" s="33" t="str">
        <f>HYPERLINK("https://my.zakupivli.pro/remote/dispatcher/state_purchase_view/57590825", "UA-2025-02-20-001195-a")</f>
        <v>UA-2025-02-20-001195-a</v>
      </c>
      <c r="Q926" s="424"/>
      <c r="R926" s="424">
        <v>6</v>
      </c>
      <c r="S926" s="424">
        <v>258.69400000000002</v>
      </c>
      <c r="T926" s="425">
        <v>45727</v>
      </c>
      <c r="U926" s="424"/>
      <c r="V926" s="424"/>
    </row>
    <row r="927" spans="1:22" ht="62.4" x14ac:dyDescent="0.3">
      <c r="A927" s="424">
        <v>921</v>
      </c>
      <c r="B927" s="424" t="s">
        <v>40</v>
      </c>
      <c r="C927" s="44" t="s">
        <v>73</v>
      </c>
      <c r="D927" s="424"/>
      <c r="E927" s="424" t="s">
        <v>75</v>
      </c>
      <c r="F927" s="223" t="s">
        <v>1887</v>
      </c>
      <c r="G927" s="424" t="s">
        <v>184</v>
      </c>
      <c r="H927" s="589">
        <v>664.80475000000001</v>
      </c>
      <c r="I927" s="424">
        <v>1</v>
      </c>
      <c r="J927" s="589">
        <v>664.80475000000001</v>
      </c>
      <c r="K927" s="589">
        <v>664.80475000000001</v>
      </c>
      <c r="L927" s="424">
        <v>1</v>
      </c>
      <c r="M927" s="589">
        <v>664.80475000000001</v>
      </c>
      <c r="N927" s="6" t="s">
        <v>1890</v>
      </c>
      <c r="O927" s="425">
        <v>45708</v>
      </c>
      <c r="P927" s="33" t="str">
        <f>HYPERLINK("https://my.zakupivli.pro/remote/dispatcher/state_purchase_view/57640739", "UA-2025-02-21-009763-a")</f>
        <v>UA-2025-02-21-009763-a</v>
      </c>
      <c r="Q927" s="424">
        <v>664.80475000000001</v>
      </c>
      <c r="R927" s="424">
        <v>1</v>
      </c>
      <c r="S927" s="424">
        <v>664.80475000000001</v>
      </c>
      <c r="T927" s="442">
        <v>45708</v>
      </c>
      <c r="U927" s="424"/>
      <c r="V927" s="424" t="s">
        <v>59</v>
      </c>
    </row>
    <row r="928" spans="1:22" ht="46.8" x14ac:dyDescent="0.3">
      <c r="A928" s="424">
        <v>922</v>
      </c>
      <c r="B928" s="424" t="s">
        <v>21</v>
      </c>
      <c r="C928" s="44" t="s">
        <v>2035</v>
      </c>
      <c r="D928" s="424"/>
      <c r="E928" s="424" t="s">
        <v>75</v>
      </c>
      <c r="F928" s="44" t="s">
        <v>1888</v>
      </c>
      <c r="G928" s="424" t="s">
        <v>185</v>
      </c>
      <c r="H928" s="589"/>
      <c r="I928" s="424">
        <v>145</v>
      </c>
      <c r="J928" s="589">
        <v>792.36266000000001</v>
      </c>
      <c r="K928" s="589"/>
      <c r="L928" s="424">
        <v>145</v>
      </c>
      <c r="M928" s="589">
        <v>792.36266000000001</v>
      </c>
      <c r="N928" s="6" t="s">
        <v>1891</v>
      </c>
      <c r="O928" s="425">
        <v>45709</v>
      </c>
      <c r="P928" s="33" t="str">
        <f>HYPERLINK("https://my.zakupivli.pro/remote/dispatcher/state_purchase_view/57638292", "UA-2025-02-21-008660-a")</f>
        <v>UA-2025-02-21-008660-a</v>
      </c>
      <c r="Q928" s="424"/>
      <c r="R928" s="424">
        <v>145</v>
      </c>
      <c r="S928" s="424">
        <v>606.63800000000003</v>
      </c>
      <c r="T928" s="425">
        <v>45733</v>
      </c>
      <c r="U928" s="424"/>
      <c r="V928" s="424"/>
    </row>
    <row r="929" spans="1:22" ht="62.4" x14ac:dyDescent="0.3">
      <c r="A929" s="424">
        <v>923</v>
      </c>
      <c r="B929" s="424" t="s">
        <v>40</v>
      </c>
      <c r="C929" s="44" t="s">
        <v>73</v>
      </c>
      <c r="D929" s="424"/>
      <c r="E929" s="424" t="s">
        <v>75</v>
      </c>
      <c r="F929" s="44" t="s">
        <v>2034</v>
      </c>
      <c r="G929" s="424" t="s">
        <v>184</v>
      </c>
      <c r="H929" s="589">
        <v>450</v>
      </c>
      <c r="I929" s="424">
        <v>1</v>
      </c>
      <c r="J929" s="589">
        <v>450</v>
      </c>
      <c r="K929" s="589">
        <v>450</v>
      </c>
      <c r="L929" s="424">
        <v>1</v>
      </c>
      <c r="M929" s="589">
        <v>450</v>
      </c>
      <c r="N929" s="6" t="s">
        <v>1892</v>
      </c>
      <c r="O929" s="425">
        <v>45708</v>
      </c>
      <c r="P929" s="33" t="str">
        <f>HYPERLINK("https://my.zakupivli.pro/remote/dispatcher/state_purchase_view/57623304", "UA-2025-02-21-001879-a")</f>
        <v>UA-2025-02-21-001879-a</v>
      </c>
      <c r="Q929" s="117">
        <v>450</v>
      </c>
      <c r="R929" s="424">
        <v>1</v>
      </c>
      <c r="S929" s="117">
        <v>450</v>
      </c>
      <c r="T929" s="425">
        <v>45708</v>
      </c>
      <c r="U929" s="424"/>
      <c r="V929" s="424" t="s">
        <v>59</v>
      </c>
    </row>
    <row r="930" spans="1:22" ht="62.4" x14ac:dyDescent="0.3">
      <c r="A930" s="424">
        <v>924</v>
      </c>
      <c r="B930" s="424" t="s">
        <v>21</v>
      </c>
      <c r="C930" s="44" t="s">
        <v>2028</v>
      </c>
      <c r="D930" s="424"/>
      <c r="E930" s="424" t="s">
        <v>75</v>
      </c>
      <c r="F930" s="223" t="s">
        <v>1889</v>
      </c>
      <c r="G930" s="424" t="s">
        <v>186</v>
      </c>
      <c r="H930" s="589"/>
      <c r="I930" s="424">
        <v>32</v>
      </c>
      <c r="J930" s="589">
        <v>66.435199999999995</v>
      </c>
      <c r="K930" s="589"/>
      <c r="L930" s="424">
        <v>32</v>
      </c>
      <c r="M930" s="589">
        <v>66.435199999999995</v>
      </c>
      <c r="N930" s="6" t="s">
        <v>1893</v>
      </c>
      <c r="O930" s="425">
        <v>45708</v>
      </c>
      <c r="P930" s="33" t="str">
        <f>HYPERLINK("https://my.zakupivli.pro/remote/dispatcher/state_purchase_view/57623075", "UA-2025-02-21-001736-a")</f>
        <v>UA-2025-02-21-001736-a</v>
      </c>
      <c r="Q930" s="424"/>
      <c r="R930" s="424">
        <v>32</v>
      </c>
      <c r="S930" s="424">
        <v>66.435199999999995</v>
      </c>
      <c r="T930" s="425">
        <v>45708</v>
      </c>
      <c r="U930" s="424"/>
      <c r="V930" s="424" t="s">
        <v>59</v>
      </c>
    </row>
    <row r="931" spans="1:22" ht="93.6" x14ac:dyDescent="0.3">
      <c r="A931" s="424">
        <v>925</v>
      </c>
      <c r="B931" s="424" t="s">
        <v>21</v>
      </c>
      <c r="C931" s="44" t="s">
        <v>183</v>
      </c>
      <c r="D931" s="424"/>
      <c r="E931" s="424" t="s">
        <v>88</v>
      </c>
      <c r="F931" s="44" t="s">
        <v>2033</v>
      </c>
      <c r="G931" s="424" t="s">
        <v>186</v>
      </c>
      <c r="H931" s="589"/>
      <c r="I931" s="424">
        <v>3</v>
      </c>
      <c r="J931" s="589">
        <v>2351</v>
      </c>
      <c r="K931" s="589"/>
      <c r="L931" s="424">
        <v>3</v>
      </c>
      <c r="M931" s="589">
        <v>2351</v>
      </c>
      <c r="N931" s="6" t="s">
        <v>1895</v>
      </c>
      <c r="O931" s="425">
        <v>45713</v>
      </c>
      <c r="P931" s="33" t="str">
        <f>HYPERLINK("https://my.zakupivli.pro/remote/dispatcher/state_purchase_view/57711359", "UA-2025-02-25-013333-a")</f>
        <v>UA-2025-02-25-013333-a</v>
      </c>
      <c r="Q931" s="424"/>
      <c r="R931" s="424">
        <v>3</v>
      </c>
      <c r="S931" s="117">
        <v>2351</v>
      </c>
      <c r="T931" s="425">
        <v>45713</v>
      </c>
      <c r="U931" s="424"/>
      <c r="V931" s="424" t="s">
        <v>59</v>
      </c>
    </row>
    <row r="932" spans="1:22" ht="62.4" x14ac:dyDescent="0.3">
      <c r="A932" s="424">
        <v>926</v>
      </c>
      <c r="B932" s="424" t="s">
        <v>21</v>
      </c>
      <c r="C932" s="44" t="s">
        <v>2032</v>
      </c>
      <c r="D932" s="424"/>
      <c r="E932" s="424" t="s">
        <v>75</v>
      </c>
      <c r="F932" s="44" t="s">
        <v>1894</v>
      </c>
      <c r="G932" s="424" t="s">
        <v>185</v>
      </c>
      <c r="H932" s="589">
        <v>75</v>
      </c>
      <c r="I932" s="424">
        <v>1</v>
      </c>
      <c r="J932" s="589">
        <v>75</v>
      </c>
      <c r="K932" s="589">
        <v>75</v>
      </c>
      <c r="L932" s="424">
        <v>1</v>
      </c>
      <c r="M932" s="589">
        <v>75</v>
      </c>
      <c r="N932" s="6" t="s">
        <v>1896</v>
      </c>
      <c r="O932" s="425">
        <v>45713</v>
      </c>
      <c r="P932" s="33" t="str">
        <f>HYPERLINK("https://my.zakupivli.pro/remote/dispatcher/state_purchase_view/57700470", "UA-2025-02-25-008377-a")</f>
        <v>UA-2025-02-25-008377-a</v>
      </c>
      <c r="Q932" s="117">
        <v>75</v>
      </c>
      <c r="R932" s="424">
        <v>1</v>
      </c>
      <c r="S932" s="117">
        <v>75</v>
      </c>
      <c r="T932" s="425">
        <v>45713</v>
      </c>
      <c r="U932" s="424"/>
      <c r="V932" s="424" t="s">
        <v>59</v>
      </c>
    </row>
    <row r="933" spans="1:22" ht="62.4" x14ac:dyDescent="0.3">
      <c r="A933" s="424">
        <v>927</v>
      </c>
      <c r="B933" s="424" t="s">
        <v>40</v>
      </c>
      <c r="C933" s="44" t="s">
        <v>541</v>
      </c>
      <c r="D933" s="424"/>
      <c r="E933" s="424" t="s">
        <v>75</v>
      </c>
      <c r="F933" s="44" t="s">
        <v>1861</v>
      </c>
      <c r="G933" s="424" t="s">
        <v>184</v>
      </c>
      <c r="H933" s="589">
        <v>709.93458999999996</v>
      </c>
      <c r="I933" s="424">
        <v>1</v>
      </c>
      <c r="J933" s="589">
        <v>709.93458999999996</v>
      </c>
      <c r="K933" s="589">
        <v>709.93458999999996</v>
      </c>
      <c r="L933" s="424">
        <v>1</v>
      </c>
      <c r="M933" s="589">
        <v>709.93458999999996</v>
      </c>
      <c r="N933" s="6" t="s">
        <v>1897</v>
      </c>
      <c r="O933" s="425">
        <v>45714</v>
      </c>
      <c r="P933" s="33" t="str">
        <f>HYPERLINK("https://my.zakupivli.pro/remote/dispatcher/state_purchase_view/57741352", "UA-2025-02-26-012076-a")</f>
        <v>UA-2025-02-26-012076-a</v>
      </c>
      <c r="Q933" s="424">
        <v>709.93458999999996</v>
      </c>
      <c r="R933" s="424">
        <v>1</v>
      </c>
      <c r="S933" s="424">
        <v>709.93458999999996</v>
      </c>
      <c r="T933" s="425">
        <v>45714</v>
      </c>
      <c r="U933" s="424"/>
      <c r="V933" s="424" t="s">
        <v>59</v>
      </c>
    </row>
    <row r="934" spans="1:22" ht="62.4" x14ac:dyDescent="0.3">
      <c r="A934" s="424">
        <v>928</v>
      </c>
      <c r="B934" s="424" t="s">
        <v>40</v>
      </c>
      <c r="C934" s="44" t="s">
        <v>541</v>
      </c>
      <c r="D934" s="424"/>
      <c r="E934" s="424" t="s">
        <v>75</v>
      </c>
      <c r="F934" s="44" t="s">
        <v>2031</v>
      </c>
      <c r="G934" s="424" t="s">
        <v>184</v>
      </c>
      <c r="H934" s="589">
        <v>744.37929999999994</v>
      </c>
      <c r="I934" s="424">
        <v>1</v>
      </c>
      <c r="J934" s="589">
        <v>744.37929999999994</v>
      </c>
      <c r="K934" s="589">
        <v>744.37929999999994</v>
      </c>
      <c r="L934" s="424">
        <v>1</v>
      </c>
      <c r="M934" s="589">
        <v>744.37929999999994</v>
      </c>
      <c r="N934" s="6" t="s">
        <v>1898</v>
      </c>
      <c r="O934" s="425">
        <v>45714</v>
      </c>
      <c r="P934" s="33" t="str">
        <f>HYPERLINK("https://my.zakupivli.pro/remote/dispatcher/state_purchase_view/57739836", "UA-2025-02-26-011456-a")</f>
        <v>UA-2025-02-26-011456-a</v>
      </c>
      <c r="Q934" s="424">
        <v>744.37929999999994</v>
      </c>
      <c r="R934" s="424">
        <v>1</v>
      </c>
      <c r="S934" s="424">
        <v>744.37929999999994</v>
      </c>
      <c r="T934" s="425">
        <v>45714</v>
      </c>
      <c r="U934" s="424"/>
      <c r="V934" s="424" t="s">
        <v>59</v>
      </c>
    </row>
    <row r="935" spans="1:22" ht="62.4" x14ac:dyDescent="0.3">
      <c r="A935" s="424">
        <v>929</v>
      </c>
      <c r="B935" s="424" t="s">
        <v>40</v>
      </c>
      <c r="C935" s="44" t="s">
        <v>541</v>
      </c>
      <c r="D935" s="424"/>
      <c r="E935" s="424" t="s">
        <v>75</v>
      </c>
      <c r="F935" s="44" t="s">
        <v>2031</v>
      </c>
      <c r="G935" s="424" t="s">
        <v>184</v>
      </c>
      <c r="H935" s="589">
        <v>687.91728999999998</v>
      </c>
      <c r="I935" s="424">
        <v>1</v>
      </c>
      <c r="J935" s="589">
        <v>687.91728999999998</v>
      </c>
      <c r="K935" s="589">
        <v>687.91728999999998</v>
      </c>
      <c r="L935" s="424">
        <v>1</v>
      </c>
      <c r="M935" s="589">
        <v>687.91728999999998</v>
      </c>
      <c r="N935" s="6" t="s">
        <v>1899</v>
      </c>
      <c r="O935" s="425">
        <v>45714</v>
      </c>
      <c r="P935" s="33" t="str">
        <f>HYPERLINK("https://my.zakupivli.pro/remote/dispatcher/state_purchase_view/57738530", "UA-2025-02-26-010814-a")</f>
        <v>UA-2025-02-26-010814-a</v>
      </c>
      <c r="Q935" s="424">
        <v>687.91728999999998</v>
      </c>
      <c r="R935" s="424">
        <v>1</v>
      </c>
      <c r="S935" s="424">
        <v>687.91728999999998</v>
      </c>
      <c r="T935" s="425">
        <v>45714</v>
      </c>
      <c r="U935" s="424"/>
      <c r="V935" s="424" t="s">
        <v>59</v>
      </c>
    </row>
    <row r="936" spans="1:22" ht="62.4" x14ac:dyDescent="0.3">
      <c r="A936" s="424">
        <v>930</v>
      </c>
      <c r="B936" s="424" t="s">
        <v>40</v>
      </c>
      <c r="C936" s="44" t="s">
        <v>73</v>
      </c>
      <c r="D936" s="424"/>
      <c r="E936" s="424" t="s">
        <v>75</v>
      </c>
      <c r="F936" s="44" t="s">
        <v>1887</v>
      </c>
      <c r="G936" s="424" t="s">
        <v>184</v>
      </c>
      <c r="H936" s="589">
        <v>830.32794999999999</v>
      </c>
      <c r="I936" s="424">
        <v>1</v>
      </c>
      <c r="J936" s="589">
        <v>830.32794999999999</v>
      </c>
      <c r="K936" s="589">
        <v>830.32794999999999</v>
      </c>
      <c r="L936" s="424">
        <v>1</v>
      </c>
      <c r="M936" s="589">
        <v>830.32794999999999</v>
      </c>
      <c r="N936" s="6" t="s">
        <v>1900</v>
      </c>
      <c r="O936" s="425">
        <v>45714</v>
      </c>
      <c r="P936" s="33" t="str">
        <f>HYPERLINK("https://my.zakupivli.pro/remote/dispatcher/state_purchase_view/57734768", "UA-2025-02-26-009008-a")</f>
        <v>UA-2025-02-26-009008-a</v>
      </c>
      <c r="Q936" s="424">
        <v>830.32794999999999</v>
      </c>
      <c r="R936" s="424">
        <v>1</v>
      </c>
      <c r="S936" s="424">
        <v>830.32794999999999</v>
      </c>
      <c r="T936" s="425">
        <v>45714</v>
      </c>
      <c r="U936" s="424"/>
      <c r="V936" s="424" t="s">
        <v>59</v>
      </c>
    </row>
    <row r="937" spans="1:22" ht="62.4" x14ac:dyDescent="0.3">
      <c r="A937" s="424">
        <v>931</v>
      </c>
      <c r="B937" s="424" t="s">
        <v>40</v>
      </c>
      <c r="C937" s="44" t="s">
        <v>73</v>
      </c>
      <c r="D937" s="424"/>
      <c r="E937" s="424" t="s">
        <v>75</v>
      </c>
      <c r="F937" s="44" t="s">
        <v>2029</v>
      </c>
      <c r="G937" s="424" t="s">
        <v>184</v>
      </c>
      <c r="H937" s="589">
        <v>691.48784999999998</v>
      </c>
      <c r="I937" s="424">
        <v>1</v>
      </c>
      <c r="J937" s="589">
        <v>691.48784999999998</v>
      </c>
      <c r="K937" s="589">
        <v>691.48784999999998</v>
      </c>
      <c r="L937" s="424">
        <v>1</v>
      </c>
      <c r="M937" s="589">
        <v>691.48784999999998</v>
      </c>
      <c r="N937" s="6" t="s">
        <v>1901</v>
      </c>
      <c r="O937" s="425">
        <v>45714</v>
      </c>
      <c r="P937" s="33" t="str">
        <f>HYPERLINK("https://my.zakupivli.pro/remote/dispatcher/state_purchase_view/57734245", "UA-2025-02-26-008765-a")</f>
        <v>UA-2025-02-26-008765-a</v>
      </c>
      <c r="Q937" s="424">
        <v>691.48784999999998</v>
      </c>
      <c r="R937" s="424">
        <v>1</v>
      </c>
      <c r="S937" s="424">
        <v>691.48784999999998</v>
      </c>
      <c r="T937" s="425">
        <v>45714</v>
      </c>
      <c r="U937" s="424"/>
      <c r="V937" s="424" t="s">
        <v>59</v>
      </c>
    </row>
    <row r="938" spans="1:22" ht="62.4" x14ac:dyDescent="0.3">
      <c r="A938" s="424">
        <v>932</v>
      </c>
      <c r="B938" s="424" t="s">
        <v>40</v>
      </c>
      <c r="C938" s="428" t="s">
        <v>884</v>
      </c>
      <c r="D938" s="424"/>
      <c r="E938" s="424" t="s">
        <v>20</v>
      </c>
      <c r="F938" s="44" t="s">
        <v>2030</v>
      </c>
      <c r="G938" s="424" t="s">
        <v>184</v>
      </c>
      <c r="H938" s="589">
        <v>120.94149</v>
      </c>
      <c r="I938" s="424">
        <v>1</v>
      </c>
      <c r="J938" s="589">
        <v>120.94149</v>
      </c>
      <c r="K938" s="589">
        <v>120.94149</v>
      </c>
      <c r="L938" s="424">
        <v>1</v>
      </c>
      <c r="M938" s="589">
        <v>120.94149</v>
      </c>
      <c r="N938" s="6" t="s">
        <v>1902</v>
      </c>
      <c r="O938" s="425">
        <v>45714</v>
      </c>
      <c r="P938" s="33" t="str">
        <f>HYPERLINK("https://my.zakupivli.pro/remote/dispatcher/state_purchase_view/57729054", "UA-2025-02-26-006375-a")</f>
        <v>UA-2025-02-26-006375-a</v>
      </c>
      <c r="Q938" s="424">
        <v>120.94149</v>
      </c>
      <c r="R938" s="424">
        <v>1</v>
      </c>
      <c r="S938" s="424">
        <v>120.94149</v>
      </c>
      <c r="T938" s="425">
        <v>45714</v>
      </c>
      <c r="U938" s="424"/>
      <c r="V938" s="424" t="s">
        <v>59</v>
      </c>
    </row>
    <row r="939" spans="1:22" ht="93.6" x14ac:dyDescent="0.3">
      <c r="A939" s="424">
        <v>933</v>
      </c>
      <c r="B939" s="424" t="s">
        <v>40</v>
      </c>
      <c r="C939" s="44" t="s">
        <v>2008</v>
      </c>
      <c r="D939" s="424"/>
      <c r="E939" s="424" t="s">
        <v>88</v>
      </c>
      <c r="F939" s="44" t="s">
        <v>1903</v>
      </c>
      <c r="G939" s="424" t="s">
        <v>184</v>
      </c>
      <c r="H939" s="589">
        <v>44569.936150000001</v>
      </c>
      <c r="I939" s="424">
        <v>1</v>
      </c>
      <c r="J939" s="589">
        <v>44569.936150000001</v>
      </c>
      <c r="K939" s="589">
        <v>44569.936150000001</v>
      </c>
      <c r="L939" s="424">
        <v>1</v>
      </c>
      <c r="M939" s="589">
        <v>44569.936150000001</v>
      </c>
      <c r="N939" s="6" t="s">
        <v>1905</v>
      </c>
      <c r="O939" s="425">
        <v>45718</v>
      </c>
      <c r="P939" s="429" t="str">
        <f>HYPERLINK("https://my.zakupivli.pro/remote/dispatcher/state_purchase_view/57767467", "UA-2025-02-27-009761-a")</f>
        <v>UA-2025-02-27-009761-a</v>
      </c>
      <c r="Q939" s="464">
        <v>44563.269160000003</v>
      </c>
      <c r="R939" s="464">
        <v>1</v>
      </c>
      <c r="S939" s="464">
        <v>44563.269160000003</v>
      </c>
      <c r="T939" s="425">
        <v>45763</v>
      </c>
      <c r="U939" s="424"/>
      <c r="V939" s="424"/>
    </row>
    <row r="940" spans="1:22" ht="62.4" x14ac:dyDescent="0.3">
      <c r="A940" s="424">
        <v>934</v>
      </c>
      <c r="B940" s="424" t="s">
        <v>40</v>
      </c>
      <c r="C940" s="44" t="s">
        <v>2008</v>
      </c>
      <c r="D940" s="424"/>
      <c r="E940" s="424" t="s">
        <v>88</v>
      </c>
      <c r="F940" s="44" t="s">
        <v>1904</v>
      </c>
      <c r="G940" s="424" t="s">
        <v>184</v>
      </c>
      <c r="H940" s="589">
        <v>24737.839540000001</v>
      </c>
      <c r="I940" s="424">
        <v>1</v>
      </c>
      <c r="J940" s="589">
        <v>24737.839540000001</v>
      </c>
      <c r="K940" s="589">
        <v>24737.839540000001</v>
      </c>
      <c r="L940" s="424">
        <v>1</v>
      </c>
      <c r="M940" s="589">
        <v>24737.839540000001</v>
      </c>
      <c r="N940" s="6" t="s">
        <v>1906</v>
      </c>
      <c r="O940" s="425">
        <v>45718</v>
      </c>
      <c r="P940" s="33" t="str">
        <f>HYPERLINK("https://my.zakupivli.pro/remote/dispatcher/state_purchase_view/57746790", "UA-2025-02-27-000432-a")</f>
        <v>UA-2025-02-27-000432-a</v>
      </c>
      <c r="Q940" s="464">
        <v>24731.150079999999</v>
      </c>
      <c r="R940" s="464">
        <v>1</v>
      </c>
      <c r="S940" s="464">
        <v>24731.150079999999</v>
      </c>
      <c r="T940" s="465">
        <v>45763</v>
      </c>
      <c r="U940" s="424"/>
      <c r="V940" s="424"/>
    </row>
    <row r="941" spans="1:22" ht="62.4" x14ac:dyDescent="0.3">
      <c r="A941" s="424">
        <v>935</v>
      </c>
      <c r="B941" s="424" t="s">
        <v>40</v>
      </c>
      <c r="C941" s="44" t="s">
        <v>73</v>
      </c>
      <c r="D941" s="424"/>
      <c r="E941" s="424" t="s">
        <v>75</v>
      </c>
      <c r="F941" s="44" t="s">
        <v>2029</v>
      </c>
      <c r="G941" s="424" t="s">
        <v>184</v>
      </c>
      <c r="H941" s="589">
        <v>429.74119999999999</v>
      </c>
      <c r="I941" s="424">
        <v>1</v>
      </c>
      <c r="J941" s="589">
        <v>429.74119999999999</v>
      </c>
      <c r="K941" s="589">
        <v>429.74119999999999</v>
      </c>
      <c r="L941" s="424">
        <v>1</v>
      </c>
      <c r="M941" s="589">
        <v>429.74119999999999</v>
      </c>
      <c r="N941" s="6" t="s">
        <v>1907</v>
      </c>
      <c r="O941" s="425">
        <v>45719</v>
      </c>
      <c r="P941" s="33" t="str">
        <f>HYPERLINK("https://my.zakupivli.pro/remote/dispatcher/state_purchase_view/57827963", "UA-2025-03-03-010821-a")</f>
        <v>UA-2025-03-03-010821-a</v>
      </c>
      <c r="Q941" s="424">
        <v>429.74119999999999</v>
      </c>
      <c r="R941" s="424">
        <v>1</v>
      </c>
      <c r="S941" s="424">
        <v>429.74119999999999</v>
      </c>
      <c r="T941" s="425">
        <v>45719</v>
      </c>
      <c r="U941" s="424"/>
      <c r="V941" s="424" t="s">
        <v>59</v>
      </c>
    </row>
    <row r="942" spans="1:22" ht="62.4" x14ac:dyDescent="0.3">
      <c r="A942" s="424">
        <v>936</v>
      </c>
      <c r="B942" s="424" t="s">
        <v>40</v>
      </c>
      <c r="C942" s="44" t="s">
        <v>73</v>
      </c>
      <c r="D942" s="424"/>
      <c r="E942" s="424" t="s">
        <v>75</v>
      </c>
      <c r="F942" s="44" t="s">
        <v>1887</v>
      </c>
      <c r="G942" s="424" t="s">
        <v>184</v>
      </c>
      <c r="H942" s="589">
        <v>406.09300000000002</v>
      </c>
      <c r="I942" s="424">
        <v>1</v>
      </c>
      <c r="J942" s="589">
        <v>406.09300000000002</v>
      </c>
      <c r="K942" s="589">
        <v>406.09300000000002</v>
      </c>
      <c r="L942" s="424">
        <v>1</v>
      </c>
      <c r="M942" s="589">
        <v>406.09300000000002</v>
      </c>
      <c r="N942" s="6" t="s">
        <v>1908</v>
      </c>
      <c r="O942" s="425">
        <v>45719</v>
      </c>
      <c r="P942" s="33" t="str">
        <f>HYPERLINK("https://my.zakupivli.pro/remote/dispatcher/state_purchase_view/57827098", "UA-2025-03-03-010382-a")</f>
        <v>UA-2025-03-03-010382-a</v>
      </c>
      <c r="Q942" s="424">
        <v>406.09300000000002</v>
      </c>
      <c r="R942" s="424">
        <v>1</v>
      </c>
      <c r="S942" s="424">
        <v>406.09300000000002</v>
      </c>
      <c r="T942" s="425">
        <v>45719</v>
      </c>
      <c r="U942" s="424"/>
      <c r="V942" s="424" t="s">
        <v>59</v>
      </c>
    </row>
    <row r="943" spans="1:22" ht="62.4" x14ac:dyDescent="0.3">
      <c r="A943" s="424">
        <v>937</v>
      </c>
      <c r="B943" s="424" t="s">
        <v>40</v>
      </c>
      <c r="C943" s="44" t="s">
        <v>73</v>
      </c>
      <c r="D943" s="424"/>
      <c r="E943" s="424" t="s">
        <v>75</v>
      </c>
      <c r="F943" s="44" t="s">
        <v>1887</v>
      </c>
      <c r="G943" s="424" t="s">
        <v>184</v>
      </c>
      <c r="H943" s="589">
        <v>508.27719999999999</v>
      </c>
      <c r="I943" s="424">
        <v>1</v>
      </c>
      <c r="J943" s="589">
        <v>508.27719999999999</v>
      </c>
      <c r="K943" s="589">
        <v>508.27719999999999</v>
      </c>
      <c r="L943" s="424">
        <v>1</v>
      </c>
      <c r="M943" s="589">
        <v>508.27719999999999</v>
      </c>
      <c r="N943" s="6" t="s">
        <v>1909</v>
      </c>
      <c r="O943" s="425">
        <v>45720</v>
      </c>
      <c r="P943" s="33" t="str">
        <f>HYPERLINK("https://my.zakupivli.pro/remote/dispatcher/state_purchase_view/57859720", "UA-2025-03-04-011644-a")</f>
        <v>UA-2025-03-04-011644-a</v>
      </c>
      <c r="Q943" s="424">
        <v>508.27719999999999</v>
      </c>
      <c r="R943" s="424">
        <v>1</v>
      </c>
      <c r="S943" s="424">
        <v>508.27719999999999</v>
      </c>
      <c r="T943" s="425">
        <v>45720</v>
      </c>
      <c r="U943" s="424"/>
      <c r="V943" s="424" t="s">
        <v>59</v>
      </c>
    </row>
    <row r="944" spans="1:22" ht="46.8" x14ac:dyDescent="0.3">
      <c r="A944" s="424">
        <v>938</v>
      </c>
      <c r="B944" s="424" t="s">
        <v>21</v>
      </c>
      <c r="C944" s="44" t="s">
        <v>2028</v>
      </c>
      <c r="D944" s="424"/>
      <c r="E944" s="424" t="s">
        <v>75</v>
      </c>
      <c r="F944" s="44" t="s">
        <v>1910</v>
      </c>
      <c r="G944" s="424" t="s">
        <v>186</v>
      </c>
      <c r="H944" s="589"/>
      <c r="I944" s="424">
        <v>158</v>
      </c>
      <c r="J944" s="589">
        <v>1179.8870400000001</v>
      </c>
      <c r="K944" s="589"/>
      <c r="L944" s="424">
        <v>158</v>
      </c>
      <c r="M944" s="589">
        <v>1179.8870400000001</v>
      </c>
      <c r="N944" s="6" t="s">
        <v>1911</v>
      </c>
      <c r="O944" s="425">
        <v>45721</v>
      </c>
      <c r="P944" s="120" t="str">
        <f>HYPERLINK("https://my.zakupivli.pro/remote/dispatcher/state_purchase_view/57875267", "UA-2025-03-05-003221-a")</f>
        <v>UA-2025-03-05-003221-a</v>
      </c>
      <c r="Q944" s="424"/>
      <c r="R944" s="424">
        <v>158</v>
      </c>
      <c r="S944" s="424">
        <v>1008.40833</v>
      </c>
      <c r="T944" s="425">
        <v>45742</v>
      </c>
      <c r="U944" s="424"/>
      <c r="V944" s="424"/>
    </row>
    <row r="945" spans="1:22" ht="62.4" x14ac:dyDescent="0.3">
      <c r="A945" s="424">
        <v>939</v>
      </c>
      <c r="B945" s="424" t="s">
        <v>40</v>
      </c>
      <c r="C945" s="44" t="s">
        <v>884</v>
      </c>
      <c r="D945" s="424"/>
      <c r="E945" s="424" t="s">
        <v>20</v>
      </c>
      <c r="F945" s="44" t="s">
        <v>2027</v>
      </c>
      <c r="G945" s="424" t="s">
        <v>184</v>
      </c>
      <c r="H945" s="589">
        <v>91.733549999999994</v>
      </c>
      <c r="I945" s="424">
        <v>1</v>
      </c>
      <c r="J945" s="589">
        <v>91.733549999999994</v>
      </c>
      <c r="K945" s="589">
        <v>91.733549999999994</v>
      </c>
      <c r="L945" s="424">
        <v>1</v>
      </c>
      <c r="M945" s="589">
        <v>91.733549999999994</v>
      </c>
      <c r="N945" s="6" t="s">
        <v>1912</v>
      </c>
      <c r="O945" s="425">
        <v>45721</v>
      </c>
      <c r="P945" s="120" t="str">
        <f>HYPERLINK("https://my.zakupivli.pro/remote/dispatcher/state_purchase_view/57873346", "UA-2025-03-05-002451-a")</f>
        <v>UA-2025-03-05-002451-a</v>
      </c>
      <c r="Q945" s="424">
        <v>91.733549999999994</v>
      </c>
      <c r="R945" s="424">
        <v>1</v>
      </c>
      <c r="S945" s="424">
        <v>91.733549999999994</v>
      </c>
      <c r="T945" s="425">
        <v>45721</v>
      </c>
      <c r="U945" s="424"/>
      <c r="V945" s="424" t="s">
        <v>59</v>
      </c>
    </row>
    <row r="946" spans="1:22" ht="62.4" x14ac:dyDescent="0.3">
      <c r="A946" s="424">
        <v>940</v>
      </c>
      <c r="B946" s="424" t="s">
        <v>21</v>
      </c>
      <c r="C946" s="44" t="s">
        <v>1913</v>
      </c>
      <c r="D946" s="424"/>
      <c r="E946" s="424" t="s">
        <v>75</v>
      </c>
      <c r="F946" s="44" t="s">
        <v>2026</v>
      </c>
      <c r="G946" s="424" t="s">
        <v>185</v>
      </c>
      <c r="H946" s="589"/>
      <c r="I946" s="424">
        <v>34</v>
      </c>
      <c r="J946" s="589">
        <v>428.90600000000001</v>
      </c>
      <c r="K946" s="589"/>
      <c r="L946" s="426">
        <v>34</v>
      </c>
      <c r="M946" s="589">
        <v>428.90600000000001</v>
      </c>
      <c r="N946" s="6" t="s">
        <v>1915</v>
      </c>
      <c r="O946" s="425">
        <v>45722</v>
      </c>
      <c r="P946" s="33" t="str">
        <f>HYPERLINK("https://my.zakupivli.pro/remote/dispatcher/state_purchase_view/57931528", "UA-2025-03-06-012902-a")</f>
        <v>UA-2025-03-06-012902-a</v>
      </c>
      <c r="Q946" s="424"/>
      <c r="R946" s="424"/>
      <c r="S946" s="424"/>
      <c r="T946" s="425"/>
      <c r="U946" s="424" t="s">
        <v>1793</v>
      </c>
      <c r="V946" s="424"/>
    </row>
    <row r="947" spans="1:22" ht="62.4" x14ac:dyDescent="0.3">
      <c r="A947" s="424">
        <v>941</v>
      </c>
      <c r="B947" s="446" t="s">
        <v>21</v>
      </c>
      <c r="C947" s="452" t="s">
        <v>1914</v>
      </c>
      <c r="D947" s="446"/>
      <c r="E947" s="446" t="s">
        <v>75</v>
      </c>
      <c r="F947" s="452" t="s">
        <v>2025</v>
      </c>
      <c r="G947" s="424" t="s">
        <v>186</v>
      </c>
      <c r="H947" s="589"/>
      <c r="I947" s="424">
        <v>8</v>
      </c>
      <c r="J947" s="589">
        <v>98.179000000000002</v>
      </c>
      <c r="K947" s="589"/>
      <c r="L947" s="426">
        <v>8</v>
      </c>
      <c r="M947" s="589">
        <v>98.179000000000002</v>
      </c>
      <c r="N947" s="6" t="s">
        <v>1916</v>
      </c>
      <c r="O947" s="427">
        <v>45722</v>
      </c>
      <c r="P947" s="33" t="str">
        <f>HYPERLINK("https://my.zakupivli.pro/remote/dispatcher/state_purchase_view/57925883", "UA-2025-03-06-010281-a")</f>
        <v>UA-2025-03-06-010281-a</v>
      </c>
      <c r="Q947" s="424"/>
      <c r="R947" s="426">
        <v>8</v>
      </c>
      <c r="S947" s="426">
        <v>98.179000000000002</v>
      </c>
      <c r="T947" s="427">
        <v>45721</v>
      </c>
      <c r="U947" s="424"/>
      <c r="V947" s="426" t="s">
        <v>59</v>
      </c>
    </row>
    <row r="948" spans="1:22" ht="62.4" x14ac:dyDescent="0.3">
      <c r="A948" s="424">
        <v>942</v>
      </c>
      <c r="B948" s="424" t="s">
        <v>40</v>
      </c>
      <c r="C948" s="44" t="s">
        <v>2008</v>
      </c>
      <c r="D948" s="424"/>
      <c r="E948" s="424" t="s">
        <v>20</v>
      </c>
      <c r="F948" s="44" t="s">
        <v>1917</v>
      </c>
      <c r="G948" s="424" t="s">
        <v>184</v>
      </c>
      <c r="H948" s="589">
        <v>218.52443</v>
      </c>
      <c r="I948" s="424">
        <v>1</v>
      </c>
      <c r="J948" s="589">
        <v>218.52443</v>
      </c>
      <c r="K948" s="589">
        <v>218.52443</v>
      </c>
      <c r="L948" s="431">
        <v>1</v>
      </c>
      <c r="M948" s="589">
        <v>218.52443</v>
      </c>
      <c r="N948" s="6" t="s">
        <v>1918</v>
      </c>
      <c r="O948" s="425">
        <v>45726</v>
      </c>
      <c r="P948" s="120" t="str">
        <f>HYPERLINK("https://my.zakupivli.pro/remote/dispatcher/state_purchase_view/57971178", "UA-2025-03-10-004948-a")</f>
        <v>UA-2025-03-10-004948-a</v>
      </c>
      <c r="Q948" s="431">
        <v>218.52443</v>
      </c>
      <c r="R948" s="431">
        <v>1</v>
      </c>
      <c r="S948" s="431">
        <v>218.52443</v>
      </c>
      <c r="T948" s="430">
        <v>45726</v>
      </c>
      <c r="U948" s="424"/>
      <c r="V948" s="431" t="s">
        <v>59</v>
      </c>
    </row>
    <row r="949" spans="1:22" ht="62.4" x14ac:dyDescent="0.3">
      <c r="A949" s="446">
        <v>943</v>
      </c>
      <c r="B949" s="446" t="s">
        <v>21</v>
      </c>
      <c r="C949" s="452" t="s">
        <v>1117</v>
      </c>
      <c r="D949" s="446"/>
      <c r="E949" s="446" t="s">
        <v>75</v>
      </c>
      <c r="F949" s="452" t="s">
        <v>2024</v>
      </c>
      <c r="G949" s="424" t="s">
        <v>186</v>
      </c>
      <c r="H949" s="589"/>
      <c r="I949" s="424">
        <v>10</v>
      </c>
      <c r="J949" s="589">
        <v>204.12375</v>
      </c>
      <c r="K949" s="589"/>
      <c r="L949" s="432">
        <v>10</v>
      </c>
      <c r="M949" s="589">
        <v>204.12375</v>
      </c>
      <c r="N949" s="6" t="s">
        <v>1921</v>
      </c>
      <c r="O949" s="425">
        <v>45729</v>
      </c>
      <c r="P949" s="33" t="str">
        <f>HYPERLINK("https://my.zakupivli.pro/remote/dispatcher/state_purchase_view/58076884", "UA-2025-03-13-009703-a")</f>
        <v>UA-2025-03-13-009703-a</v>
      </c>
      <c r="Q949" s="424"/>
      <c r="R949" s="432">
        <v>10</v>
      </c>
      <c r="S949" s="432">
        <v>204.12375</v>
      </c>
      <c r="T949" s="433">
        <v>45729</v>
      </c>
      <c r="U949" s="424"/>
      <c r="V949" s="432" t="s">
        <v>59</v>
      </c>
    </row>
    <row r="950" spans="1:22" ht="62.4" x14ac:dyDescent="0.3">
      <c r="A950" s="424">
        <v>944</v>
      </c>
      <c r="B950" s="424" t="s">
        <v>21</v>
      </c>
      <c r="C950" s="44" t="s">
        <v>2000</v>
      </c>
      <c r="D950" s="424"/>
      <c r="E950" s="432" t="s">
        <v>75</v>
      </c>
      <c r="F950" s="44" t="s">
        <v>1919</v>
      </c>
      <c r="G950" s="424" t="s">
        <v>186</v>
      </c>
      <c r="H950" s="589"/>
      <c r="I950" s="424">
        <v>45</v>
      </c>
      <c r="J950" s="589">
        <v>1308.3333299999999</v>
      </c>
      <c r="K950" s="589"/>
      <c r="L950" s="432">
        <v>45</v>
      </c>
      <c r="M950" s="589">
        <v>1308.3333299999999</v>
      </c>
      <c r="N950" s="6" t="s">
        <v>1922</v>
      </c>
      <c r="O950" s="433">
        <v>45729</v>
      </c>
      <c r="P950" s="33" t="str">
        <f>HYPERLINK("https://my.zakupivli.pro/remote/dispatcher/state_purchase_view/58072937", "UA-2025-03-13-007768-a")</f>
        <v>UA-2025-03-13-007768-a</v>
      </c>
      <c r="Q950" s="424"/>
      <c r="R950" s="424">
        <v>45</v>
      </c>
      <c r="S950" s="424">
        <v>1272.60025</v>
      </c>
      <c r="T950" s="433">
        <v>45747</v>
      </c>
      <c r="U950" s="424"/>
      <c r="V950" s="432"/>
    </row>
    <row r="951" spans="1:22" ht="62.4" x14ac:dyDescent="0.3">
      <c r="A951" s="424">
        <v>945</v>
      </c>
      <c r="B951" s="424" t="s">
        <v>40</v>
      </c>
      <c r="C951" s="44" t="s">
        <v>73</v>
      </c>
      <c r="D951" s="424"/>
      <c r="E951" s="432" t="s">
        <v>75</v>
      </c>
      <c r="F951" s="44" t="s">
        <v>1999</v>
      </c>
      <c r="G951" s="424" t="s">
        <v>184</v>
      </c>
      <c r="H951" s="589"/>
      <c r="I951" s="424">
        <v>1</v>
      </c>
      <c r="J951" s="589">
        <v>211.26647</v>
      </c>
      <c r="K951" s="589"/>
      <c r="L951" s="432">
        <v>1</v>
      </c>
      <c r="M951" s="589">
        <v>211.26647</v>
      </c>
      <c r="N951" s="6" t="s">
        <v>1923</v>
      </c>
      <c r="O951" s="433">
        <v>45729</v>
      </c>
      <c r="P951" s="33" t="str">
        <f>HYPERLINK("https://my.zakupivli.pro/remote/dispatcher/state_purchase_view/58061453", "UA-2025-03-13-002322-a")</f>
        <v>UA-2025-03-13-002322-a</v>
      </c>
      <c r="Q951" s="424"/>
      <c r="R951" s="432">
        <v>1</v>
      </c>
      <c r="S951" s="432">
        <v>211.26647</v>
      </c>
      <c r="T951" s="433">
        <v>45729</v>
      </c>
      <c r="U951" s="424"/>
      <c r="V951" s="432" t="s">
        <v>59</v>
      </c>
    </row>
    <row r="952" spans="1:22" ht="62.4" x14ac:dyDescent="0.3">
      <c r="A952" s="424">
        <v>946</v>
      </c>
      <c r="B952" s="424" t="s">
        <v>40</v>
      </c>
      <c r="C952" s="44" t="s">
        <v>73</v>
      </c>
      <c r="D952" s="424"/>
      <c r="E952" s="432" t="s">
        <v>75</v>
      </c>
      <c r="F952" s="44" t="s">
        <v>1998</v>
      </c>
      <c r="G952" s="424" t="s">
        <v>184</v>
      </c>
      <c r="H952" s="589"/>
      <c r="I952" s="424">
        <v>1</v>
      </c>
      <c r="J952" s="589">
        <v>440.26853999999997</v>
      </c>
      <c r="K952" s="589"/>
      <c r="L952" s="432">
        <v>1</v>
      </c>
      <c r="M952" s="589">
        <v>440.26853999999997</v>
      </c>
      <c r="N952" s="6" t="s">
        <v>1924</v>
      </c>
      <c r="O952" s="433">
        <v>45729</v>
      </c>
      <c r="P952" s="33" t="str">
        <f>HYPERLINK("https://my.zakupivli.pro/remote/dispatcher/state_purchase_view/58060906", "UA-2025-03-13-002113-a")</f>
        <v>UA-2025-03-13-002113-a</v>
      </c>
      <c r="Q952" s="424"/>
      <c r="R952" s="432">
        <v>1</v>
      </c>
      <c r="S952" s="432">
        <v>440.26853999999997</v>
      </c>
      <c r="T952" s="433">
        <v>45729</v>
      </c>
      <c r="U952" s="424"/>
      <c r="V952" s="432" t="s">
        <v>59</v>
      </c>
    </row>
    <row r="953" spans="1:22" ht="78" x14ac:dyDescent="0.3">
      <c r="A953" s="432">
        <v>947</v>
      </c>
      <c r="B953" s="432" t="s">
        <v>40</v>
      </c>
      <c r="C953" s="44" t="s">
        <v>1991</v>
      </c>
      <c r="D953" s="432"/>
      <c r="E953" s="432" t="s">
        <v>75</v>
      </c>
      <c r="F953" s="44" t="s">
        <v>1920</v>
      </c>
      <c r="G953" s="432" t="s">
        <v>184</v>
      </c>
      <c r="H953" s="589"/>
      <c r="I953" s="432">
        <v>1</v>
      </c>
      <c r="J953" s="589">
        <v>143.95327</v>
      </c>
      <c r="K953" s="589"/>
      <c r="L953" s="432">
        <v>1</v>
      </c>
      <c r="M953" s="589">
        <v>143.95327</v>
      </c>
      <c r="N953" s="6" t="s">
        <v>1925</v>
      </c>
      <c r="O953" s="433">
        <v>45729</v>
      </c>
      <c r="P953" s="33" t="str">
        <f>HYPERLINK("https://my.zakupivli.pro/remote/dispatcher/state_purchase_view/58056297", "UA-2025-03-13-000096-a")</f>
        <v>UA-2025-03-13-000096-a</v>
      </c>
      <c r="Q953" s="432"/>
      <c r="R953" s="432">
        <v>1</v>
      </c>
      <c r="S953" s="432">
        <v>143.95327</v>
      </c>
      <c r="T953" s="433">
        <v>45729</v>
      </c>
      <c r="U953" s="432"/>
      <c r="V953" s="432" t="s">
        <v>59</v>
      </c>
    </row>
    <row r="954" spans="1:22" ht="43.2" x14ac:dyDescent="0.3">
      <c r="A954" s="432">
        <v>948</v>
      </c>
      <c r="B954" s="432" t="s">
        <v>21</v>
      </c>
      <c r="C954" s="44" t="s">
        <v>30</v>
      </c>
      <c r="D954" s="432"/>
      <c r="E954" s="432" t="s">
        <v>75</v>
      </c>
      <c r="F954" s="44" t="s">
        <v>1997</v>
      </c>
      <c r="G954" s="432" t="s">
        <v>185</v>
      </c>
      <c r="H954" s="589"/>
      <c r="I954" s="432">
        <v>160</v>
      </c>
      <c r="J954" s="589">
        <v>433.33332999999999</v>
      </c>
      <c r="K954" s="589"/>
      <c r="L954" s="432">
        <v>160</v>
      </c>
      <c r="M954" s="589">
        <v>433.33332999999999</v>
      </c>
      <c r="N954" s="6" t="s">
        <v>1928</v>
      </c>
      <c r="O954" s="433">
        <v>45730</v>
      </c>
      <c r="P954" s="33" t="str">
        <f>HYPERLINK("https://my.zakupivli.pro/remote/dispatcher/state_purchase_view/58109414", "UA-2025-03-14-009710-a")</f>
        <v>UA-2025-03-14-009710-a</v>
      </c>
      <c r="Q954" s="432"/>
      <c r="R954" s="432">
        <v>160</v>
      </c>
      <c r="S954" s="432">
        <v>333.25069999999999</v>
      </c>
      <c r="T954" s="433">
        <v>45750</v>
      </c>
      <c r="U954" s="432"/>
      <c r="V954" s="432"/>
    </row>
    <row r="955" spans="1:22" ht="62.4" x14ac:dyDescent="0.3">
      <c r="A955" s="432">
        <v>949</v>
      </c>
      <c r="B955" s="432" t="s">
        <v>21</v>
      </c>
      <c r="C955" s="44" t="s">
        <v>1996</v>
      </c>
      <c r="D955" s="432"/>
      <c r="E955" s="432" t="s">
        <v>75</v>
      </c>
      <c r="F955" s="44" t="s">
        <v>1926</v>
      </c>
      <c r="G955" s="432" t="s">
        <v>186</v>
      </c>
      <c r="H955" s="589"/>
      <c r="I955" s="432">
        <v>3</v>
      </c>
      <c r="J955" s="589">
        <v>60.97</v>
      </c>
      <c r="K955" s="589"/>
      <c r="L955" s="432">
        <v>3</v>
      </c>
      <c r="M955" s="589">
        <v>60.97</v>
      </c>
      <c r="N955" s="6" t="s">
        <v>1929</v>
      </c>
      <c r="O955" s="433">
        <v>45730</v>
      </c>
      <c r="P955" s="33" t="str">
        <f>HYPERLINK("https://my.zakupivli.pro/remote/dispatcher/state_purchase_view/58096222", "UA-2025-03-14-003738-a")</f>
        <v>UA-2025-03-14-003738-a</v>
      </c>
      <c r="Q955" s="432"/>
      <c r="R955" s="432">
        <v>3</v>
      </c>
      <c r="S955" s="432">
        <v>60.97</v>
      </c>
      <c r="T955" s="433">
        <v>45730</v>
      </c>
      <c r="U955" s="432"/>
      <c r="V955" s="432" t="s">
        <v>59</v>
      </c>
    </row>
    <row r="956" spans="1:22" ht="62.4" x14ac:dyDescent="0.3">
      <c r="A956" s="432">
        <v>950</v>
      </c>
      <c r="B956" s="432" t="s">
        <v>1150</v>
      </c>
      <c r="C956" s="44" t="s">
        <v>1995</v>
      </c>
      <c r="D956" s="432"/>
      <c r="E956" s="432" t="s">
        <v>75</v>
      </c>
      <c r="F956" s="44" t="s">
        <v>1927</v>
      </c>
      <c r="G956" s="432" t="s">
        <v>1149</v>
      </c>
      <c r="H956" s="589"/>
      <c r="I956" s="432">
        <v>1</v>
      </c>
      <c r="J956" s="589">
        <v>81</v>
      </c>
      <c r="K956" s="589"/>
      <c r="L956" s="432">
        <v>1</v>
      </c>
      <c r="M956" s="589">
        <v>81</v>
      </c>
      <c r="N956" s="6" t="s">
        <v>1930</v>
      </c>
      <c r="O956" s="433">
        <v>45730</v>
      </c>
      <c r="P956" s="33" t="str">
        <f>HYPERLINK("https://my.zakupivli.pro/remote/dispatcher/state_purchase_view/58089610", "UA-2025-03-14-000631-a")</f>
        <v>UA-2025-03-14-000631-a</v>
      </c>
      <c r="Q956" s="432"/>
      <c r="R956" s="432">
        <v>1</v>
      </c>
      <c r="S956" s="117">
        <v>81</v>
      </c>
      <c r="T956" s="433">
        <v>45730</v>
      </c>
      <c r="U956" s="432"/>
      <c r="V956" s="432" t="s">
        <v>59</v>
      </c>
    </row>
    <row r="957" spans="1:22" ht="62.4" x14ac:dyDescent="0.3">
      <c r="A957" s="432">
        <v>951</v>
      </c>
      <c r="B957" s="432" t="s">
        <v>40</v>
      </c>
      <c r="C957" s="44" t="s">
        <v>1991</v>
      </c>
      <c r="D957" s="432"/>
      <c r="E957" s="432" t="s">
        <v>20</v>
      </c>
      <c r="F957" s="44" t="s">
        <v>1931</v>
      </c>
      <c r="G957" s="432" t="s">
        <v>184</v>
      </c>
      <c r="H957" s="589">
        <v>219.46376000000001</v>
      </c>
      <c r="I957" s="432">
        <v>1</v>
      </c>
      <c r="J957" s="589">
        <v>219.46376000000001</v>
      </c>
      <c r="K957" s="589">
        <v>219.46376000000001</v>
      </c>
      <c r="L957" s="434">
        <v>1</v>
      </c>
      <c r="M957" s="589">
        <v>219.46376000000001</v>
      </c>
      <c r="N957" s="6" t="s">
        <v>1933</v>
      </c>
      <c r="O957" s="433">
        <v>45735</v>
      </c>
      <c r="P957" s="33" t="str">
        <f>HYPERLINK("https://my.zakupivli.pro/remote/dispatcher/state_purchase_view/58211662", "UA-2025-03-19-012837-a")</f>
        <v>UA-2025-03-19-012837-a</v>
      </c>
      <c r="Q957" s="434">
        <v>219.46376000000001</v>
      </c>
      <c r="R957" s="434">
        <v>1</v>
      </c>
      <c r="S957" s="434">
        <v>219.46376000000001</v>
      </c>
      <c r="T957" s="435">
        <v>45735</v>
      </c>
      <c r="U957" s="432"/>
      <c r="V957" s="434" t="s">
        <v>59</v>
      </c>
    </row>
    <row r="958" spans="1:22" ht="62.4" x14ac:dyDescent="0.3">
      <c r="A958" s="432">
        <v>952</v>
      </c>
      <c r="B958" s="432" t="s">
        <v>40</v>
      </c>
      <c r="C958" s="44" t="s">
        <v>1991</v>
      </c>
      <c r="D958" s="432"/>
      <c r="E958" s="432" t="s">
        <v>20</v>
      </c>
      <c r="F958" s="44" t="s">
        <v>1932</v>
      </c>
      <c r="G958" s="432" t="s">
        <v>184</v>
      </c>
      <c r="H958" s="589">
        <v>72.275949999999995</v>
      </c>
      <c r="I958" s="432">
        <v>1</v>
      </c>
      <c r="J958" s="589">
        <v>72.275949999999995</v>
      </c>
      <c r="K958" s="589">
        <v>72.275949999999995</v>
      </c>
      <c r="L958" s="434">
        <v>1</v>
      </c>
      <c r="M958" s="589">
        <v>72.275949999999995</v>
      </c>
      <c r="N958" s="6" t="s">
        <v>1934</v>
      </c>
      <c r="O958" s="435">
        <v>45735</v>
      </c>
      <c r="P958" s="33" t="str">
        <f>HYPERLINK("https://my.zakupivli.pro/remote/dispatcher/state_purchase_view/58211601", "UA-2025-03-19-012800-a")</f>
        <v>UA-2025-03-19-012800-a</v>
      </c>
      <c r="Q958" s="434">
        <v>72.275949999999995</v>
      </c>
      <c r="R958" s="434">
        <v>1</v>
      </c>
      <c r="S958" s="434">
        <v>72.275949999999995</v>
      </c>
      <c r="T958" s="435">
        <v>45735</v>
      </c>
      <c r="U958" s="432"/>
      <c r="V958" s="434" t="s">
        <v>59</v>
      </c>
    </row>
    <row r="959" spans="1:22" ht="62.4" x14ac:dyDescent="0.3">
      <c r="A959" s="432">
        <v>953</v>
      </c>
      <c r="B959" s="432" t="s">
        <v>21</v>
      </c>
      <c r="C959" s="44" t="s">
        <v>1913</v>
      </c>
      <c r="D959" s="432"/>
      <c r="E959" s="432" t="s">
        <v>75</v>
      </c>
      <c r="F959" s="44" t="s">
        <v>1994</v>
      </c>
      <c r="G959" s="432" t="s">
        <v>185</v>
      </c>
      <c r="H959" s="589"/>
      <c r="I959" s="432">
        <v>34</v>
      </c>
      <c r="J959" s="589">
        <v>428.90600000000001</v>
      </c>
      <c r="K959" s="589"/>
      <c r="L959" s="434">
        <v>34</v>
      </c>
      <c r="M959" s="589">
        <v>428.90600000000001</v>
      </c>
      <c r="N959" s="6" t="s">
        <v>1935</v>
      </c>
      <c r="O959" s="435">
        <v>45735</v>
      </c>
      <c r="P959" s="33" t="str">
        <f>HYPERLINK("https://my.zakupivli.pro/remote/dispatcher/state_purchase_view/58199921", "UA-2025-03-19-007714-a")</f>
        <v>UA-2025-03-19-007714-a</v>
      </c>
      <c r="Q959" s="432"/>
      <c r="R959" s="432">
        <v>34</v>
      </c>
      <c r="S959" s="432">
        <v>377.911</v>
      </c>
      <c r="T959" s="433">
        <v>45750</v>
      </c>
      <c r="U959" s="432"/>
      <c r="V959" s="432"/>
    </row>
    <row r="960" spans="1:22" ht="78" x14ac:dyDescent="0.3">
      <c r="A960" s="432">
        <v>954</v>
      </c>
      <c r="B960" s="432" t="s">
        <v>40</v>
      </c>
      <c r="C960" s="44" t="s">
        <v>1991</v>
      </c>
      <c r="D960" s="432"/>
      <c r="E960" s="432" t="s">
        <v>20</v>
      </c>
      <c r="F960" s="44" t="s">
        <v>1936</v>
      </c>
      <c r="G960" s="432" t="s">
        <v>184</v>
      </c>
      <c r="H960" s="589">
        <v>1006.59651</v>
      </c>
      <c r="I960" s="432">
        <v>1</v>
      </c>
      <c r="J960" s="589">
        <v>1006.59651</v>
      </c>
      <c r="K960" s="589">
        <v>1006.59651</v>
      </c>
      <c r="L960" s="434">
        <v>1</v>
      </c>
      <c r="M960" s="589">
        <v>1006.59651</v>
      </c>
      <c r="N960" s="6" t="s">
        <v>1937</v>
      </c>
      <c r="O960" s="433">
        <v>45736</v>
      </c>
      <c r="P960" s="33" t="str">
        <f>HYPERLINK("https://my.zakupivli.pro/remote/dispatcher/state_purchase_view/58221122", "UA-2025-03-20-002481-a")</f>
        <v>UA-2025-03-20-002481-a</v>
      </c>
      <c r="Q960" s="434">
        <v>1006.59651</v>
      </c>
      <c r="R960" s="434">
        <v>1</v>
      </c>
      <c r="S960" s="434">
        <v>1006.59651</v>
      </c>
      <c r="T960" s="435">
        <v>45736</v>
      </c>
      <c r="U960" s="432"/>
      <c r="V960" s="434" t="s">
        <v>59</v>
      </c>
    </row>
    <row r="961" spans="1:22" ht="62.4" x14ac:dyDescent="0.3">
      <c r="A961" s="432">
        <v>955</v>
      </c>
      <c r="B961" s="432" t="s">
        <v>40</v>
      </c>
      <c r="C961" s="41" t="s">
        <v>395</v>
      </c>
      <c r="D961" s="432"/>
      <c r="E961" s="432" t="s">
        <v>75</v>
      </c>
      <c r="F961" s="44" t="s">
        <v>1993</v>
      </c>
      <c r="G961" s="432" t="s">
        <v>184</v>
      </c>
      <c r="H961" s="589" t="s">
        <v>1938</v>
      </c>
      <c r="I961" s="432">
        <v>1</v>
      </c>
      <c r="J961" s="589" t="s">
        <v>1938</v>
      </c>
      <c r="K961" s="589" t="s">
        <v>1938</v>
      </c>
      <c r="L961" s="434">
        <v>1</v>
      </c>
      <c r="M961" s="589" t="s">
        <v>1938</v>
      </c>
      <c r="N961" s="6" t="s">
        <v>1939</v>
      </c>
      <c r="O961" s="433">
        <v>45737</v>
      </c>
      <c r="P961" s="33" t="str">
        <f>HYPERLINK("https://my.zakupivli.pro/remote/dispatcher/state_purchase_view/58273102", "UA-2025-03-21-011182-a")</f>
        <v>UA-2025-03-21-011182-a</v>
      </c>
      <c r="Q961" s="434" t="s">
        <v>1938</v>
      </c>
      <c r="R961" s="434">
        <v>1</v>
      </c>
      <c r="S961" s="434" t="s">
        <v>1938</v>
      </c>
      <c r="T961" s="433">
        <v>45737</v>
      </c>
      <c r="U961" s="432"/>
      <c r="V961" s="434" t="s">
        <v>59</v>
      </c>
    </row>
    <row r="962" spans="1:22" ht="62.4" x14ac:dyDescent="0.3">
      <c r="A962" s="432">
        <v>956</v>
      </c>
      <c r="B962" s="432" t="s">
        <v>21</v>
      </c>
      <c r="C962" s="44" t="s">
        <v>1992</v>
      </c>
      <c r="D962" s="432"/>
      <c r="E962" s="432" t="s">
        <v>75</v>
      </c>
      <c r="F962" s="44" t="s">
        <v>1940</v>
      </c>
      <c r="G962" s="432" t="s">
        <v>1943</v>
      </c>
      <c r="H962" s="589"/>
      <c r="I962" s="432">
        <v>328</v>
      </c>
      <c r="J962" s="589">
        <v>78.048000000000002</v>
      </c>
      <c r="K962" s="589"/>
      <c r="L962" s="434">
        <v>328</v>
      </c>
      <c r="M962" s="589">
        <v>78.048000000000002</v>
      </c>
      <c r="N962" s="6" t="s">
        <v>1942</v>
      </c>
      <c r="O962" s="435">
        <v>45740</v>
      </c>
      <c r="P962" s="33" t="str">
        <f>HYPERLINK("https://my.zakupivli.pro/remote/dispatcher/state_purchase_view/58282530", "UA-2025-03-24-001110-a")</f>
        <v>UA-2025-03-24-001110-a</v>
      </c>
      <c r="Q962" s="432"/>
      <c r="R962" s="434">
        <v>328</v>
      </c>
      <c r="S962" s="434">
        <v>78.048000000000002</v>
      </c>
      <c r="T962" s="433">
        <v>45740</v>
      </c>
      <c r="U962" s="432"/>
      <c r="V962" s="434" t="s">
        <v>59</v>
      </c>
    </row>
    <row r="963" spans="1:22" ht="62.4" x14ac:dyDescent="0.3">
      <c r="A963" s="432">
        <v>957</v>
      </c>
      <c r="B963" s="432" t="s">
        <v>40</v>
      </c>
      <c r="C963" s="44" t="s">
        <v>1991</v>
      </c>
      <c r="D963" s="432"/>
      <c r="E963" s="432" t="s">
        <v>20</v>
      </c>
      <c r="F963" s="44" t="s">
        <v>1941</v>
      </c>
      <c r="G963" s="432" t="s">
        <v>184</v>
      </c>
      <c r="H963" s="589"/>
      <c r="I963" s="432">
        <v>1</v>
      </c>
      <c r="J963" s="589">
        <v>151.13647</v>
      </c>
      <c r="K963" s="589"/>
      <c r="L963" s="434">
        <v>1</v>
      </c>
      <c r="M963" s="589">
        <v>151.13647</v>
      </c>
      <c r="N963" s="6" t="s">
        <v>1944</v>
      </c>
      <c r="O963" s="435">
        <v>45740</v>
      </c>
      <c r="P963" s="33" t="str">
        <f>HYPERLINK("https://my.zakupivli.pro/remote/dispatcher/state_purchase_view/58282446", "UA-2025-03-24-001051-a")</f>
        <v>UA-2025-03-24-001051-a</v>
      </c>
      <c r="Q963" s="432"/>
      <c r="R963" s="434">
        <v>1</v>
      </c>
      <c r="S963" s="434">
        <v>151.13647</v>
      </c>
      <c r="T963" s="433">
        <v>45737</v>
      </c>
      <c r="U963" s="432"/>
      <c r="V963" s="434" t="s">
        <v>59</v>
      </c>
    </row>
    <row r="964" spans="1:22" ht="62.4" x14ac:dyDescent="0.3">
      <c r="A964" s="434">
        <v>958</v>
      </c>
      <c r="B964" s="434" t="s">
        <v>40</v>
      </c>
      <c r="C964" s="44" t="s">
        <v>884</v>
      </c>
      <c r="D964" s="434"/>
      <c r="E964" s="434" t="s">
        <v>20</v>
      </c>
      <c r="F964" s="44" t="s">
        <v>1990</v>
      </c>
      <c r="G964" s="434" t="s">
        <v>184</v>
      </c>
      <c r="H964" s="589"/>
      <c r="I964" s="434">
        <v>1</v>
      </c>
      <c r="J964" s="589">
        <v>289.51231999999999</v>
      </c>
      <c r="K964" s="589"/>
      <c r="L964" s="434">
        <v>1</v>
      </c>
      <c r="M964" s="589">
        <v>289.51231999999999</v>
      </c>
      <c r="N964" s="6" t="s">
        <v>1945</v>
      </c>
      <c r="O964" s="435">
        <v>45740</v>
      </c>
      <c r="P964" s="33" t="str">
        <f>HYPERLINK("https://my.zakupivli.pro/remote/dispatcher/state_purchase_view/58282171", "UA-2025-03-24-000961-a")</f>
        <v>UA-2025-03-24-000961-a</v>
      </c>
      <c r="Q964" s="434"/>
      <c r="R964" s="434">
        <v>1</v>
      </c>
      <c r="S964" s="434">
        <v>289.51231999999999</v>
      </c>
      <c r="T964" s="435">
        <v>45737</v>
      </c>
      <c r="U964" s="434"/>
      <c r="V964" s="434" t="s">
        <v>59</v>
      </c>
    </row>
    <row r="965" spans="1:22" ht="62.4" x14ac:dyDescent="0.3">
      <c r="A965" s="434">
        <v>959</v>
      </c>
      <c r="B965" s="434" t="s">
        <v>40</v>
      </c>
      <c r="C965" s="44" t="s">
        <v>884</v>
      </c>
      <c r="D965" s="434"/>
      <c r="E965" s="434" t="s">
        <v>20</v>
      </c>
      <c r="F965" s="44" t="s">
        <v>1989</v>
      </c>
      <c r="G965" s="434" t="s">
        <v>184</v>
      </c>
      <c r="H965" s="589"/>
      <c r="I965" s="434">
        <v>1</v>
      </c>
      <c r="J965" s="589">
        <v>48.222900000000003</v>
      </c>
      <c r="K965" s="589"/>
      <c r="L965" s="434">
        <v>1</v>
      </c>
      <c r="M965" s="589">
        <v>48.222900000000003</v>
      </c>
      <c r="N965" s="6" t="s">
        <v>1946</v>
      </c>
      <c r="O965" s="435">
        <v>45740</v>
      </c>
      <c r="P965" s="438" t="str">
        <f>HYPERLINK("https://my.zakupivli.pro/remote/dispatcher/state_purchase_view/58281188", "UA-2025-03-24-000505-a")</f>
        <v>UA-2025-03-24-000505-a</v>
      </c>
      <c r="Q965" s="434"/>
      <c r="R965" s="434">
        <v>1</v>
      </c>
      <c r="S965" s="434">
        <v>48.222900000000003</v>
      </c>
      <c r="T965" s="435" t="s">
        <v>1947</v>
      </c>
      <c r="U965" s="434"/>
      <c r="V965" s="434" t="s">
        <v>59</v>
      </c>
    </row>
    <row r="966" spans="1:22" ht="43.2" x14ac:dyDescent="0.3">
      <c r="A966" s="434">
        <v>960</v>
      </c>
      <c r="B966" s="434" t="s">
        <v>21</v>
      </c>
      <c r="C966" s="439" t="s">
        <v>1988</v>
      </c>
      <c r="D966" s="434"/>
      <c r="E966" s="434" t="s">
        <v>75</v>
      </c>
      <c r="F966" s="234" t="s">
        <v>1948</v>
      </c>
      <c r="G966" s="434" t="s">
        <v>186</v>
      </c>
      <c r="H966" s="589"/>
      <c r="I966" s="434">
        <v>44</v>
      </c>
      <c r="J966" s="589">
        <v>1580.9042199999999</v>
      </c>
      <c r="K966" s="589"/>
      <c r="L966" s="434">
        <v>44</v>
      </c>
      <c r="M966" s="589">
        <v>1580.9042199999999</v>
      </c>
      <c r="N966" s="6" t="s">
        <v>1949</v>
      </c>
      <c r="O966" s="435">
        <v>45740</v>
      </c>
      <c r="P966" s="97" t="s">
        <v>1950</v>
      </c>
      <c r="Q966" s="464"/>
      <c r="R966" s="464"/>
      <c r="S966" s="464"/>
      <c r="T966" s="465"/>
      <c r="U966" s="434" t="s">
        <v>1793</v>
      </c>
      <c r="V966" s="434"/>
    </row>
    <row r="967" spans="1:22" ht="62.4" x14ac:dyDescent="0.3">
      <c r="A967" s="434">
        <v>961</v>
      </c>
      <c r="B967" s="434" t="s">
        <v>40</v>
      </c>
      <c r="C967" s="44" t="s">
        <v>884</v>
      </c>
      <c r="D967" s="434"/>
      <c r="E967" s="434" t="s">
        <v>20</v>
      </c>
      <c r="F967" s="44" t="s">
        <v>1987</v>
      </c>
      <c r="G967" s="434" t="s">
        <v>184</v>
      </c>
      <c r="H967" s="589">
        <v>401.91501</v>
      </c>
      <c r="I967" s="434">
        <v>1</v>
      </c>
      <c r="J967" s="589">
        <v>401.91501</v>
      </c>
      <c r="K967" s="589">
        <v>401.91501</v>
      </c>
      <c r="L967" s="436">
        <v>1</v>
      </c>
      <c r="M967" s="589">
        <v>401.91501</v>
      </c>
      <c r="N967" s="6" t="s">
        <v>1955</v>
      </c>
      <c r="O967" s="435">
        <v>45747</v>
      </c>
      <c r="P967" s="33" t="str">
        <f>HYPERLINK("https://my.zakupivli.pro/remote/dispatcher/state_purchase_view/58434804", "UA-2025-03-31-003187-a")</f>
        <v>UA-2025-03-31-003187-a</v>
      </c>
      <c r="Q967" s="436">
        <v>401.91501</v>
      </c>
      <c r="R967" s="436">
        <v>1</v>
      </c>
      <c r="S967" s="436">
        <v>401.91501</v>
      </c>
      <c r="T967" s="437">
        <v>45747</v>
      </c>
      <c r="U967" s="434"/>
      <c r="V967" s="436" t="s">
        <v>59</v>
      </c>
    </row>
    <row r="968" spans="1:22" ht="109.2" x14ac:dyDescent="0.3">
      <c r="A968" s="434">
        <v>962</v>
      </c>
      <c r="B968" s="434" t="s">
        <v>40</v>
      </c>
      <c r="C968" s="44" t="s">
        <v>1986</v>
      </c>
      <c r="D968" s="434"/>
      <c r="E968" s="434" t="s">
        <v>20</v>
      </c>
      <c r="F968" s="44" t="s">
        <v>1951</v>
      </c>
      <c r="G968" s="434" t="s">
        <v>184</v>
      </c>
      <c r="H968" s="589">
        <v>748.34308999999996</v>
      </c>
      <c r="I968" s="434">
        <v>1</v>
      </c>
      <c r="J968" s="589">
        <v>748.34308999999996</v>
      </c>
      <c r="K968" s="589">
        <v>748.34308999999996</v>
      </c>
      <c r="L968" s="436">
        <v>1</v>
      </c>
      <c r="M968" s="589">
        <v>748.34308999999996</v>
      </c>
      <c r="N968" s="6" t="s">
        <v>1956</v>
      </c>
      <c r="O968" s="437">
        <v>45743</v>
      </c>
      <c r="P968" s="33" t="str">
        <f>HYPERLINK("https://my.zakupivli.pro/remote/dispatcher/state_purchase_view/58402308", "UA-2025-03-28-000686-a")</f>
        <v>UA-2025-03-28-000686-a</v>
      </c>
      <c r="Q968" s="436">
        <v>748.34308999999996</v>
      </c>
      <c r="R968" s="436">
        <v>1</v>
      </c>
      <c r="S968" s="436">
        <v>748.34308999999996</v>
      </c>
      <c r="T968" s="435">
        <v>45743</v>
      </c>
      <c r="U968" s="434"/>
      <c r="V968" s="436" t="s">
        <v>59</v>
      </c>
    </row>
    <row r="969" spans="1:22" ht="46.8" x14ac:dyDescent="0.3">
      <c r="A969" s="434">
        <v>963</v>
      </c>
      <c r="B969" s="434" t="s">
        <v>21</v>
      </c>
      <c r="C969" s="44" t="s">
        <v>1985</v>
      </c>
      <c r="D969" s="434"/>
      <c r="E969" s="434" t="s">
        <v>75</v>
      </c>
      <c r="F969" s="44" t="s">
        <v>1952</v>
      </c>
      <c r="G969" s="434" t="s">
        <v>185</v>
      </c>
      <c r="H969" s="589"/>
      <c r="I969" s="434">
        <v>56</v>
      </c>
      <c r="J969" s="589">
        <v>627.5</v>
      </c>
      <c r="K969" s="589"/>
      <c r="L969" s="436">
        <v>56</v>
      </c>
      <c r="M969" s="589">
        <v>627.5</v>
      </c>
      <c r="N969" s="6" t="s">
        <v>1957</v>
      </c>
      <c r="O969" s="437">
        <v>45743</v>
      </c>
      <c r="P969" s="33" t="str">
        <f>HYPERLINK("https://my.zakupivli.pro/remote/dispatcher/state_purchase_view/58391456", "UA-2025-03-27-007442-a")</f>
        <v>UA-2025-03-27-007442-a</v>
      </c>
      <c r="Q969" s="464"/>
      <c r="R969" s="464">
        <v>56</v>
      </c>
      <c r="S969" s="117">
        <v>627.20000000000005</v>
      </c>
      <c r="T969" s="465">
        <v>45761</v>
      </c>
      <c r="U969" s="434"/>
      <c r="V969" s="434"/>
    </row>
    <row r="970" spans="1:22" ht="82.8" customHeight="1" x14ac:dyDescent="0.3">
      <c r="A970" s="434">
        <v>964</v>
      </c>
      <c r="B970" s="434" t="s">
        <v>40</v>
      </c>
      <c r="C970" s="44" t="s">
        <v>1984</v>
      </c>
      <c r="D970" s="434"/>
      <c r="E970" s="434" t="s">
        <v>20</v>
      </c>
      <c r="F970" s="44" t="s">
        <v>1953</v>
      </c>
      <c r="G970" s="434" t="s">
        <v>184</v>
      </c>
      <c r="H970" s="589">
        <v>86.047290000000004</v>
      </c>
      <c r="I970" s="434">
        <v>1</v>
      </c>
      <c r="J970" s="589">
        <v>86.047290000000004</v>
      </c>
      <c r="K970" s="589">
        <v>86.047290000000004</v>
      </c>
      <c r="L970" s="436">
        <v>1</v>
      </c>
      <c r="M970" s="589">
        <v>86.047290000000004</v>
      </c>
      <c r="N970" s="6" t="s">
        <v>1958</v>
      </c>
      <c r="O970" s="437">
        <v>45743</v>
      </c>
      <c r="P970" s="33" t="str">
        <f>HYPERLINK("https://my.zakupivli.pro/remote/dispatcher/state_purchase_view/58383433", "UA-2025-03-27-003821-a")</f>
        <v>UA-2025-03-27-003821-a</v>
      </c>
      <c r="Q970" s="436">
        <v>86.047290000000004</v>
      </c>
      <c r="R970" s="436">
        <v>1</v>
      </c>
      <c r="S970" s="436">
        <v>86.047290000000004</v>
      </c>
      <c r="T970" s="437">
        <v>45743</v>
      </c>
      <c r="U970" s="434"/>
      <c r="V970" s="436" t="s">
        <v>59</v>
      </c>
    </row>
    <row r="971" spans="1:22" ht="109.2" x14ac:dyDescent="0.3">
      <c r="A971" s="434">
        <v>965</v>
      </c>
      <c r="B971" s="434" t="s">
        <v>40</v>
      </c>
      <c r="C971" s="44" t="s">
        <v>41</v>
      </c>
      <c r="D971" s="434"/>
      <c r="E971" s="434" t="s">
        <v>88</v>
      </c>
      <c r="F971" s="44" t="s">
        <v>1754</v>
      </c>
      <c r="G971" s="434" t="s">
        <v>184</v>
      </c>
      <c r="H971" s="589">
        <v>4346.2678999999998</v>
      </c>
      <c r="I971" s="434">
        <v>1</v>
      </c>
      <c r="J971" s="589">
        <v>4346.2678999999998</v>
      </c>
      <c r="K971" s="589">
        <v>4346.2678999999998</v>
      </c>
      <c r="L971" s="436">
        <v>1</v>
      </c>
      <c r="M971" s="589">
        <v>4346.2678999999998</v>
      </c>
      <c r="N971" s="6" t="s">
        <v>1959</v>
      </c>
      <c r="O971" s="435">
        <v>45741</v>
      </c>
      <c r="P971" s="33" t="str">
        <f>HYPERLINK("https://my.zakupivli.pro/remote/dispatcher/state_purchase_view/58330065", "UA-2025-03-25-007819-a")</f>
        <v>UA-2025-03-25-007819-a</v>
      </c>
      <c r="Q971" s="464">
        <v>4346.2420000000002</v>
      </c>
      <c r="R971" s="464">
        <v>1</v>
      </c>
      <c r="S971" s="464">
        <v>4346.2420000000002</v>
      </c>
      <c r="T971" s="465">
        <v>45771</v>
      </c>
      <c r="U971" s="434"/>
      <c r="V971" s="436"/>
    </row>
    <row r="972" spans="1:22" ht="301.2" customHeight="1" x14ac:dyDescent="0.3">
      <c r="A972" s="434">
        <v>966</v>
      </c>
      <c r="B972" s="434" t="s">
        <v>40</v>
      </c>
      <c r="C972" s="44" t="s">
        <v>41</v>
      </c>
      <c r="D972" s="434"/>
      <c r="E972" s="434" t="s">
        <v>88</v>
      </c>
      <c r="F972" s="44" t="s">
        <v>1970</v>
      </c>
      <c r="G972" s="434" t="s">
        <v>184</v>
      </c>
      <c r="H972" s="589">
        <v>665.31628000000001</v>
      </c>
      <c r="I972" s="434">
        <v>1</v>
      </c>
      <c r="J972" s="589">
        <v>665.31628000000001</v>
      </c>
      <c r="K972" s="589">
        <v>665.31628000000001</v>
      </c>
      <c r="L972" s="436">
        <v>1</v>
      </c>
      <c r="M972" s="589">
        <v>665.31628000000001</v>
      </c>
      <c r="N972" s="6" t="s">
        <v>1960</v>
      </c>
      <c r="O972" s="437">
        <v>45741</v>
      </c>
      <c r="P972" s="33" t="str">
        <f>HYPERLINK("https://my.zakupivli.pro/remote/dispatcher/state_purchase_view/58319979", "UA-2025-03-25-003266-a")</f>
        <v>UA-2025-03-25-003266-a</v>
      </c>
      <c r="Q972" s="464"/>
      <c r="R972" s="464"/>
      <c r="S972" s="464"/>
      <c r="T972" s="465"/>
      <c r="U972" s="434" t="s">
        <v>1793</v>
      </c>
      <c r="V972" s="436"/>
    </row>
    <row r="973" spans="1:22" ht="144" customHeight="1" x14ac:dyDescent="0.3">
      <c r="A973" s="434">
        <v>967</v>
      </c>
      <c r="B973" s="434" t="s">
        <v>40</v>
      </c>
      <c r="C973" s="44" t="s">
        <v>41</v>
      </c>
      <c r="D973" s="434"/>
      <c r="E973" s="434" t="s">
        <v>88</v>
      </c>
      <c r="F973" s="44" t="s">
        <v>1954</v>
      </c>
      <c r="G973" s="434" t="s">
        <v>184</v>
      </c>
      <c r="H973" s="589">
        <v>850.11284999999998</v>
      </c>
      <c r="I973" s="434">
        <v>1</v>
      </c>
      <c r="J973" s="589">
        <v>850.11284999999998</v>
      </c>
      <c r="K973" s="589">
        <v>850.11284999999998</v>
      </c>
      <c r="L973" s="436">
        <v>1</v>
      </c>
      <c r="M973" s="589">
        <v>850.11284999999998</v>
      </c>
      <c r="N973" s="6" t="s">
        <v>1961</v>
      </c>
      <c r="O973" s="437">
        <v>45741</v>
      </c>
      <c r="P973" s="33" t="str">
        <f>HYPERLINK("https://my.zakupivli.pro/remote/dispatcher/state_purchase_view/58318606", "UA-2025-03-25-002632-a")</f>
        <v>UA-2025-03-25-002632-a</v>
      </c>
      <c r="Q973" s="464"/>
      <c r="R973" s="464"/>
      <c r="S973" s="464"/>
      <c r="T973" s="465"/>
      <c r="U973" s="434" t="s">
        <v>1793</v>
      </c>
      <c r="V973" s="436"/>
    </row>
    <row r="974" spans="1:22" ht="62.4" x14ac:dyDescent="0.3">
      <c r="A974" s="434">
        <v>968</v>
      </c>
      <c r="B974" s="434" t="s">
        <v>40</v>
      </c>
      <c r="C974" s="44" t="s">
        <v>73</v>
      </c>
      <c r="D974" s="434"/>
      <c r="E974" s="434" t="s">
        <v>75</v>
      </c>
      <c r="F974" s="44" t="s">
        <v>1962</v>
      </c>
      <c r="G974" s="434" t="s">
        <v>184</v>
      </c>
      <c r="H974" s="589">
        <v>368.30545999999998</v>
      </c>
      <c r="I974" s="434">
        <v>1</v>
      </c>
      <c r="J974" s="589">
        <v>368.30545999999998</v>
      </c>
      <c r="K974" s="589">
        <v>368.30545999999998</v>
      </c>
      <c r="L974" s="443">
        <v>1</v>
      </c>
      <c r="M974" s="589">
        <v>368.30545999999998</v>
      </c>
      <c r="N974" s="6" t="s">
        <v>1966</v>
      </c>
      <c r="O974" s="435">
        <v>45750</v>
      </c>
      <c r="P974" s="33" t="str">
        <f>HYPERLINK("https://my.zakupivli.pro/remote/dispatcher/state_purchase_view/58524451", "UA-2025-04-03-005470-a")</f>
        <v>UA-2025-04-03-005470-a</v>
      </c>
      <c r="Q974" s="443">
        <v>368.30545999999998</v>
      </c>
      <c r="R974" s="443">
        <v>1</v>
      </c>
      <c r="S974" s="443">
        <v>368.30545999999998</v>
      </c>
      <c r="T974" s="442">
        <v>45750</v>
      </c>
      <c r="U974" s="434"/>
      <c r="V974" s="443" t="s">
        <v>59</v>
      </c>
    </row>
    <row r="975" spans="1:22" ht="62.4" x14ac:dyDescent="0.3">
      <c r="A975" s="434">
        <v>969</v>
      </c>
      <c r="B975" s="434" t="s">
        <v>40</v>
      </c>
      <c r="C975" s="44" t="s">
        <v>73</v>
      </c>
      <c r="D975" s="434"/>
      <c r="E975" s="434" t="s">
        <v>75</v>
      </c>
      <c r="F975" s="44" t="s">
        <v>1963</v>
      </c>
      <c r="G975" s="434" t="s">
        <v>184</v>
      </c>
      <c r="H975" s="589">
        <v>58.57676</v>
      </c>
      <c r="I975" s="434">
        <v>1</v>
      </c>
      <c r="J975" s="589">
        <v>58.57676</v>
      </c>
      <c r="K975" s="589">
        <v>58.57676</v>
      </c>
      <c r="L975" s="443">
        <v>1</v>
      </c>
      <c r="M975" s="589">
        <v>58.57676</v>
      </c>
      <c r="N975" s="6" t="s">
        <v>1967</v>
      </c>
      <c r="O975" s="442">
        <v>45750</v>
      </c>
      <c r="P975" s="33" t="str">
        <f>HYPERLINK("https://my.zakupivli.pro/remote/dispatcher/state_purchase_view/58523820", "UA-2025-04-03-005195-a")</f>
        <v>UA-2025-04-03-005195-a</v>
      </c>
      <c r="Q975" s="443">
        <v>58.57676</v>
      </c>
      <c r="R975" s="443">
        <v>1</v>
      </c>
      <c r="S975" s="443">
        <v>58.57676</v>
      </c>
      <c r="T975" s="442">
        <v>45750</v>
      </c>
      <c r="U975" s="434"/>
      <c r="V975" s="443" t="s">
        <v>59</v>
      </c>
    </row>
    <row r="976" spans="1:22" ht="109.2" x14ac:dyDescent="0.3">
      <c r="A976" s="434">
        <v>970</v>
      </c>
      <c r="B976" s="434" t="s">
        <v>40</v>
      </c>
      <c r="C976" s="44" t="s">
        <v>41</v>
      </c>
      <c r="D976" s="434"/>
      <c r="E976" s="434" t="s">
        <v>20</v>
      </c>
      <c r="F976" s="44" t="s">
        <v>1964</v>
      </c>
      <c r="G976" s="434" t="s">
        <v>184</v>
      </c>
      <c r="H976" s="589">
        <v>681.86911999999995</v>
      </c>
      <c r="I976" s="434">
        <v>1</v>
      </c>
      <c r="J976" s="589">
        <v>681.86911999999995</v>
      </c>
      <c r="K976" s="589">
        <v>681.86911999999995</v>
      </c>
      <c r="L976" s="443">
        <v>1</v>
      </c>
      <c r="M976" s="589">
        <v>681.86911999999995</v>
      </c>
      <c r="N976" s="6" t="s">
        <v>1968</v>
      </c>
      <c r="O976" s="435">
        <v>45749</v>
      </c>
      <c r="P976" s="33" t="str">
        <f>HYPERLINK("https://my.zakupivli.pro/remote/dispatcher/state_purchase_view/58513389", "UA-2025-04-03-000378-a")</f>
        <v>UA-2025-04-03-000378-a</v>
      </c>
      <c r="Q976" s="443">
        <v>681.86911999999995</v>
      </c>
      <c r="R976" s="443">
        <v>1</v>
      </c>
      <c r="S976" s="443">
        <v>681.86911999999995</v>
      </c>
      <c r="T976" s="442">
        <v>45749</v>
      </c>
      <c r="U976" s="434"/>
      <c r="V976" s="443" t="s">
        <v>59</v>
      </c>
    </row>
    <row r="977" spans="1:22" ht="202.8" x14ac:dyDescent="0.3">
      <c r="A977" s="434">
        <v>971</v>
      </c>
      <c r="B977" s="434" t="s">
        <v>40</v>
      </c>
      <c r="C977" s="44" t="s">
        <v>884</v>
      </c>
      <c r="D977" s="434"/>
      <c r="E977" s="434" t="s">
        <v>20</v>
      </c>
      <c r="F977" s="44" t="s">
        <v>1965</v>
      </c>
      <c r="G977" s="434" t="s">
        <v>184</v>
      </c>
      <c r="H977" s="589">
        <v>1775</v>
      </c>
      <c r="I977" s="434">
        <v>1</v>
      </c>
      <c r="J977" s="589">
        <v>1775</v>
      </c>
      <c r="K977" s="589">
        <v>1775</v>
      </c>
      <c r="L977" s="443">
        <v>1</v>
      </c>
      <c r="M977" s="589">
        <v>1775</v>
      </c>
      <c r="N977" s="6" t="s">
        <v>1969</v>
      </c>
      <c r="O977" s="442">
        <v>45748</v>
      </c>
      <c r="P977" s="33" t="str">
        <f>HYPERLINK("https://my.zakupivli.pro/remote/dispatcher/state_purchase_view/58476155", "UA-2025-04-01-011215-a")</f>
        <v>UA-2025-04-01-011215-a</v>
      </c>
      <c r="Q977" s="464">
        <v>1774.8041800000001</v>
      </c>
      <c r="R977" s="464">
        <v>1</v>
      </c>
      <c r="S977" s="464">
        <v>1774.8041800000001</v>
      </c>
      <c r="T977" s="465">
        <v>45771</v>
      </c>
      <c r="U977" s="434"/>
      <c r="V977" s="443"/>
    </row>
    <row r="978" spans="1:22" ht="62.4" x14ac:dyDescent="0.3">
      <c r="A978" s="434">
        <v>972</v>
      </c>
      <c r="B978" s="444" t="s">
        <v>40</v>
      </c>
      <c r="C978" s="44" t="s">
        <v>41</v>
      </c>
      <c r="D978" s="434"/>
      <c r="E978" s="444" t="s">
        <v>20</v>
      </c>
      <c r="F978" s="44" t="s">
        <v>1971</v>
      </c>
      <c r="G978" s="444" t="s">
        <v>184</v>
      </c>
      <c r="H978" s="589">
        <v>540.92614000000003</v>
      </c>
      <c r="I978" s="434">
        <v>1</v>
      </c>
      <c r="J978" s="589">
        <v>540.92614000000003</v>
      </c>
      <c r="K978" s="589">
        <v>540.92614000000003</v>
      </c>
      <c r="L978" s="444">
        <v>1</v>
      </c>
      <c r="M978" s="589">
        <v>540.92614000000003</v>
      </c>
      <c r="N978" s="6" t="s">
        <v>1977</v>
      </c>
      <c r="O978" s="435">
        <v>45754</v>
      </c>
      <c r="P978" s="33" t="str">
        <f>HYPERLINK("https://my.zakupivli.pro/remote/dispatcher/state_purchase_view/58600113", "UA-2025-04-07-011371-a")</f>
        <v>UA-2025-04-07-011371-a</v>
      </c>
      <c r="Q978" s="444">
        <v>540.92614000000003</v>
      </c>
      <c r="R978" s="444">
        <v>1</v>
      </c>
      <c r="S978" s="444">
        <v>540.92614000000003</v>
      </c>
      <c r="T978" s="445">
        <v>45754</v>
      </c>
      <c r="U978" s="434"/>
      <c r="V978" s="444" t="s">
        <v>59</v>
      </c>
    </row>
    <row r="979" spans="1:22" ht="62.4" x14ac:dyDescent="0.3">
      <c r="A979" s="434">
        <v>973</v>
      </c>
      <c r="B979" s="444" t="s">
        <v>40</v>
      </c>
      <c r="C979" s="44" t="s">
        <v>41</v>
      </c>
      <c r="D979" s="434"/>
      <c r="E979" s="444" t="s">
        <v>20</v>
      </c>
      <c r="F979" s="44" t="s">
        <v>1972</v>
      </c>
      <c r="G979" s="444" t="s">
        <v>184</v>
      </c>
      <c r="H979" s="589">
        <v>72216.95</v>
      </c>
      <c r="I979" s="434">
        <v>1</v>
      </c>
      <c r="J979" s="589">
        <v>72216.95</v>
      </c>
      <c r="K979" s="589">
        <v>72216.95</v>
      </c>
      <c r="L979" s="444">
        <v>1</v>
      </c>
      <c r="M979" s="589">
        <v>72216.95</v>
      </c>
      <c r="N979" s="6" t="s">
        <v>1978</v>
      </c>
      <c r="O979" s="445">
        <v>45754</v>
      </c>
      <c r="P979" s="33" t="str">
        <f>HYPERLINK("https://my.zakupivli.pro/remote/dispatcher/state_purchase_view/58599837", "UA-2025-04-07-011210-a")</f>
        <v>UA-2025-04-07-011210-a</v>
      </c>
      <c r="Q979" s="444">
        <v>72216.95</v>
      </c>
      <c r="R979" s="444">
        <v>1</v>
      </c>
      <c r="S979" s="444">
        <v>72216.95</v>
      </c>
      <c r="T979" s="445">
        <v>45754</v>
      </c>
      <c r="U979" s="434"/>
      <c r="V979" s="444" t="s">
        <v>59</v>
      </c>
    </row>
    <row r="980" spans="1:22" ht="93.6" x14ac:dyDescent="0.3">
      <c r="A980" s="434">
        <v>974</v>
      </c>
      <c r="B980" s="444" t="s">
        <v>40</v>
      </c>
      <c r="C980" s="44" t="s">
        <v>41</v>
      </c>
      <c r="D980" s="434"/>
      <c r="E980" s="444" t="s">
        <v>20</v>
      </c>
      <c r="F980" s="44" t="s">
        <v>1973</v>
      </c>
      <c r="G980" s="444" t="s">
        <v>184</v>
      </c>
      <c r="H980" s="589">
        <v>237.53351000000001</v>
      </c>
      <c r="I980" s="434">
        <v>1</v>
      </c>
      <c r="J980" s="589">
        <v>237.53351000000001</v>
      </c>
      <c r="K980" s="589">
        <v>237.53351000000001</v>
      </c>
      <c r="L980" s="444">
        <v>1</v>
      </c>
      <c r="M980" s="589">
        <v>237.53351000000001</v>
      </c>
      <c r="N980" s="6" t="s">
        <v>1979</v>
      </c>
      <c r="O980" s="445">
        <v>45754</v>
      </c>
      <c r="P980" s="33" t="str">
        <f>HYPERLINK("https://my.zakupivli.pro/remote/dispatcher/state_purchase_view/58599401", "UA-2025-04-07-011056-a")</f>
        <v>UA-2025-04-07-011056-a</v>
      </c>
      <c r="Q980" s="444">
        <v>237.53351000000001</v>
      </c>
      <c r="R980" s="444">
        <v>1</v>
      </c>
      <c r="S980" s="444">
        <v>237.53351000000001</v>
      </c>
      <c r="T980" s="445">
        <v>45754</v>
      </c>
      <c r="U980" s="434"/>
      <c r="V980" s="444" t="s">
        <v>59</v>
      </c>
    </row>
    <row r="981" spans="1:22" ht="93.6" x14ac:dyDescent="0.3">
      <c r="A981" s="434">
        <v>975</v>
      </c>
      <c r="B981" s="444" t="s">
        <v>40</v>
      </c>
      <c r="C981" s="44" t="s">
        <v>41</v>
      </c>
      <c r="D981" s="434"/>
      <c r="E981" s="444" t="s">
        <v>20</v>
      </c>
      <c r="F981" s="44" t="s">
        <v>1974</v>
      </c>
      <c r="G981" s="444" t="s">
        <v>184</v>
      </c>
      <c r="H981" s="589">
        <v>263.96899999999999</v>
      </c>
      <c r="I981" s="434">
        <v>1</v>
      </c>
      <c r="J981" s="589">
        <v>263.96899999999999</v>
      </c>
      <c r="K981" s="589">
        <v>263.96899999999999</v>
      </c>
      <c r="L981" s="444">
        <v>1</v>
      </c>
      <c r="M981" s="589">
        <v>263.96899999999999</v>
      </c>
      <c r="N981" s="6" t="s">
        <v>1980</v>
      </c>
      <c r="O981" s="445">
        <v>45754</v>
      </c>
      <c r="P981" s="33" t="str">
        <f>HYPERLINK("https://my.zakupivli.pro/remote/dispatcher/state_purchase_view/58599183", "UA-2025-04-07-010912-a")</f>
        <v>UA-2025-04-07-010912-a</v>
      </c>
      <c r="Q981" s="444">
        <v>263.96899999999999</v>
      </c>
      <c r="R981" s="444">
        <v>1</v>
      </c>
      <c r="S981" s="444">
        <v>263.96899999999999</v>
      </c>
      <c r="T981" s="445">
        <v>45754</v>
      </c>
      <c r="U981" s="434"/>
      <c r="V981" s="444" t="s">
        <v>59</v>
      </c>
    </row>
    <row r="982" spans="1:22" ht="62.4" x14ac:dyDescent="0.3">
      <c r="A982" s="434">
        <v>976</v>
      </c>
      <c r="B982" s="444" t="s">
        <v>40</v>
      </c>
      <c r="C982" s="44" t="s">
        <v>884</v>
      </c>
      <c r="D982" s="434"/>
      <c r="E982" s="444" t="s">
        <v>20</v>
      </c>
      <c r="F982" s="44" t="s">
        <v>1975</v>
      </c>
      <c r="G982" s="444" t="s">
        <v>184</v>
      </c>
      <c r="H982" s="589">
        <v>188.37469999999999</v>
      </c>
      <c r="I982" s="434">
        <v>1</v>
      </c>
      <c r="J982" s="589">
        <v>188.37469999999999</v>
      </c>
      <c r="K982" s="589">
        <v>188.37469999999999</v>
      </c>
      <c r="L982" s="444">
        <v>1</v>
      </c>
      <c r="M982" s="589">
        <v>188.37469999999999</v>
      </c>
      <c r="N982" s="6" t="s">
        <v>1981</v>
      </c>
      <c r="O982" s="445">
        <v>45754</v>
      </c>
      <c r="P982" s="33" t="str">
        <f>HYPERLINK("https://my.zakupivli.pro/remote/dispatcher/state_purchase_view/58589905", "UA-2025-04-07-006839-a")</f>
        <v>UA-2025-04-07-006839-a</v>
      </c>
      <c r="Q982" s="444">
        <v>188.37469999999999</v>
      </c>
      <c r="R982" s="444">
        <v>1</v>
      </c>
      <c r="S982" s="444">
        <v>188.37469999999999</v>
      </c>
      <c r="T982" s="445">
        <v>45754</v>
      </c>
      <c r="U982" s="434"/>
      <c r="V982" s="444" t="s">
        <v>59</v>
      </c>
    </row>
    <row r="983" spans="1:22" ht="78" x14ac:dyDescent="0.3">
      <c r="A983" s="434">
        <v>977</v>
      </c>
      <c r="B983" s="444" t="s">
        <v>40</v>
      </c>
      <c r="C983" s="44" t="s">
        <v>41</v>
      </c>
      <c r="D983" s="434"/>
      <c r="E983" s="444" t="s">
        <v>20</v>
      </c>
      <c r="F983" s="44" t="s">
        <v>1596</v>
      </c>
      <c r="G983" s="444" t="s">
        <v>184</v>
      </c>
      <c r="H983" s="589">
        <v>72.577250000000006</v>
      </c>
      <c r="I983" s="434">
        <v>1</v>
      </c>
      <c r="J983" s="589">
        <v>72.577250000000006</v>
      </c>
      <c r="K983" s="589">
        <v>72.577250000000006</v>
      </c>
      <c r="L983" s="444">
        <v>1</v>
      </c>
      <c r="M983" s="589">
        <v>72.577250000000006</v>
      </c>
      <c r="N983" s="6" t="s">
        <v>1982</v>
      </c>
      <c r="O983" s="445">
        <v>45754</v>
      </c>
      <c r="P983" s="33" t="str">
        <f>HYPERLINK("https://my.zakupivli.pro/remote/dispatcher/state_purchase_view/58589458", "UA-2025-04-07-006636-a")</f>
        <v>UA-2025-04-07-006636-a</v>
      </c>
      <c r="Q983" s="444">
        <v>72.577250000000006</v>
      </c>
      <c r="R983" s="444">
        <v>1</v>
      </c>
      <c r="S983" s="444">
        <v>72.577250000000006</v>
      </c>
      <c r="T983" s="445">
        <v>45754</v>
      </c>
      <c r="U983" s="434"/>
      <c r="V983" s="444" t="s">
        <v>59</v>
      </c>
    </row>
    <row r="984" spans="1:22" ht="109.2" x14ac:dyDescent="0.3">
      <c r="A984" s="434">
        <v>978</v>
      </c>
      <c r="B984" s="444" t="s">
        <v>40</v>
      </c>
      <c r="C984" s="44" t="s">
        <v>41</v>
      </c>
      <c r="D984" s="434"/>
      <c r="E984" s="444" t="s">
        <v>20</v>
      </c>
      <c r="F984" s="44" t="s">
        <v>1976</v>
      </c>
      <c r="G984" s="444" t="s">
        <v>184</v>
      </c>
      <c r="H984" s="589">
        <v>621.60866999999996</v>
      </c>
      <c r="I984" s="434">
        <v>1</v>
      </c>
      <c r="J984" s="589">
        <v>621.60866999999996</v>
      </c>
      <c r="K984" s="589">
        <v>621.60866999999996</v>
      </c>
      <c r="L984" s="444">
        <v>1</v>
      </c>
      <c r="M984" s="589">
        <v>621.60866999999996</v>
      </c>
      <c r="N984" s="6" t="s">
        <v>1983</v>
      </c>
      <c r="O984" s="445">
        <v>45754</v>
      </c>
      <c r="P984" s="33" t="str">
        <f>HYPERLINK("https://my.zakupivli.pro/remote/dispatcher/state_purchase_view/58575307", "UA-2025-04-07-000293-a")</f>
        <v>UA-2025-04-07-000293-a</v>
      </c>
      <c r="Q984" s="444">
        <v>621.60866999999996</v>
      </c>
      <c r="R984" s="444">
        <v>1</v>
      </c>
      <c r="S984" s="444">
        <v>621.60866999999996</v>
      </c>
      <c r="T984" s="445">
        <v>45751</v>
      </c>
      <c r="U984" s="434"/>
      <c r="V984" s="444" t="s">
        <v>59</v>
      </c>
    </row>
    <row r="985" spans="1:22" ht="62.4" x14ac:dyDescent="0.3">
      <c r="A985" s="434">
        <v>979</v>
      </c>
      <c r="B985" s="434" t="s">
        <v>21</v>
      </c>
      <c r="C985" s="44" t="s">
        <v>969</v>
      </c>
      <c r="D985" s="434"/>
      <c r="E985" s="434" t="s">
        <v>75</v>
      </c>
      <c r="F985" s="223" t="s">
        <v>2012</v>
      </c>
      <c r="G985" s="434" t="s">
        <v>185</v>
      </c>
      <c r="H985" s="589">
        <v>78.594999999999999</v>
      </c>
      <c r="I985" s="434">
        <v>25</v>
      </c>
      <c r="J985" s="589">
        <v>78.594999999999999</v>
      </c>
      <c r="K985" s="589">
        <v>78.594999999999999</v>
      </c>
      <c r="L985" s="447">
        <v>25</v>
      </c>
      <c r="M985" s="589">
        <v>78.594999999999999</v>
      </c>
      <c r="N985" s="6" t="s">
        <v>2013</v>
      </c>
      <c r="O985" s="435">
        <v>45755</v>
      </c>
      <c r="P985" s="33" t="str">
        <f>HYPERLINK("https://my.zakupivli.pro/remote/dispatcher/state_purchase_view/58613538", "UA-2025-04-08-003191-a")</f>
        <v>UA-2025-04-08-003191-a</v>
      </c>
      <c r="Q985" s="447">
        <v>78.594999999999999</v>
      </c>
      <c r="R985" s="447">
        <v>25</v>
      </c>
      <c r="S985" s="447">
        <v>78.594999999999999</v>
      </c>
      <c r="T985" s="448">
        <v>45755</v>
      </c>
      <c r="U985" s="434"/>
      <c r="V985" s="447" t="s">
        <v>59</v>
      </c>
    </row>
    <row r="986" spans="1:22" ht="109.2" x14ac:dyDescent="0.3">
      <c r="A986" s="434">
        <v>980</v>
      </c>
      <c r="B986" s="434" t="s">
        <v>40</v>
      </c>
      <c r="C986" s="44" t="s">
        <v>884</v>
      </c>
      <c r="D986" s="434"/>
      <c r="E986" s="434" t="s">
        <v>20</v>
      </c>
      <c r="F986" s="44" t="s">
        <v>2014</v>
      </c>
      <c r="G986" s="434" t="s">
        <v>184</v>
      </c>
      <c r="H986" s="589">
        <v>353.7296</v>
      </c>
      <c r="I986" s="434">
        <v>1</v>
      </c>
      <c r="J986" s="589">
        <v>353.7296</v>
      </c>
      <c r="K986" s="589">
        <v>353.7296</v>
      </c>
      <c r="L986" s="447">
        <v>1</v>
      </c>
      <c r="M986" s="589">
        <v>353.7296</v>
      </c>
      <c r="N986" s="6" t="s">
        <v>2018</v>
      </c>
      <c r="O986" s="435">
        <v>45756</v>
      </c>
      <c r="P986" s="33" t="str">
        <f>HYPERLINK("https://my.zakupivli.pro/remote/dispatcher/state_purchase_view/58657540", "UA-2025-04-09-008129-a")</f>
        <v>UA-2025-04-09-008129-a</v>
      </c>
      <c r="Q986" s="447">
        <v>353.7296</v>
      </c>
      <c r="R986" s="447">
        <v>1</v>
      </c>
      <c r="S986" s="447">
        <v>353.7296</v>
      </c>
      <c r="T986" s="448">
        <v>45755</v>
      </c>
      <c r="U986" s="434"/>
      <c r="V986" s="447" t="s">
        <v>59</v>
      </c>
    </row>
    <row r="987" spans="1:22" ht="124.8" x14ac:dyDescent="0.3">
      <c r="A987" s="434">
        <v>981</v>
      </c>
      <c r="B987" s="434" t="s">
        <v>40</v>
      </c>
      <c r="C987" s="44" t="s">
        <v>884</v>
      </c>
      <c r="D987" s="434"/>
      <c r="E987" s="434" t="s">
        <v>20</v>
      </c>
      <c r="F987" s="44" t="s">
        <v>2015</v>
      </c>
      <c r="G987" s="447" t="s">
        <v>184</v>
      </c>
      <c r="H987" s="589">
        <v>82.641300000000001</v>
      </c>
      <c r="I987" s="434">
        <v>1</v>
      </c>
      <c r="J987" s="589">
        <v>82.641300000000001</v>
      </c>
      <c r="K987" s="589">
        <v>82.641300000000001</v>
      </c>
      <c r="L987" s="447">
        <v>1</v>
      </c>
      <c r="M987" s="589">
        <v>82.641300000000001</v>
      </c>
      <c r="N987" s="6" t="s">
        <v>2019</v>
      </c>
      <c r="O987" s="448">
        <v>45756</v>
      </c>
      <c r="P987" s="33" t="str">
        <f>HYPERLINK("https://my.zakupivli.pro/remote/dispatcher/state_purchase_view/58656841", "UA-2025-04-09-007809-a")</f>
        <v>UA-2025-04-09-007809-a</v>
      </c>
      <c r="Q987" s="447">
        <v>82.641300000000001</v>
      </c>
      <c r="R987" s="447">
        <v>1</v>
      </c>
      <c r="S987" s="447">
        <v>82.641300000000001</v>
      </c>
      <c r="T987" s="448">
        <v>45755</v>
      </c>
      <c r="U987" s="434"/>
      <c r="V987" s="447" t="s">
        <v>59</v>
      </c>
    </row>
    <row r="988" spans="1:22" ht="109.2" x14ac:dyDescent="0.3">
      <c r="A988" s="434">
        <v>982</v>
      </c>
      <c r="B988" s="434" t="s">
        <v>40</v>
      </c>
      <c r="C988" s="44" t="s">
        <v>41</v>
      </c>
      <c r="D988" s="434"/>
      <c r="E988" s="434" t="s">
        <v>20</v>
      </c>
      <c r="F988" s="44" t="s">
        <v>2016</v>
      </c>
      <c r="G988" s="447" t="s">
        <v>184</v>
      </c>
      <c r="H988" s="589">
        <v>293.67608999999999</v>
      </c>
      <c r="I988" s="434">
        <v>1</v>
      </c>
      <c r="J988" s="589">
        <v>293.67608999999999</v>
      </c>
      <c r="K988" s="589">
        <v>293.67608999999999</v>
      </c>
      <c r="L988" s="447">
        <v>1</v>
      </c>
      <c r="M988" s="589">
        <v>293.67608999999999</v>
      </c>
      <c r="N988" s="6" t="s">
        <v>2020</v>
      </c>
      <c r="O988" s="448">
        <v>45756</v>
      </c>
      <c r="P988" s="33" t="str">
        <f>HYPERLINK("https://my.zakupivli.pro/remote/dispatcher/state_purchase_view/58656209", "UA-2025-04-09-007528-a")</f>
        <v>UA-2025-04-09-007528-a</v>
      </c>
      <c r="Q988" s="447">
        <v>293.67608999999999</v>
      </c>
      <c r="R988" s="447">
        <v>1</v>
      </c>
      <c r="S988" s="447">
        <v>293.67608999999999</v>
      </c>
      <c r="T988" s="448">
        <v>45755</v>
      </c>
      <c r="U988" s="434"/>
      <c r="V988" s="447" t="s">
        <v>59</v>
      </c>
    </row>
    <row r="989" spans="1:22" ht="124.8" customHeight="1" x14ac:dyDescent="0.3">
      <c r="A989" s="434">
        <v>983</v>
      </c>
      <c r="B989" s="434" t="s">
        <v>40</v>
      </c>
      <c r="C989" s="44" t="s">
        <v>41</v>
      </c>
      <c r="D989" s="434"/>
      <c r="E989" s="434" t="s">
        <v>20</v>
      </c>
      <c r="F989" s="44" t="s">
        <v>2017</v>
      </c>
      <c r="G989" s="447" t="s">
        <v>184</v>
      </c>
      <c r="H989" s="589">
        <v>99.468768999999995</v>
      </c>
      <c r="I989" s="434">
        <v>1</v>
      </c>
      <c r="J989" s="589">
        <v>99.468768999999995</v>
      </c>
      <c r="K989" s="589">
        <v>99.468768999999995</v>
      </c>
      <c r="L989" s="447">
        <v>1</v>
      </c>
      <c r="M989" s="589">
        <v>99.468768999999995</v>
      </c>
      <c r="N989" s="6" t="s">
        <v>2021</v>
      </c>
      <c r="O989" s="448">
        <v>45756</v>
      </c>
      <c r="P989" s="33" t="str">
        <f>HYPERLINK("https://my.zakupivli.pro/remote/dispatcher/state_purchase_view/58651905", "UA-2025-04-09-005554-a")</f>
        <v>UA-2025-04-09-005554-a</v>
      </c>
      <c r="Q989" s="447">
        <v>99.468768999999995</v>
      </c>
      <c r="R989" s="447">
        <v>1</v>
      </c>
      <c r="S989" s="447">
        <v>99.468768999999995</v>
      </c>
      <c r="T989" s="448">
        <v>45755</v>
      </c>
      <c r="U989" s="434"/>
      <c r="V989" s="447" t="s">
        <v>59</v>
      </c>
    </row>
    <row r="990" spans="1:22" ht="43.2" x14ac:dyDescent="0.3">
      <c r="A990" s="434">
        <v>984</v>
      </c>
      <c r="B990" s="434" t="s">
        <v>21</v>
      </c>
      <c r="C990" s="41" t="s">
        <v>173</v>
      </c>
      <c r="D990" s="434"/>
      <c r="E990" s="434" t="s">
        <v>75</v>
      </c>
      <c r="F990" s="83" t="s">
        <v>2022</v>
      </c>
      <c r="G990" s="434" t="s">
        <v>186</v>
      </c>
      <c r="H990" s="589"/>
      <c r="I990" s="434">
        <v>43</v>
      </c>
      <c r="J990" s="589">
        <v>1654.9045799999999</v>
      </c>
      <c r="K990" s="589"/>
      <c r="L990" s="450">
        <v>43</v>
      </c>
      <c r="M990" s="589">
        <v>1654.9045799999999</v>
      </c>
      <c r="N990" s="6" t="s">
        <v>2023</v>
      </c>
      <c r="O990" s="435">
        <v>45757</v>
      </c>
      <c r="P990" s="33" t="str">
        <f>HYPERLINK("https://my.zakupivli.pro/remote/dispatcher/state_purchase_view/58679096", "UA-2025-04-10-002695-a")</f>
        <v>UA-2025-04-10-002695-a</v>
      </c>
      <c r="Q990" s="446"/>
      <c r="R990" s="446">
        <v>43</v>
      </c>
      <c r="S990" s="446">
        <v>1652.11</v>
      </c>
      <c r="T990" s="441">
        <v>45782</v>
      </c>
      <c r="U990" s="434"/>
      <c r="V990" s="434"/>
    </row>
    <row r="991" spans="1:22" ht="62.4" x14ac:dyDescent="0.3">
      <c r="A991" s="434">
        <v>985</v>
      </c>
      <c r="B991" s="434" t="s">
        <v>21</v>
      </c>
      <c r="C991" s="44" t="s">
        <v>1515</v>
      </c>
      <c r="D991" s="434"/>
      <c r="E991" s="454" t="s">
        <v>75</v>
      </c>
      <c r="F991" s="44" t="s">
        <v>2041</v>
      </c>
      <c r="G991" s="434" t="s">
        <v>185</v>
      </c>
      <c r="H991" s="589"/>
      <c r="I991" s="434">
        <v>11</v>
      </c>
      <c r="J991" s="589">
        <v>55.299190000000003</v>
      </c>
      <c r="K991" s="589"/>
      <c r="L991" s="454">
        <v>11</v>
      </c>
      <c r="M991" s="589">
        <v>55.299190000000003</v>
      </c>
      <c r="N991" s="6" t="s">
        <v>2042</v>
      </c>
      <c r="O991" s="435">
        <v>45761</v>
      </c>
      <c r="P991" s="457" t="str">
        <f>HYPERLINK("https://my.zakupivli.pro/remote/dispatcher/state_purchase_view/58741981", "UA-2025-04-14-002092-a")</f>
        <v>UA-2025-04-14-002092-a</v>
      </c>
      <c r="Q991" s="434"/>
      <c r="R991" s="454">
        <v>11</v>
      </c>
      <c r="S991" s="454">
        <v>55.299190000000003</v>
      </c>
      <c r="T991" s="453">
        <v>45761</v>
      </c>
      <c r="U991" s="434"/>
      <c r="V991" s="454" t="s">
        <v>59</v>
      </c>
    </row>
    <row r="992" spans="1:22" ht="62.4" x14ac:dyDescent="0.3">
      <c r="A992" s="434">
        <v>986</v>
      </c>
      <c r="B992" s="434" t="s">
        <v>21</v>
      </c>
      <c r="C992" s="44" t="s">
        <v>405</v>
      </c>
      <c r="D992" s="434"/>
      <c r="E992" s="434" t="s">
        <v>2045</v>
      </c>
      <c r="F992" s="44" t="s">
        <v>2043</v>
      </c>
      <c r="G992" s="434" t="s">
        <v>185</v>
      </c>
      <c r="H992" s="589"/>
      <c r="I992" s="434">
        <v>670</v>
      </c>
      <c r="J992" s="589">
        <v>1077.7565</v>
      </c>
      <c r="K992" s="589"/>
      <c r="L992" s="455">
        <v>670</v>
      </c>
      <c r="M992" s="589">
        <v>1077.7565</v>
      </c>
      <c r="N992" s="6" t="s">
        <v>2046</v>
      </c>
      <c r="O992" s="435">
        <v>45762</v>
      </c>
      <c r="P992" s="33" t="str">
        <f>HYPERLINK("https://my.zakupivli.pro/remote/dispatcher/state_purchase_view/58797476", "UA-2025-04-15-012874-a")</f>
        <v>UA-2025-04-15-012874-a</v>
      </c>
      <c r="Q992" s="446"/>
      <c r="R992" s="446">
        <v>670</v>
      </c>
      <c r="S992" s="446">
        <v>1077.7565</v>
      </c>
      <c r="T992" s="441">
        <v>45783</v>
      </c>
      <c r="U992" s="434"/>
      <c r="V992" s="434"/>
    </row>
    <row r="993" spans="1:22" ht="140.4" customHeight="1" x14ac:dyDescent="0.3">
      <c r="A993" s="455">
        <v>987</v>
      </c>
      <c r="B993" s="455" t="s">
        <v>40</v>
      </c>
      <c r="C993" s="44" t="s">
        <v>41</v>
      </c>
      <c r="D993" s="455"/>
      <c r="E993" s="455" t="s">
        <v>88</v>
      </c>
      <c r="F993" s="44" t="s">
        <v>2044</v>
      </c>
      <c r="G993" s="455" t="s">
        <v>184</v>
      </c>
      <c r="H993" s="589">
        <v>60008.99267</v>
      </c>
      <c r="I993" s="455">
        <v>1</v>
      </c>
      <c r="J993" s="589">
        <v>60008.99267</v>
      </c>
      <c r="K993" s="589">
        <v>60008.99267</v>
      </c>
      <c r="L993" s="455">
        <v>1</v>
      </c>
      <c r="M993" s="589">
        <v>60008.99267</v>
      </c>
      <c r="N993" s="6" t="s">
        <v>2047</v>
      </c>
      <c r="O993" s="456">
        <v>45762</v>
      </c>
      <c r="P993" s="33" t="str">
        <f>HYPERLINK("https://my.zakupivli.pro/remote/dispatcher/state_purchase_view/58796029", "UA-2025-04-15-012229-a")</f>
        <v>UA-2025-04-15-012229-a</v>
      </c>
      <c r="Q993" s="446">
        <v>60001.892</v>
      </c>
      <c r="R993" s="446">
        <v>1</v>
      </c>
      <c r="S993" s="446">
        <v>60001.892</v>
      </c>
      <c r="T993" s="441">
        <v>45798</v>
      </c>
      <c r="U993" s="455"/>
      <c r="V993" s="455"/>
    </row>
    <row r="994" spans="1:22" ht="62.4" x14ac:dyDescent="0.3">
      <c r="A994" s="455">
        <v>988</v>
      </c>
      <c r="B994" s="455" t="s">
        <v>40</v>
      </c>
      <c r="C994" s="44" t="s">
        <v>541</v>
      </c>
      <c r="D994" s="455"/>
      <c r="E994" s="455" t="s">
        <v>75</v>
      </c>
      <c r="F994" s="44" t="s">
        <v>1861</v>
      </c>
      <c r="G994" s="455" t="s">
        <v>184</v>
      </c>
      <c r="H994" s="589">
        <v>408.31729000000001</v>
      </c>
      <c r="I994" s="455">
        <v>1</v>
      </c>
      <c r="J994" s="589">
        <v>408.31729000000001</v>
      </c>
      <c r="K994" s="589">
        <v>408.31729000000001</v>
      </c>
      <c r="L994" s="455">
        <v>1</v>
      </c>
      <c r="M994" s="589">
        <v>408.31729000000001</v>
      </c>
      <c r="N994" s="6" t="s">
        <v>2048</v>
      </c>
      <c r="O994" s="456">
        <v>45762</v>
      </c>
      <c r="P994" s="33" t="str">
        <f>HYPERLINK("https://my.zakupivli.pro/remote/dispatcher/state_purchase_view/58774811", "UA-2025-04-15-002650-a")</f>
        <v>UA-2025-04-15-002650-a</v>
      </c>
      <c r="Q994" s="455">
        <v>408.31729000000001</v>
      </c>
      <c r="R994" s="455">
        <v>1</v>
      </c>
      <c r="S994" s="455">
        <v>408.31729000000001</v>
      </c>
      <c r="T994" s="456">
        <v>45761</v>
      </c>
      <c r="U994" s="455"/>
      <c r="V994" s="455" t="s">
        <v>59</v>
      </c>
    </row>
    <row r="995" spans="1:22" ht="156" x14ac:dyDescent="0.3">
      <c r="A995" s="455">
        <v>989</v>
      </c>
      <c r="B995" s="455" t="s">
        <v>40</v>
      </c>
      <c r="C995" s="44" t="s">
        <v>884</v>
      </c>
      <c r="D995" s="455"/>
      <c r="E995" s="455" t="s">
        <v>20</v>
      </c>
      <c r="F995" s="44" t="s">
        <v>2049</v>
      </c>
      <c r="G995" s="455" t="s">
        <v>184</v>
      </c>
      <c r="H995" s="589">
        <v>2087.75</v>
      </c>
      <c r="I995" s="455">
        <v>1</v>
      </c>
      <c r="J995" s="589">
        <v>2087.75</v>
      </c>
      <c r="K995" s="589">
        <v>2087.75</v>
      </c>
      <c r="L995" s="458">
        <v>1</v>
      </c>
      <c r="M995" s="589">
        <v>2087.75</v>
      </c>
      <c r="N995" s="6" t="s">
        <v>2050</v>
      </c>
      <c r="O995" s="456">
        <v>45764</v>
      </c>
      <c r="P995" s="33" t="str">
        <f>HYPERLINK("https://my.zakupivli.pro/remote/dispatcher/state_purchase_view/58831849", "UA-2025-04-17-000408-a")</f>
        <v>UA-2025-04-17-000408-a</v>
      </c>
      <c r="Q995" s="446">
        <v>2087.6839300000001</v>
      </c>
      <c r="R995" s="446">
        <v>1</v>
      </c>
      <c r="S995" s="446">
        <v>2087.6839300000001</v>
      </c>
      <c r="T995" s="441">
        <v>45790</v>
      </c>
      <c r="U995" s="455"/>
      <c r="V995" s="455"/>
    </row>
    <row r="996" spans="1:22" ht="62.4" x14ac:dyDescent="0.3">
      <c r="A996" s="455">
        <v>990</v>
      </c>
      <c r="B996" s="455" t="s">
        <v>40</v>
      </c>
      <c r="C996" s="44" t="s">
        <v>41</v>
      </c>
      <c r="D996" s="455"/>
      <c r="E996" s="455" t="s">
        <v>20</v>
      </c>
      <c r="F996" s="44" t="s">
        <v>2051</v>
      </c>
      <c r="G996" s="455" t="s">
        <v>184</v>
      </c>
      <c r="H996" s="589">
        <v>614.77817000000005</v>
      </c>
      <c r="I996" s="455">
        <v>1</v>
      </c>
      <c r="J996" s="589">
        <v>614.77817000000005</v>
      </c>
      <c r="K996" s="589">
        <v>614.77817000000005</v>
      </c>
      <c r="L996" s="458">
        <v>1</v>
      </c>
      <c r="M996" s="589">
        <v>614.77817000000005</v>
      </c>
      <c r="N996" s="6" t="s">
        <v>2052</v>
      </c>
      <c r="O996" s="456">
        <v>45764</v>
      </c>
      <c r="P996" s="33" t="str">
        <f>HYPERLINK("https://my.zakupivli.pro/remote/dispatcher/state_purchase_view/58853384", "UA-2025-04-17-010179-a")</f>
        <v>UA-2025-04-17-010179-a</v>
      </c>
      <c r="Q996" s="458">
        <v>614.77817000000005</v>
      </c>
      <c r="R996" s="458">
        <v>1</v>
      </c>
      <c r="S996" s="458">
        <v>614.77817000000005</v>
      </c>
      <c r="T996" s="459">
        <v>45764</v>
      </c>
      <c r="U996" s="455"/>
      <c r="V996" s="458" t="s">
        <v>59</v>
      </c>
    </row>
    <row r="997" spans="1:22" ht="140.4" x14ac:dyDescent="0.3">
      <c r="A997" s="455">
        <v>991</v>
      </c>
      <c r="B997" s="460" t="s">
        <v>40</v>
      </c>
      <c r="C997" s="44" t="s">
        <v>41</v>
      </c>
      <c r="D997" s="455"/>
      <c r="E997" s="455" t="s">
        <v>88</v>
      </c>
      <c r="F997" s="44" t="s">
        <v>1954</v>
      </c>
      <c r="G997" s="460" t="s">
        <v>184</v>
      </c>
      <c r="H997" s="589">
        <v>850.11284999999998</v>
      </c>
      <c r="I997" s="455">
        <v>1</v>
      </c>
      <c r="J997" s="589">
        <v>850.11284999999998</v>
      </c>
      <c r="K997" s="589">
        <v>850.11284999999998</v>
      </c>
      <c r="L997" s="460">
        <v>1</v>
      </c>
      <c r="M997" s="589">
        <v>850.11284999999998</v>
      </c>
      <c r="N997" s="6" t="s">
        <v>2053</v>
      </c>
      <c r="O997" s="456">
        <v>45765</v>
      </c>
      <c r="P997" s="463" t="str">
        <f>HYPERLINK("https://my.zakupivli.pro/remote/dispatcher/state_purchase_view/58876022", "UA-2025-04-18-008450-a")</f>
        <v>UA-2025-04-18-008450-a</v>
      </c>
      <c r="Q997" s="446"/>
      <c r="R997" s="446"/>
      <c r="S997" s="446"/>
      <c r="T997" s="441"/>
      <c r="U997" s="455" t="s">
        <v>1793</v>
      </c>
      <c r="V997" s="455"/>
    </row>
    <row r="998" spans="1:22" ht="156" x14ac:dyDescent="0.3">
      <c r="A998" s="455">
        <v>992</v>
      </c>
      <c r="B998" s="460" t="s">
        <v>40</v>
      </c>
      <c r="C998" s="44" t="s">
        <v>41</v>
      </c>
      <c r="D998" s="455"/>
      <c r="E998" s="455" t="s">
        <v>88</v>
      </c>
      <c r="F998" s="44" t="s">
        <v>2054</v>
      </c>
      <c r="G998" s="460" t="s">
        <v>184</v>
      </c>
      <c r="H998" s="589">
        <v>665.31628000000001</v>
      </c>
      <c r="I998" s="455">
        <v>1</v>
      </c>
      <c r="J998" s="589">
        <v>665.31628000000001</v>
      </c>
      <c r="K998" s="589">
        <v>665.31628000000001</v>
      </c>
      <c r="L998" s="460">
        <v>1</v>
      </c>
      <c r="M998" s="589">
        <v>665.31628000000001</v>
      </c>
      <c r="N998" s="6" t="s">
        <v>2055</v>
      </c>
      <c r="O998" s="461">
        <v>45765</v>
      </c>
      <c r="P998" s="33" t="str">
        <f>HYPERLINK("https://my.zakupivli.pro/remote/dispatcher/state_purchase_view/58876357", "UA-2025-04-18-008599-a")</f>
        <v>UA-2025-04-18-008599-a</v>
      </c>
      <c r="Q998" s="446"/>
      <c r="R998" s="446"/>
      <c r="S998" s="446"/>
      <c r="T998" s="441"/>
      <c r="U998" s="473" t="s">
        <v>1793</v>
      </c>
      <c r="V998" s="455"/>
    </row>
    <row r="999" spans="1:22" ht="62.4" x14ac:dyDescent="0.3">
      <c r="A999" s="455">
        <v>993</v>
      </c>
      <c r="B999" s="455" t="s">
        <v>40</v>
      </c>
      <c r="C999" s="44" t="s">
        <v>73</v>
      </c>
      <c r="D999" s="455"/>
      <c r="E999" s="462" t="s">
        <v>75</v>
      </c>
      <c r="F999" s="63" t="s">
        <v>2057</v>
      </c>
      <c r="G999" s="467" t="s">
        <v>184</v>
      </c>
      <c r="H999" s="589">
        <v>117.38764999999999</v>
      </c>
      <c r="I999" s="455">
        <v>1</v>
      </c>
      <c r="J999" s="589">
        <v>117.38764999999999</v>
      </c>
      <c r="K999" s="589">
        <v>117.38764999999999</v>
      </c>
      <c r="L999" s="462">
        <v>1</v>
      </c>
      <c r="M999" s="589">
        <v>117.38764999999999</v>
      </c>
      <c r="N999" s="6" t="s">
        <v>2056</v>
      </c>
      <c r="O999" s="456">
        <v>45680</v>
      </c>
      <c r="P999" s="33" t="str">
        <f>HYPERLINK("https://my.zakupivli.pro/remote/dispatcher/state_purchase_view/58923256", "UA-2025-04-23-000184-a")</f>
        <v>UA-2025-04-23-000184-a</v>
      </c>
      <c r="Q999" s="462">
        <v>117.38764999999999</v>
      </c>
      <c r="R999" s="462">
        <v>1</v>
      </c>
      <c r="S999" s="462">
        <v>117.38764999999999</v>
      </c>
      <c r="T999" s="468">
        <v>45680</v>
      </c>
      <c r="U999" s="455"/>
      <c r="V999" s="462" t="s">
        <v>59</v>
      </c>
    </row>
    <row r="1000" spans="1:22" ht="62.4" x14ac:dyDescent="0.3">
      <c r="A1000" s="467">
        <v>994</v>
      </c>
      <c r="B1000" s="467" t="s">
        <v>40</v>
      </c>
      <c r="C1000" s="44" t="s">
        <v>884</v>
      </c>
      <c r="D1000" s="467"/>
      <c r="E1000" s="467" t="s">
        <v>20</v>
      </c>
      <c r="F1000" s="44" t="s">
        <v>2061</v>
      </c>
      <c r="G1000" s="455" t="s">
        <v>184</v>
      </c>
      <c r="H1000" s="589">
        <v>161.79945000000001</v>
      </c>
      <c r="I1000" s="467">
        <v>1</v>
      </c>
      <c r="J1000" s="589">
        <v>161.79945000000001</v>
      </c>
      <c r="K1000" s="589">
        <v>161.79945000000001</v>
      </c>
      <c r="L1000" s="467">
        <v>1</v>
      </c>
      <c r="M1000" s="589">
        <v>161.79945000000001</v>
      </c>
      <c r="N1000" s="6" t="s">
        <v>2063</v>
      </c>
      <c r="O1000" s="466">
        <v>45777</v>
      </c>
      <c r="P1000" s="33" t="str">
        <f>HYPERLINK("https://my.zakupivli.pro/remote/dispatcher/state_purchase_view/59070654", "UA-2025-04-30-002643-a")</f>
        <v>UA-2025-04-30-002643-a</v>
      </c>
      <c r="Q1000" s="467">
        <v>161.79945000000001</v>
      </c>
      <c r="R1000" s="467">
        <v>1</v>
      </c>
      <c r="S1000" s="467">
        <v>161.79945000000001</v>
      </c>
      <c r="T1000" s="468">
        <v>45777</v>
      </c>
      <c r="U1000" s="467"/>
      <c r="V1000" s="467" t="s">
        <v>59</v>
      </c>
    </row>
    <row r="1001" spans="1:22" ht="62.4" x14ac:dyDescent="0.3">
      <c r="A1001" s="467">
        <v>995</v>
      </c>
      <c r="B1001" s="467" t="s">
        <v>40</v>
      </c>
      <c r="C1001" s="44" t="s">
        <v>884</v>
      </c>
      <c r="D1001" s="467"/>
      <c r="E1001" s="467" t="s">
        <v>20</v>
      </c>
      <c r="F1001" s="44" t="s">
        <v>2062</v>
      </c>
      <c r="G1001" s="467" t="s">
        <v>184</v>
      </c>
      <c r="H1001" s="589">
        <v>63.242350000000002</v>
      </c>
      <c r="I1001" s="467">
        <v>1</v>
      </c>
      <c r="J1001" s="589">
        <v>63.242350000000002</v>
      </c>
      <c r="K1001" s="589">
        <v>63.242350000000002</v>
      </c>
      <c r="L1001" s="467">
        <v>1</v>
      </c>
      <c r="M1001" s="589">
        <v>63.242350000000002</v>
      </c>
      <c r="N1001" s="6" t="s">
        <v>2064</v>
      </c>
      <c r="O1001" s="466">
        <v>45777</v>
      </c>
      <c r="P1001" s="33" t="str">
        <f>HYPERLINK("https://my.zakupivli.pro/remote/dispatcher/state_purchase_view/59069777", "UA-2025-04-30-002296-a")</f>
        <v>UA-2025-04-30-002296-a</v>
      </c>
      <c r="Q1001" s="467">
        <v>63.242350000000002</v>
      </c>
      <c r="R1001" s="467">
        <v>1</v>
      </c>
      <c r="S1001" s="467">
        <v>63.242350000000002</v>
      </c>
      <c r="T1001" s="468">
        <v>45777</v>
      </c>
      <c r="U1001" s="467"/>
      <c r="V1001" s="467" t="s">
        <v>59</v>
      </c>
    </row>
    <row r="1002" spans="1:22" ht="62.4" x14ac:dyDescent="0.3">
      <c r="A1002" s="469">
        <v>996</v>
      </c>
      <c r="B1002" s="469" t="s">
        <v>21</v>
      </c>
      <c r="C1002" s="44" t="s">
        <v>1117</v>
      </c>
      <c r="D1002" s="469"/>
      <c r="E1002" s="469" t="s">
        <v>75</v>
      </c>
      <c r="F1002" s="223" t="s">
        <v>2065</v>
      </c>
      <c r="G1002" s="469" t="s">
        <v>185</v>
      </c>
      <c r="H1002" s="589">
        <v>46.489150000000002</v>
      </c>
      <c r="I1002" s="469">
        <v>1</v>
      </c>
      <c r="J1002" s="589">
        <v>46.489150000000002</v>
      </c>
      <c r="K1002" s="589">
        <v>46.489150000000002</v>
      </c>
      <c r="L1002" s="469">
        <v>1</v>
      </c>
      <c r="M1002" s="589">
        <v>46.489150000000002</v>
      </c>
      <c r="N1002" s="6" t="s">
        <v>2066</v>
      </c>
      <c r="O1002" s="470">
        <v>45778</v>
      </c>
      <c r="P1002" s="33" t="str">
        <f>HYPERLINK("https://my.zakupivli.pro/remote/dispatcher/state_purchase_view/59095527", "UA-2025-05-01-001961-a")</f>
        <v>UA-2025-05-01-001961-a</v>
      </c>
      <c r="Q1002" s="469">
        <v>46.489150000000002</v>
      </c>
      <c r="R1002" s="469">
        <v>1</v>
      </c>
      <c r="S1002" s="469">
        <v>46.489150000000002</v>
      </c>
      <c r="T1002" s="470">
        <v>45778</v>
      </c>
      <c r="U1002" s="469"/>
      <c r="V1002" s="469" t="s">
        <v>59</v>
      </c>
    </row>
    <row r="1003" spans="1:22" ht="62.4" x14ac:dyDescent="0.3">
      <c r="A1003" s="469">
        <v>997</v>
      </c>
      <c r="B1003" s="469" t="s">
        <v>40</v>
      </c>
      <c r="C1003" s="41" t="s">
        <v>884</v>
      </c>
      <c r="D1003" s="469"/>
      <c r="E1003" s="469" t="s">
        <v>20</v>
      </c>
      <c r="F1003" s="44" t="s">
        <v>2067</v>
      </c>
      <c r="G1003" s="469" t="s">
        <v>184</v>
      </c>
      <c r="H1003" s="589">
        <v>124.88800999999999</v>
      </c>
      <c r="I1003" s="469">
        <v>1</v>
      </c>
      <c r="J1003" s="589">
        <v>124.88800999999999</v>
      </c>
      <c r="K1003" s="589">
        <v>124.88800999999999</v>
      </c>
      <c r="L1003" s="471">
        <v>1</v>
      </c>
      <c r="M1003" s="589">
        <v>124.88800999999999</v>
      </c>
      <c r="N1003" s="6" t="s">
        <v>2068</v>
      </c>
      <c r="O1003" s="470">
        <v>45779</v>
      </c>
      <c r="P1003" s="33" t="str">
        <f>HYPERLINK("https://my.zakupivli.pro/remote/dispatcher/state_purchase_view/59128871", "UA-2025-05-02-003008-a")</f>
        <v>UA-2025-05-02-003008-a</v>
      </c>
      <c r="Q1003" s="471">
        <v>124.88800999999999</v>
      </c>
      <c r="R1003" s="471">
        <v>1</v>
      </c>
      <c r="S1003" s="471">
        <v>124.88800999999999</v>
      </c>
      <c r="T1003" s="472">
        <v>45779</v>
      </c>
      <c r="U1003" s="469"/>
      <c r="V1003" s="471" t="s">
        <v>59</v>
      </c>
    </row>
    <row r="1004" spans="1:22" ht="62.4" x14ac:dyDescent="0.3">
      <c r="A1004" s="469">
        <v>998</v>
      </c>
      <c r="B1004" s="473" t="s">
        <v>40</v>
      </c>
      <c r="C1004" s="44" t="s">
        <v>73</v>
      </c>
      <c r="D1004" s="469"/>
      <c r="E1004" s="473" t="s">
        <v>75</v>
      </c>
      <c r="F1004" s="44" t="s">
        <v>2088</v>
      </c>
      <c r="G1004" s="473" t="s">
        <v>184</v>
      </c>
      <c r="H1004" s="589">
        <v>127.15831</v>
      </c>
      <c r="I1004" s="469">
        <v>1</v>
      </c>
      <c r="J1004" s="589">
        <v>127.15831</v>
      </c>
      <c r="K1004" s="589">
        <v>127.15831</v>
      </c>
      <c r="L1004" s="473">
        <v>1</v>
      </c>
      <c r="M1004" s="589">
        <v>127.15831</v>
      </c>
      <c r="N1004" s="6" t="s">
        <v>2097</v>
      </c>
      <c r="O1004" s="470">
        <v>45783</v>
      </c>
      <c r="P1004" s="120" t="str">
        <f>HYPERLINK("https://my.zakupivli.pro/remote/dispatcher/state_purchase_view/59214035", "UA-2025-05-06-012412-a")</f>
        <v>UA-2025-05-06-012412-a</v>
      </c>
      <c r="Q1004" s="473">
        <v>127.15831</v>
      </c>
      <c r="R1004" s="473">
        <v>1</v>
      </c>
      <c r="S1004" s="473">
        <v>127.15831</v>
      </c>
      <c r="T1004" s="474">
        <v>45783</v>
      </c>
      <c r="U1004" s="469"/>
      <c r="V1004" s="473" t="s">
        <v>59</v>
      </c>
    </row>
    <row r="1005" spans="1:22" ht="62.4" x14ac:dyDescent="0.3">
      <c r="A1005" s="469">
        <v>999</v>
      </c>
      <c r="B1005" s="473" t="s">
        <v>40</v>
      </c>
      <c r="C1005" s="44" t="s">
        <v>73</v>
      </c>
      <c r="D1005" s="469"/>
      <c r="E1005" s="473" t="s">
        <v>75</v>
      </c>
      <c r="F1005" s="44" t="s">
        <v>2089</v>
      </c>
      <c r="G1005" s="473" t="s">
        <v>184</v>
      </c>
      <c r="H1005" s="589">
        <v>137.45094</v>
      </c>
      <c r="I1005" s="469">
        <v>1</v>
      </c>
      <c r="J1005" s="589">
        <v>137.45094</v>
      </c>
      <c r="K1005" s="589">
        <v>137.45094</v>
      </c>
      <c r="L1005" s="473">
        <v>1</v>
      </c>
      <c r="M1005" s="589">
        <v>137.45094</v>
      </c>
      <c r="N1005" s="6" t="s">
        <v>2098</v>
      </c>
      <c r="O1005" s="474">
        <v>45783</v>
      </c>
      <c r="P1005" s="120" t="str">
        <f>HYPERLINK("https://my.zakupivli.pro/remote/dispatcher/state_purchase_view/59213415", "UA-2025-05-06-012147-a")</f>
        <v>UA-2025-05-06-012147-a</v>
      </c>
      <c r="Q1005" s="473">
        <v>137.45094</v>
      </c>
      <c r="R1005" s="473">
        <v>1</v>
      </c>
      <c r="S1005" s="473">
        <v>137.45094</v>
      </c>
      <c r="T1005" s="474">
        <v>45783</v>
      </c>
      <c r="U1005" s="469"/>
      <c r="V1005" s="473" t="s">
        <v>59</v>
      </c>
    </row>
    <row r="1006" spans="1:22" ht="62.4" x14ac:dyDescent="0.3">
      <c r="A1006" s="469">
        <v>1000</v>
      </c>
      <c r="B1006" s="473" t="s">
        <v>40</v>
      </c>
      <c r="C1006" s="44" t="s">
        <v>73</v>
      </c>
      <c r="D1006" s="469"/>
      <c r="E1006" s="473" t="s">
        <v>75</v>
      </c>
      <c r="F1006" s="44" t="s">
        <v>2090</v>
      </c>
      <c r="G1006" s="473" t="s">
        <v>184</v>
      </c>
      <c r="H1006" s="589">
        <v>150.7722</v>
      </c>
      <c r="I1006" s="469">
        <v>1</v>
      </c>
      <c r="J1006" s="589">
        <v>150.7722</v>
      </c>
      <c r="K1006" s="589">
        <v>150.7722</v>
      </c>
      <c r="L1006" s="473">
        <v>1</v>
      </c>
      <c r="M1006" s="589">
        <v>150.7722</v>
      </c>
      <c r="N1006" s="6" t="s">
        <v>2099</v>
      </c>
      <c r="O1006" s="474">
        <v>45783</v>
      </c>
      <c r="P1006" s="120" t="str">
        <f>HYPERLINK("https://my.zakupivli.pro/remote/dispatcher/state_purchase_view/59211123", "UA-2025-05-06-011060-a")</f>
        <v>UA-2025-05-06-011060-a</v>
      </c>
      <c r="Q1006" s="473">
        <v>150.7722</v>
      </c>
      <c r="R1006" s="473">
        <v>1</v>
      </c>
      <c r="S1006" s="473">
        <v>150.7722</v>
      </c>
      <c r="T1006" s="470">
        <v>45782</v>
      </c>
      <c r="U1006" s="469"/>
      <c r="V1006" s="473" t="s">
        <v>59</v>
      </c>
    </row>
    <row r="1007" spans="1:22" ht="62.4" x14ac:dyDescent="0.3">
      <c r="A1007" s="469">
        <v>1001</v>
      </c>
      <c r="B1007" s="473" t="s">
        <v>40</v>
      </c>
      <c r="C1007" s="44" t="s">
        <v>73</v>
      </c>
      <c r="D1007" s="469"/>
      <c r="E1007" s="473" t="s">
        <v>75</v>
      </c>
      <c r="F1007" s="44" t="s">
        <v>2091</v>
      </c>
      <c r="G1007" s="473" t="s">
        <v>184</v>
      </c>
      <c r="H1007" s="589">
        <v>165.38106999999999</v>
      </c>
      <c r="I1007" s="469">
        <v>1</v>
      </c>
      <c r="J1007" s="589">
        <v>165.38106999999999</v>
      </c>
      <c r="K1007" s="589">
        <v>165.38106999999999</v>
      </c>
      <c r="L1007" s="473">
        <v>1</v>
      </c>
      <c r="M1007" s="589">
        <v>165.38106999999999</v>
      </c>
      <c r="N1007" s="6" t="s">
        <v>2100</v>
      </c>
      <c r="O1007" s="474">
        <v>45783</v>
      </c>
      <c r="P1007" s="120" t="str">
        <f>HYPERLINK("https://my.zakupivli.pro/remote/dispatcher/state_purchase_view/59210268", "UA-2025-05-06-010641-a")</f>
        <v>UA-2025-05-06-010641-a</v>
      </c>
      <c r="Q1007" s="473">
        <v>165.38106999999999</v>
      </c>
      <c r="R1007" s="473">
        <v>1</v>
      </c>
      <c r="S1007" s="473">
        <v>165.38106999999999</v>
      </c>
      <c r="T1007" s="470">
        <v>45783</v>
      </c>
      <c r="U1007" s="469"/>
      <c r="V1007" s="473" t="s">
        <v>59</v>
      </c>
    </row>
    <row r="1008" spans="1:22" ht="62.4" x14ac:dyDescent="0.3">
      <c r="A1008" s="469">
        <v>1002</v>
      </c>
      <c r="B1008" s="473" t="s">
        <v>40</v>
      </c>
      <c r="C1008" s="44" t="s">
        <v>73</v>
      </c>
      <c r="D1008" s="469"/>
      <c r="E1008" s="473" t="s">
        <v>75</v>
      </c>
      <c r="F1008" s="44" t="s">
        <v>2092</v>
      </c>
      <c r="G1008" s="473" t="s">
        <v>184</v>
      </c>
      <c r="H1008" s="589">
        <v>213.58992000000001</v>
      </c>
      <c r="I1008" s="469">
        <v>1</v>
      </c>
      <c r="J1008" s="589">
        <v>213.58992000000001</v>
      </c>
      <c r="K1008" s="589">
        <v>213.58992000000001</v>
      </c>
      <c r="L1008" s="473">
        <v>1</v>
      </c>
      <c r="M1008" s="589">
        <v>213.58992000000001</v>
      </c>
      <c r="N1008" s="6" t="s">
        <v>2101</v>
      </c>
      <c r="O1008" s="474">
        <v>45783</v>
      </c>
      <c r="P1008" s="120" t="str">
        <f>HYPERLINK("https://my.zakupivli.pro/remote/dispatcher/state_purchase_view/59209475", "UA-2025-05-06-010317-a")</f>
        <v>UA-2025-05-06-010317-a</v>
      </c>
      <c r="Q1008" s="473">
        <v>213.58992000000001</v>
      </c>
      <c r="R1008" s="473">
        <v>1</v>
      </c>
      <c r="S1008" s="473">
        <v>213.58992000000001</v>
      </c>
      <c r="T1008" s="474">
        <v>45783</v>
      </c>
      <c r="U1008" s="469"/>
      <c r="V1008" s="473" t="s">
        <v>59</v>
      </c>
    </row>
    <row r="1009" spans="1:22" ht="62.4" x14ac:dyDescent="0.3">
      <c r="A1009" s="469">
        <v>1003</v>
      </c>
      <c r="B1009" s="473" t="s">
        <v>40</v>
      </c>
      <c r="C1009" s="44" t="s">
        <v>73</v>
      </c>
      <c r="D1009" s="469"/>
      <c r="E1009" s="473" t="s">
        <v>75</v>
      </c>
      <c r="F1009" s="44" t="s">
        <v>2093</v>
      </c>
      <c r="G1009" s="473" t="s">
        <v>184</v>
      </c>
      <c r="H1009" s="589">
        <v>128.78271000000001</v>
      </c>
      <c r="I1009" s="469">
        <v>1</v>
      </c>
      <c r="J1009" s="589">
        <v>128.78271000000001</v>
      </c>
      <c r="K1009" s="589">
        <v>128.78271000000001</v>
      </c>
      <c r="L1009" s="473">
        <v>1</v>
      </c>
      <c r="M1009" s="589">
        <v>128.78271000000001</v>
      </c>
      <c r="N1009" s="6" t="s">
        <v>2102</v>
      </c>
      <c r="O1009" s="474">
        <v>45783</v>
      </c>
      <c r="P1009" s="120" t="str">
        <f>HYPERLINK("https://my.zakupivli.pro/remote/dispatcher/state_purchase_view/59208249", "UA-2025-05-06-009792-a")</f>
        <v>UA-2025-05-06-009792-a</v>
      </c>
      <c r="Q1009" s="473">
        <v>128.78271000000001</v>
      </c>
      <c r="R1009" s="473">
        <v>1</v>
      </c>
      <c r="S1009" s="473">
        <v>128.78271000000001</v>
      </c>
      <c r="T1009" s="470">
        <v>45782</v>
      </c>
      <c r="U1009" s="469"/>
      <c r="V1009" s="473" t="s">
        <v>59</v>
      </c>
    </row>
    <row r="1010" spans="1:22" ht="62.4" x14ac:dyDescent="0.3">
      <c r="A1010" s="469">
        <v>1004</v>
      </c>
      <c r="B1010" s="473" t="s">
        <v>40</v>
      </c>
      <c r="C1010" s="44" t="s">
        <v>73</v>
      </c>
      <c r="D1010" s="469"/>
      <c r="E1010" s="473" t="s">
        <v>75</v>
      </c>
      <c r="F1010" s="44" t="s">
        <v>2094</v>
      </c>
      <c r="G1010" s="473" t="s">
        <v>184</v>
      </c>
      <c r="H1010" s="589">
        <v>120.53361</v>
      </c>
      <c r="I1010" s="469">
        <v>1</v>
      </c>
      <c r="J1010" s="589">
        <v>120.53361</v>
      </c>
      <c r="K1010" s="589">
        <v>120.53361</v>
      </c>
      <c r="L1010" s="473">
        <v>1</v>
      </c>
      <c r="M1010" s="589">
        <v>120.53361</v>
      </c>
      <c r="N1010" s="6" t="s">
        <v>2103</v>
      </c>
      <c r="O1010" s="474">
        <v>45783</v>
      </c>
      <c r="P1010" s="120" t="str">
        <f>HYPERLINK("https://my.zakupivli.pro/remote/dispatcher/state_purchase_view/59208246", "UA-2025-05-06-009789-a")</f>
        <v>UA-2025-05-06-009789-a</v>
      </c>
      <c r="Q1010" s="473">
        <v>120.53361</v>
      </c>
      <c r="R1010" s="473">
        <v>1</v>
      </c>
      <c r="S1010" s="473">
        <v>120.53361</v>
      </c>
      <c r="T1010" s="474">
        <v>45782</v>
      </c>
      <c r="U1010" s="469"/>
      <c r="V1010" s="473" t="s">
        <v>59</v>
      </c>
    </row>
    <row r="1011" spans="1:22" ht="62.4" x14ac:dyDescent="0.3">
      <c r="A1011" s="469">
        <v>1005</v>
      </c>
      <c r="B1011" s="473" t="s">
        <v>40</v>
      </c>
      <c r="C1011" s="44" t="s">
        <v>41</v>
      </c>
      <c r="D1011" s="469"/>
      <c r="E1011" s="473" t="s">
        <v>20</v>
      </c>
      <c r="F1011" s="44" t="s">
        <v>2095</v>
      </c>
      <c r="G1011" s="473" t="s">
        <v>184</v>
      </c>
      <c r="H1011" s="589">
        <v>130.94183000000001</v>
      </c>
      <c r="I1011" s="469">
        <v>1</v>
      </c>
      <c r="J1011" s="589">
        <v>130.94183000000001</v>
      </c>
      <c r="K1011" s="589">
        <v>130.94183000000001</v>
      </c>
      <c r="L1011" s="473">
        <v>1</v>
      </c>
      <c r="M1011" s="589">
        <v>130.94183000000001</v>
      </c>
      <c r="N1011" s="6" t="s">
        <v>2104</v>
      </c>
      <c r="O1011" s="474">
        <v>45783</v>
      </c>
      <c r="P1011" s="120" t="str">
        <f>HYPERLINK("https://my.zakupivli.pro/remote/dispatcher/state_purchase_view/59204270", "UA-2025-05-06-008012-a")</f>
        <v>UA-2025-05-06-008012-a</v>
      </c>
      <c r="Q1011" s="473">
        <v>130.94183000000001</v>
      </c>
      <c r="R1011" s="473">
        <v>1</v>
      </c>
      <c r="S1011" s="473">
        <v>130.94183000000001</v>
      </c>
      <c r="T1011" s="474">
        <v>45783</v>
      </c>
      <c r="U1011" s="469"/>
      <c r="V1011" s="473" t="s">
        <v>59</v>
      </c>
    </row>
    <row r="1012" spans="1:22" ht="62.4" x14ac:dyDescent="0.3">
      <c r="A1012" s="473">
        <v>1006</v>
      </c>
      <c r="B1012" s="473" t="s">
        <v>40</v>
      </c>
      <c r="C1012" s="44" t="s">
        <v>884</v>
      </c>
      <c r="D1012" s="473"/>
      <c r="E1012" s="473" t="s">
        <v>20</v>
      </c>
      <c r="F1012" s="44" t="s">
        <v>2096</v>
      </c>
      <c r="G1012" s="473" t="s">
        <v>184</v>
      </c>
      <c r="H1012" s="589">
        <v>203.98324</v>
      </c>
      <c r="I1012" s="473">
        <v>1</v>
      </c>
      <c r="J1012" s="589">
        <v>203.98324</v>
      </c>
      <c r="K1012" s="589">
        <v>203.98324</v>
      </c>
      <c r="L1012" s="473">
        <v>1</v>
      </c>
      <c r="M1012" s="589">
        <v>203.98324</v>
      </c>
      <c r="N1012" s="6" t="s">
        <v>2105</v>
      </c>
      <c r="O1012" s="474">
        <v>45783</v>
      </c>
      <c r="P1012" s="120" t="str">
        <f>HYPERLINK("https://my.zakupivli.pro/remote/dispatcher/state_purchase_view/59203411", "UA-2025-05-06-007587-a")</f>
        <v>UA-2025-05-06-007587-a</v>
      </c>
      <c r="Q1012" s="473">
        <v>203.98324</v>
      </c>
      <c r="R1012" s="473">
        <v>1</v>
      </c>
      <c r="S1012" s="473">
        <v>203.98324</v>
      </c>
      <c r="T1012" s="474">
        <v>45783</v>
      </c>
      <c r="U1012" s="473"/>
      <c r="V1012" s="473" t="s">
        <v>59</v>
      </c>
    </row>
    <row r="1013" spans="1:22" ht="62.4" x14ac:dyDescent="0.3">
      <c r="A1013" s="476">
        <v>1007</v>
      </c>
      <c r="B1013" s="476" t="s">
        <v>40</v>
      </c>
      <c r="C1013" s="44" t="s">
        <v>73</v>
      </c>
      <c r="D1013" s="476"/>
      <c r="E1013" s="476" t="s">
        <v>75</v>
      </c>
      <c r="F1013" s="44" t="s">
        <v>2106</v>
      </c>
      <c r="G1013" s="476" t="s">
        <v>184</v>
      </c>
      <c r="H1013" s="589">
        <v>307.41726</v>
      </c>
      <c r="I1013" s="476">
        <v>1</v>
      </c>
      <c r="J1013" s="589">
        <v>307.41726</v>
      </c>
      <c r="K1013" s="589">
        <v>307.41726</v>
      </c>
      <c r="L1013" s="476">
        <v>1</v>
      </c>
      <c r="M1013" s="589">
        <v>307.41726</v>
      </c>
      <c r="N1013" s="6" t="s">
        <v>2107</v>
      </c>
      <c r="O1013" s="477">
        <v>45784</v>
      </c>
      <c r="P1013" s="33" t="str">
        <f>HYPERLINK("https://my.zakupivli.pro/remote/dispatcher/state_purchase_view/59253985", "UA-2025-05-07-007781-a")</f>
        <v>UA-2025-05-07-007781-a</v>
      </c>
      <c r="Q1013" s="476">
        <v>307.41726</v>
      </c>
      <c r="R1013" s="476">
        <v>1</v>
      </c>
      <c r="S1013" s="476">
        <v>307.41726</v>
      </c>
      <c r="T1013" s="477">
        <v>45784</v>
      </c>
      <c r="U1013" s="476"/>
      <c r="V1013" s="476" t="s">
        <v>59</v>
      </c>
    </row>
    <row r="1014" spans="1:22" ht="62.4" x14ac:dyDescent="0.3">
      <c r="A1014" s="479">
        <v>1008</v>
      </c>
      <c r="B1014" s="479" t="s">
        <v>40</v>
      </c>
      <c r="C1014" s="44" t="s">
        <v>884</v>
      </c>
      <c r="D1014" s="479"/>
      <c r="E1014" s="479" t="s">
        <v>20</v>
      </c>
      <c r="F1014" s="44" t="s">
        <v>2108</v>
      </c>
      <c r="G1014" s="479" t="s">
        <v>184</v>
      </c>
      <c r="H1014" s="589">
        <v>308.91014000000001</v>
      </c>
      <c r="I1014" s="479">
        <v>1</v>
      </c>
      <c r="J1014" s="589">
        <v>308.91014000000001</v>
      </c>
      <c r="K1014" s="589">
        <v>308.91014000000001</v>
      </c>
      <c r="L1014" s="479">
        <v>1</v>
      </c>
      <c r="M1014" s="589">
        <v>308.91014000000001</v>
      </c>
      <c r="N1014" s="6" t="s">
        <v>2112</v>
      </c>
      <c r="O1014" s="478">
        <v>45785</v>
      </c>
      <c r="P1014" s="33" t="str">
        <f>HYPERLINK("https://my.zakupivli.pro/remote/dispatcher/state_purchase_view/59272383", "UA-2025-05-08-001478-a")</f>
        <v>UA-2025-05-08-001478-a</v>
      </c>
      <c r="Q1014" s="479">
        <v>308.91014000000001</v>
      </c>
      <c r="R1014" s="479">
        <v>1</v>
      </c>
      <c r="S1014" s="479">
        <v>308.91014000000001</v>
      </c>
      <c r="T1014" s="478">
        <v>45784</v>
      </c>
      <c r="U1014" s="479"/>
      <c r="V1014" s="479" t="s">
        <v>59</v>
      </c>
    </row>
    <row r="1015" spans="1:22" ht="62.4" x14ac:dyDescent="0.3">
      <c r="A1015" s="479">
        <v>1009</v>
      </c>
      <c r="B1015" s="479" t="s">
        <v>40</v>
      </c>
      <c r="C1015" s="44" t="s">
        <v>41</v>
      </c>
      <c r="D1015" s="479"/>
      <c r="E1015" s="479" t="s">
        <v>20</v>
      </c>
      <c r="F1015" s="44" t="s">
        <v>2109</v>
      </c>
      <c r="G1015" s="479" t="s">
        <v>184</v>
      </c>
      <c r="H1015" s="589">
        <v>87.890124999999998</v>
      </c>
      <c r="I1015" s="479">
        <v>1</v>
      </c>
      <c r="J1015" s="589">
        <v>87.890124999999998</v>
      </c>
      <c r="K1015" s="589">
        <v>87.890124999999998</v>
      </c>
      <c r="L1015" s="479">
        <v>1</v>
      </c>
      <c r="M1015" s="589">
        <v>87.890124999999998</v>
      </c>
      <c r="N1015" s="6" t="s">
        <v>2113</v>
      </c>
      <c r="O1015" s="478">
        <v>45785</v>
      </c>
      <c r="P1015" s="33" t="str">
        <f>HYPERLINK("https://my.zakupivli.pro/remote/dispatcher/state_purchase_view/59272094", "UA-2025-05-08-001289-a")</f>
        <v>UA-2025-05-08-001289-a</v>
      </c>
      <c r="Q1015" s="479">
        <v>87.890124999999998</v>
      </c>
      <c r="R1015" s="479">
        <v>1</v>
      </c>
      <c r="S1015" s="479">
        <v>87.890124999999998</v>
      </c>
      <c r="T1015" s="478">
        <v>45784</v>
      </c>
      <c r="U1015" s="479"/>
      <c r="V1015" s="479" t="s">
        <v>59</v>
      </c>
    </row>
    <row r="1016" spans="1:22" ht="62.4" x14ac:dyDescent="0.3">
      <c r="A1016" s="479">
        <v>1010</v>
      </c>
      <c r="B1016" s="479" t="s">
        <v>40</v>
      </c>
      <c r="C1016" s="44" t="s">
        <v>884</v>
      </c>
      <c r="D1016" s="479"/>
      <c r="E1016" s="479" t="s">
        <v>20</v>
      </c>
      <c r="F1016" s="44" t="s">
        <v>2110</v>
      </c>
      <c r="G1016" s="479" t="s">
        <v>184</v>
      </c>
      <c r="H1016" s="589">
        <v>228.11002999999999</v>
      </c>
      <c r="I1016" s="479">
        <v>1</v>
      </c>
      <c r="J1016" s="589">
        <v>228.11002999999999</v>
      </c>
      <c r="K1016" s="589">
        <v>228.11002999999999</v>
      </c>
      <c r="L1016" s="479">
        <v>1</v>
      </c>
      <c r="M1016" s="589">
        <v>228.11002999999999</v>
      </c>
      <c r="N1016" s="6" t="s">
        <v>2114</v>
      </c>
      <c r="O1016" s="478">
        <v>45785</v>
      </c>
      <c r="P1016" s="33" t="str">
        <f>HYPERLINK("https://my.zakupivli.pro/remote/dispatcher/state_purchase_view/59271749", "UA-2025-05-08-001179-a")</f>
        <v>UA-2025-05-08-001179-a</v>
      </c>
      <c r="Q1016" s="479">
        <v>228.11002999999999</v>
      </c>
      <c r="R1016" s="479">
        <v>1</v>
      </c>
      <c r="S1016" s="479">
        <v>228.11002999999999</v>
      </c>
      <c r="T1016" s="478">
        <v>45784</v>
      </c>
      <c r="U1016" s="479"/>
      <c r="V1016" s="479" t="s">
        <v>59</v>
      </c>
    </row>
    <row r="1017" spans="1:22" ht="62.4" x14ac:dyDescent="0.3">
      <c r="A1017" s="479">
        <v>1011</v>
      </c>
      <c r="B1017" s="479" t="s">
        <v>40</v>
      </c>
      <c r="C1017" s="44" t="s">
        <v>41</v>
      </c>
      <c r="D1017" s="479"/>
      <c r="E1017" s="479" t="s">
        <v>20</v>
      </c>
      <c r="F1017" s="44" t="s">
        <v>2111</v>
      </c>
      <c r="G1017" s="479" t="s">
        <v>184</v>
      </c>
      <c r="H1017" s="589">
        <v>234.77054999999999</v>
      </c>
      <c r="I1017" s="479">
        <v>1</v>
      </c>
      <c r="J1017" s="589">
        <v>234.77054999999999</v>
      </c>
      <c r="K1017" s="589">
        <v>234.77054999999999</v>
      </c>
      <c r="L1017" s="479">
        <v>1</v>
      </c>
      <c r="M1017" s="589">
        <v>234.77054999999999</v>
      </c>
      <c r="N1017" s="6" t="s">
        <v>2115</v>
      </c>
      <c r="O1017" s="478">
        <v>45785</v>
      </c>
      <c r="P1017" s="33" t="str">
        <f>HYPERLINK("https://my.zakupivli.pro/remote/dispatcher/state_purchase_view/59271695", "UA-2025-05-08-001145-a")</f>
        <v>UA-2025-05-08-001145-a</v>
      </c>
      <c r="Q1017" s="479">
        <v>234.77054999999999</v>
      </c>
      <c r="R1017" s="479">
        <v>1</v>
      </c>
      <c r="S1017" s="479">
        <v>234.77054999999999</v>
      </c>
      <c r="T1017" s="478">
        <v>45784</v>
      </c>
      <c r="U1017" s="479"/>
      <c r="V1017" s="479" t="s">
        <v>59</v>
      </c>
    </row>
    <row r="1018" spans="1:22" ht="62.4" x14ac:dyDescent="0.3">
      <c r="A1018" s="479">
        <v>1012</v>
      </c>
      <c r="B1018" s="480" t="s">
        <v>40</v>
      </c>
      <c r="C1018" s="44" t="s">
        <v>1248</v>
      </c>
      <c r="D1018" s="479"/>
      <c r="E1018" s="480" t="s">
        <v>75</v>
      </c>
      <c r="F1018" s="44" t="s">
        <v>2120</v>
      </c>
      <c r="G1018" s="480" t="s">
        <v>184</v>
      </c>
      <c r="H1018" s="589">
        <v>233.70140000000001</v>
      </c>
      <c r="I1018" s="479">
        <v>1</v>
      </c>
      <c r="J1018" s="589">
        <v>233.70140000000001</v>
      </c>
      <c r="K1018" s="589">
        <v>233.70140000000001</v>
      </c>
      <c r="L1018" s="480">
        <v>1</v>
      </c>
      <c r="M1018" s="589">
        <v>233.70140000000001</v>
      </c>
      <c r="N1018" s="6" t="s">
        <v>2121</v>
      </c>
      <c r="O1018" s="478">
        <v>45786</v>
      </c>
      <c r="P1018" s="33" t="str">
        <f>HYPERLINK("https://my.zakupivli.pro/remote/dispatcher/state_purchase_view/59328070", "UA-2025-05-09-011607-a")</f>
        <v>UA-2025-05-09-011607-a</v>
      </c>
      <c r="Q1018" s="480">
        <v>233.70140000000001</v>
      </c>
      <c r="R1018" s="480">
        <v>1</v>
      </c>
      <c r="S1018" s="480">
        <v>233.70140000000001</v>
      </c>
      <c r="T1018" s="478">
        <v>45785</v>
      </c>
      <c r="U1018" s="479"/>
      <c r="V1018" s="480" t="s">
        <v>59</v>
      </c>
    </row>
    <row r="1019" spans="1:22" ht="62.4" x14ac:dyDescent="0.3">
      <c r="A1019" s="479">
        <v>1013</v>
      </c>
      <c r="B1019" s="481" t="s">
        <v>40</v>
      </c>
      <c r="C1019" s="44" t="s">
        <v>884</v>
      </c>
      <c r="D1019" s="479"/>
      <c r="E1019" s="481" t="s">
        <v>20</v>
      </c>
      <c r="F1019" s="44" t="s">
        <v>2122</v>
      </c>
      <c r="G1019" s="479" t="s">
        <v>184</v>
      </c>
      <c r="H1019" s="589">
        <v>74.87321</v>
      </c>
      <c r="I1019" s="479">
        <v>1</v>
      </c>
      <c r="J1019" s="589">
        <v>74.87321</v>
      </c>
      <c r="K1019" s="589">
        <v>74.87321</v>
      </c>
      <c r="L1019" s="481">
        <v>1</v>
      </c>
      <c r="M1019" s="589">
        <v>74.87321</v>
      </c>
      <c r="N1019" s="6" t="s">
        <v>2125</v>
      </c>
      <c r="O1019" s="478">
        <v>45789</v>
      </c>
      <c r="P1019" s="33" t="str">
        <f>HYPERLINK("https://my.zakupivli.pro/remote/dispatcher/state_purchase_view/59361203", "UA-2025-05-12-011976-a")</f>
        <v>UA-2025-05-12-011976-a</v>
      </c>
      <c r="Q1019" s="481">
        <v>74.87321</v>
      </c>
      <c r="R1019" s="481">
        <v>1</v>
      </c>
      <c r="S1019" s="481">
        <v>74.87321</v>
      </c>
      <c r="T1019" s="482">
        <v>45789</v>
      </c>
      <c r="U1019" s="479"/>
      <c r="V1019" s="481" t="s">
        <v>59</v>
      </c>
    </row>
    <row r="1020" spans="1:22" ht="62.4" x14ac:dyDescent="0.3">
      <c r="A1020" s="479">
        <v>1014</v>
      </c>
      <c r="B1020" s="481" t="s">
        <v>40</v>
      </c>
      <c r="C1020" s="44" t="s">
        <v>884</v>
      </c>
      <c r="D1020" s="479"/>
      <c r="E1020" s="481" t="s">
        <v>20</v>
      </c>
      <c r="F1020" s="44" t="s">
        <v>2123</v>
      </c>
      <c r="G1020" s="479" t="s">
        <v>184</v>
      </c>
      <c r="H1020" s="589">
        <v>289.86410999999998</v>
      </c>
      <c r="I1020" s="479">
        <v>1</v>
      </c>
      <c r="J1020" s="589">
        <v>289.86410999999998</v>
      </c>
      <c r="K1020" s="589">
        <v>289.86410999999998</v>
      </c>
      <c r="L1020" s="481">
        <v>1</v>
      </c>
      <c r="M1020" s="589">
        <v>289.86410999999998</v>
      </c>
      <c r="N1020" s="6" t="s">
        <v>2126</v>
      </c>
      <c r="O1020" s="482">
        <v>45789</v>
      </c>
      <c r="P1020" s="33" t="str">
        <f>HYPERLINK("https://my.zakupivli.pro/remote/dispatcher/state_purchase_view/59361064", "UA-2025-05-12-011885-a")</f>
        <v>UA-2025-05-12-011885-a</v>
      </c>
      <c r="Q1020" s="481">
        <v>289.86410999999998</v>
      </c>
      <c r="R1020" s="481">
        <v>1</v>
      </c>
      <c r="S1020" s="481">
        <v>289.86410999999998</v>
      </c>
      <c r="T1020" s="482">
        <v>45789</v>
      </c>
      <c r="U1020" s="479"/>
      <c r="V1020" s="481" t="s">
        <v>59</v>
      </c>
    </row>
    <row r="1021" spans="1:22" ht="62.4" x14ac:dyDescent="0.3">
      <c r="A1021" s="479">
        <v>1015</v>
      </c>
      <c r="B1021" s="481" t="s">
        <v>40</v>
      </c>
      <c r="C1021" s="44" t="s">
        <v>884</v>
      </c>
      <c r="D1021" s="479"/>
      <c r="E1021" s="481" t="s">
        <v>20</v>
      </c>
      <c r="F1021" s="44" t="s">
        <v>2124</v>
      </c>
      <c r="G1021" s="479" t="s">
        <v>184</v>
      </c>
      <c r="H1021" s="589">
        <v>311.78775000000002</v>
      </c>
      <c r="I1021" s="479">
        <v>1</v>
      </c>
      <c r="J1021" s="589">
        <v>311.78775000000002</v>
      </c>
      <c r="K1021" s="589">
        <v>311.78775000000002</v>
      </c>
      <c r="L1021" s="481">
        <v>1</v>
      </c>
      <c r="M1021" s="589">
        <v>311.78775000000002</v>
      </c>
      <c r="N1021" s="6" t="s">
        <v>2127</v>
      </c>
      <c r="O1021" s="482">
        <v>45789</v>
      </c>
      <c r="P1021" s="33" t="str">
        <f>HYPERLINK("https://my.zakupivli.pro/remote/dispatcher/state_purchase_view/59354476", "UA-2025-05-12-008899-a")</f>
        <v>UA-2025-05-12-008899-a</v>
      </c>
      <c r="Q1021" s="481">
        <v>311.78775000000002</v>
      </c>
      <c r="R1021" s="481">
        <v>1</v>
      </c>
      <c r="S1021" s="481">
        <v>311.78775000000002</v>
      </c>
      <c r="T1021" s="482">
        <v>45789</v>
      </c>
      <c r="U1021" s="479"/>
      <c r="V1021" s="481" t="s">
        <v>59</v>
      </c>
    </row>
    <row r="1022" spans="1:22" ht="43.2" x14ac:dyDescent="0.3">
      <c r="A1022" s="479">
        <v>1016</v>
      </c>
      <c r="B1022" s="479" t="s">
        <v>21</v>
      </c>
      <c r="C1022" s="44" t="s">
        <v>1163</v>
      </c>
      <c r="D1022" s="479"/>
      <c r="E1022" s="483" t="s">
        <v>75</v>
      </c>
      <c r="F1022" s="44" t="s">
        <v>2128</v>
      </c>
      <c r="G1022" s="479" t="s">
        <v>185</v>
      </c>
      <c r="H1022" s="589"/>
      <c r="I1022" s="479">
        <v>924</v>
      </c>
      <c r="J1022" s="589">
        <v>135.83332999999999</v>
      </c>
      <c r="K1022" s="589"/>
      <c r="L1022" s="483">
        <v>924</v>
      </c>
      <c r="M1022" s="589">
        <v>135.83332999999999</v>
      </c>
      <c r="N1022" s="6" t="s">
        <v>2130</v>
      </c>
      <c r="O1022" s="478">
        <v>45790</v>
      </c>
      <c r="P1022" s="33" t="str">
        <f>HYPERLINK("https://my.zakupivli.pro/remote/dispatcher/state_purchase_view/59372454", "UA-2025-05-13-002429-a")</f>
        <v>UA-2025-05-13-002429-a</v>
      </c>
      <c r="Q1022" s="446"/>
      <c r="R1022" s="446">
        <v>924</v>
      </c>
      <c r="S1022" s="446">
        <v>131.85480000000001</v>
      </c>
      <c r="T1022" s="441">
        <v>45804</v>
      </c>
      <c r="U1022" s="479"/>
      <c r="V1022" s="479"/>
    </row>
    <row r="1023" spans="1:22" ht="43.2" x14ac:dyDescent="0.3">
      <c r="A1023" s="479">
        <v>1017</v>
      </c>
      <c r="B1023" s="479" t="s">
        <v>21</v>
      </c>
      <c r="C1023" s="44" t="s">
        <v>1163</v>
      </c>
      <c r="D1023" s="479"/>
      <c r="E1023" s="483" t="s">
        <v>75</v>
      </c>
      <c r="F1023" s="44" t="s">
        <v>2129</v>
      </c>
      <c r="G1023" s="479" t="s">
        <v>185</v>
      </c>
      <c r="H1023" s="589"/>
      <c r="I1023" s="479">
        <v>573</v>
      </c>
      <c r="J1023" s="589">
        <v>263.09199999999998</v>
      </c>
      <c r="K1023" s="589"/>
      <c r="L1023" s="483">
        <v>573</v>
      </c>
      <c r="M1023" s="589">
        <v>263.09199999999998</v>
      </c>
      <c r="N1023" s="6" t="s">
        <v>2131</v>
      </c>
      <c r="O1023" s="484">
        <v>45790</v>
      </c>
      <c r="P1023" s="33" t="str">
        <f>HYPERLINK("https://my.zakupivli.pro/remote/dispatcher/state_purchase_view/59372454", "UA-2025-05-13-002429-a")</f>
        <v>UA-2025-05-13-002429-a</v>
      </c>
      <c r="Q1023" s="446"/>
      <c r="R1023" s="446">
        <v>573</v>
      </c>
      <c r="S1023" s="446">
        <v>238.84970000000001</v>
      </c>
      <c r="T1023" s="441">
        <v>45804</v>
      </c>
      <c r="U1023" s="479"/>
      <c r="V1023" s="479"/>
    </row>
    <row r="1024" spans="1:22" ht="78" x14ac:dyDescent="0.3">
      <c r="A1024" s="479">
        <v>1018</v>
      </c>
      <c r="B1024" s="486" t="s">
        <v>40</v>
      </c>
      <c r="C1024" s="44" t="s">
        <v>884</v>
      </c>
      <c r="D1024" s="479"/>
      <c r="E1024" s="486" t="s">
        <v>20</v>
      </c>
      <c r="F1024" s="44" t="s">
        <v>2132</v>
      </c>
      <c r="G1024" s="486" t="s">
        <v>184</v>
      </c>
      <c r="H1024" s="589">
        <v>157.30072999999999</v>
      </c>
      <c r="I1024" s="479">
        <v>1</v>
      </c>
      <c r="J1024" s="589">
        <v>157.30072999999999</v>
      </c>
      <c r="K1024" s="589">
        <v>157.30072999999999</v>
      </c>
      <c r="L1024" s="486">
        <v>1</v>
      </c>
      <c r="M1024" s="589">
        <v>157.30072999999999</v>
      </c>
      <c r="N1024" s="6" t="s">
        <v>2135</v>
      </c>
      <c r="O1024" s="478">
        <v>45793</v>
      </c>
      <c r="P1024" s="33" t="str">
        <f>HYPERLINK("https://my.zakupivli.pro/remote/dispatcher/state_purchase_view/59464900", "UA-2025-05-16-000275-a")</f>
        <v>UA-2025-05-16-000275-a</v>
      </c>
      <c r="Q1024" s="486">
        <v>157.30072999999999</v>
      </c>
      <c r="R1024" s="486">
        <v>1</v>
      </c>
      <c r="S1024" s="486">
        <v>157.30072999999999</v>
      </c>
      <c r="T1024" s="478">
        <v>45792</v>
      </c>
      <c r="U1024" s="479"/>
      <c r="V1024" s="486" t="s">
        <v>59</v>
      </c>
    </row>
    <row r="1025" spans="1:22" ht="62.4" x14ac:dyDescent="0.3">
      <c r="A1025" s="486">
        <v>1019</v>
      </c>
      <c r="B1025" s="486" t="s">
        <v>40</v>
      </c>
      <c r="C1025" s="44" t="s">
        <v>884</v>
      </c>
      <c r="D1025" s="486"/>
      <c r="E1025" s="486" t="s">
        <v>20</v>
      </c>
      <c r="F1025" s="44" t="s">
        <v>2133</v>
      </c>
      <c r="G1025" s="486" t="s">
        <v>184</v>
      </c>
      <c r="H1025" s="589">
        <v>777.36433999999997</v>
      </c>
      <c r="I1025" s="486">
        <v>1</v>
      </c>
      <c r="J1025" s="589">
        <v>777.36433999999997</v>
      </c>
      <c r="K1025" s="589">
        <v>777.36433999999997</v>
      </c>
      <c r="L1025" s="486">
        <v>1</v>
      </c>
      <c r="M1025" s="589">
        <v>777.36433999999997</v>
      </c>
      <c r="N1025" s="6" t="s">
        <v>2136</v>
      </c>
      <c r="O1025" s="485">
        <v>45793</v>
      </c>
      <c r="P1025" s="33" t="str">
        <f>HYPERLINK("https://my.zakupivli.pro/remote/dispatcher/state_purchase_view/59464876", "UA-2025-05-16-000256-a")</f>
        <v>UA-2025-05-16-000256-a</v>
      </c>
      <c r="Q1025" s="486">
        <v>777.36433999999997</v>
      </c>
      <c r="R1025" s="486">
        <v>1</v>
      </c>
      <c r="S1025" s="486">
        <v>777.36433999999997</v>
      </c>
      <c r="T1025" s="485">
        <v>45792</v>
      </c>
      <c r="U1025" s="486"/>
      <c r="V1025" s="486" t="s">
        <v>59</v>
      </c>
    </row>
    <row r="1026" spans="1:22" ht="62.4" x14ac:dyDescent="0.3">
      <c r="A1026" s="486">
        <v>1020</v>
      </c>
      <c r="B1026" s="486" t="s">
        <v>40</v>
      </c>
      <c r="C1026" s="44" t="s">
        <v>41</v>
      </c>
      <c r="D1026" s="486"/>
      <c r="E1026" s="486" t="s">
        <v>20</v>
      </c>
      <c r="F1026" s="44" t="s">
        <v>2134</v>
      </c>
      <c r="G1026" s="486" t="s">
        <v>184</v>
      </c>
      <c r="H1026" s="589">
        <v>402.67865</v>
      </c>
      <c r="I1026" s="486">
        <v>1</v>
      </c>
      <c r="J1026" s="589">
        <v>402.67865</v>
      </c>
      <c r="K1026" s="589">
        <v>402.67865</v>
      </c>
      <c r="L1026" s="486">
        <v>1</v>
      </c>
      <c r="M1026" s="589">
        <v>402.67865</v>
      </c>
      <c r="N1026" s="6" t="s">
        <v>2137</v>
      </c>
      <c r="O1026" s="485">
        <v>45793</v>
      </c>
      <c r="P1026" s="33" t="str">
        <f>HYPERLINK("https://my.zakupivli.pro/remote/dispatcher/state_purchase_view/59464736", "UA-2025-05-16-000205-a")</f>
        <v>UA-2025-05-16-000205-a</v>
      </c>
      <c r="Q1026" s="486">
        <v>402.67865</v>
      </c>
      <c r="R1026" s="486">
        <v>1</v>
      </c>
      <c r="S1026" s="486">
        <v>402.67865</v>
      </c>
      <c r="T1026" s="485">
        <v>45792</v>
      </c>
      <c r="U1026" s="486"/>
      <c r="V1026" s="486" t="s">
        <v>59</v>
      </c>
    </row>
    <row r="1027" spans="1:22" ht="62.4" x14ac:dyDescent="0.3">
      <c r="A1027" s="487">
        <v>1021</v>
      </c>
      <c r="B1027" s="487" t="s">
        <v>40</v>
      </c>
      <c r="C1027" s="44" t="s">
        <v>73</v>
      </c>
      <c r="D1027" s="487"/>
      <c r="E1027" s="487" t="s">
        <v>75</v>
      </c>
      <c r="F1027" s="44" t="s">
        <v>2138</v>
      </c>
      <c r="G1027" s="487" t="s">
        <v>184</v>
      </c>
      <c r="H1027" s="589">
        <v>95.526079999999993</v>
      </c>
      <c r="I1027" s="487">
        <v>1</v>
      </c>
      <c r="J1027" s="589">
        <v>95.526079999999993</v>
      </c>
      <c r="K1027" s="589">
        <v>95.526079999999993</v>
      </c>
      <c r="L1027" s="487">
        <v>1</v>
      </c>
      <c r="M1027" s="589">
        <v>95.526079999999993</v>
      </c>
      <c r="N1027" s="6" t="s">
        <v>2139</v>
      </c>
      <c r="O1027" s="488">
        <v>45796</v>
      </c>
      <c r="P1027" s="33" t="str">
        <f>HYPERLINK("https://my.zakupivli.pro/remote/dispatcher/state_purchase_view/59518976", "UA-2025-05-19-012608-a")</f>
        <v>UA-2025-05-19-012608-a</v>
      </c>
      <c r="Q1027" s="487">
        <v>95.526079999999993</v>
      </c>
      <c r="R1027" s="487">
        <v>1</v>
      </c>
      <c r="S1027" s="487">
        <v>95.526079999999993</v>
      </c>
      <c r="T1027" s="488">
        <v>45796</v>
      </c>
      <c r="U1027" s="487"/>
      <c r="V1027" s="487" t="s">
        <v>59</v>
      </c>
    </row>
    <row r="1028" spans="1:22" ht="46.8" x14ac:dyDescent="0.3">
      <c r="A1028" s="489">
        <v>1022</v>
      </c>
      <c r="B1028" s="489" t="s">
        <v>21</v>
      </c>
      <c r="C1028" s="44" t="s">
        <v>894</v>
      </c>
      <c r="D1028" s="489"/>
      <c r="E1028" s="489" t="s">
        <v>75</v>
      </c>
      <c r="F1028" s="44" t="s">
        <v>2140</v>
      </c>
      <c r="G1028" s="489" t="s">
        <v>185</v>
      </c>
      <c r="H1028" s="589"/>
      <c r="I1028" s="489">
        <v>9</v>
      </c>
      <c r="J1028" s="589">
        <v>148.5</v>
      </c>
      <c r="K1028" s="589"/>
      <c r="L1028" s="489">
        <v>9</v>
      </c>
      <c r="M1028" s="589">
        <v>148.5</v>
      </c>
      <c r="N1028" s="6" t="s">
        <v>2143</v>
      </c>
      <c r="O1028" s="490">
        <v>45797</v>
      </c>
      <c r="P1028" s="33" t="str">
        <f>HYPERLINK("https://my.zakupivli.pro/remote/dispatcher/state_purchase_view/59543384", "UA-2025-05-20-009372-a")</f>
        <v>UA-2025-05-20-009372-a</v>
      </c>
      <c r="Q1028" s="515"/>
      <c r="R1028" s="515">
        <v>9</v>
      </c>
      <c r="S1028" s="117">
        <v>148.5</v>
      </c>
      <c r="T1028" s="516">
        <v>45819</v>
      </c>
      <c r="U1028" s="489"/>
      <c r="V1028" s="489"/>
    </row>
    <row r="1029" spans="1:22" ht="62.4" x14ac:dyDescent="0.3">
      <c r="A1029" s="489">
        <v>1023</v>
      </c>
      <c r="B1029" s="489" t="s">
        <v>40</v>
      </c>
      <c r="C1029" s="44" t="s">
        <v>884</v>
      </c>
      <c r="D1029" s="489"/>
      <c r="E1029" s="489" t="s">
        <v>20</v>
      </c>
      <c r="F1029" s="44" t="s">
        <v>2141</v>
      </c>
      <c r="G1029" s="489" t="s">
        <v>184</v>
      </c>
      <c r="H1029" s="589"/>
      <c r="I1029" s="489">
        <v>1</v>
      </c>
      <c r="J1029" s="589">
        <v>438.27614</v>
      </c>
      <c r="K1029" s="589"/>
      <c r="L1029" s="489">
        <v>1</v>
      </c>
      <c r="M1029" s="589">
        <v>438.27614</v>
      </c>
      <c r="N1029" s="6" t="s">
        <v>2144</v>
      </c>
      <c r="O1029" s="490">
        <v>45797</v>
      </c>
      <c r="P1029" s="33" t="str">
        <f>HYPERLINK("https://my.zakupivli.pro/remote/dispatcher/state_purchase_view/59526001", "UA-2025-05-20-001567-a")</f>
        <v>UA-2025-05-20-001567-a</v>
      </c>
      <c r="Q1029" s="489"/>
      <c r="R1029" s="489">
        <v>1</v>
      </c>
      <c r="S1029" s="489">
        <v>438.27614</v>
      </c>
      <c r="T1029" s="490">
        <v>45796</v>
      </c>
      <c r="U1029" s="489"/>
      <c r="V1029" s="489" t="s">
        <v>59</v>
      </c>
    </row>
    <row r="1030" spans="1:22" ht="62.4" x14ac:dyDescent="0.3">
      <c r="A1030" s="489">
        <v>1024</v>
      </c>
      <c r="B1030" s="489" t="s">
        <v>40</v>
      </c>
      <c r="C1030" s="44" t="s">
        <v>884</v>
      </c>
      <c r="D1030" s="489"/>
      <c r="E1030" s="489" t="s">
        <v>20</v>
      </c>
      <c r="F1030" s="44" t="s">
        <v>2142</v>
      </c>
      <c r="G1030" s="489" t="s">
        <v>184</v>
      </c>
      <c r="H1030" s="589"/>
      <c r="I1030" s="489">
        <v>1</v>
      </c>
      <c r="J1030" s="589">
        <v>301.57130000000001</v>
      </c>
      <c r="K1030" s="589"/>
      <c r="L1030" s="489">
        <v>1</v>
      </c>
      <c r="M1030" s="589">
        <v>301.57130000000001</v>
      </c>
      <c r="N1030" s="6" t="s">
        <v>2145</v>
      </c>
      <c r="O1030" s="490">
        <v>45797</v>
      </c>
      <c r="P1030" s="33" t="str">
        <f>HYPERLINK("https://my.zakupivli.pro/remote/dispatcher/state_purchase_view/59525958", "UA-2025-05-20-001540-a")</f>
        <v>UA-2025-05-20-001540-a</v>
      </c>
      <c r="Q1030" s="489"/>
      <c r="R1030" s="489">
        <v>1</v>
      </c>
      <c r="S1030" s="489">
        <v>301.57130000000001</v>
      </c>
      <c r="T1030" s="490">
        <v>45796</v>
      </c>
      <c r="U1030" s="489"/>
      <c r="V1030" s="489" t="s">
        <v>59</v>
      </c>
    </row>
    <row r="1031" spans="1:22" ht="43.2" x14ac:dyDescent="0.3">
      <c r="A1031" s="489">
        <v>1025</v>
      </c>
      <c r="B1031" s="489" t="s">
        <v>21</v>
      </c>
      <c r="C1031" s="44" t="s">
        <v>175</v>
      </c>
      <c r="D1031" s="489"/>
      <c r="E1031" s="489" t="s">
        <v>75</v>
      </c>
      <c r="F1031" s="44" t="s">
        <v>2146</v>
      </c>
      <c r="G1031" s="489" t="s">
        <v>186</v>
      </c>
      <c r="H1031" s="589"/>
      <c r="I1031" s="489">
        <v>31</v>
      </c>
      <c r="J1031" s="589">
        <v>829.4</v>
      </c>
      <c r="K1031" s="589"/>
      <c r="L1031" s="489">
        <v>31</v>
      </c>
      <c r="M1031" s="589">
        <v>829.4</v>
      </c>
      <c r="N1031" s="6" t="s">
        <v>2147</v>
      </c>
      <c r="O1031" s="490">
        <v>45798</v>
      </c>
      <c r="P1031" s="33" t="str">
        <f>HYPERLINK("https://my.zakupivli.pro/remote/dispatcher/state_purchase_view/59578825", "UA-2025-05-21-010260-a")</f>
        <v>UA-2025-05-21-010260-a</v>
      </c>
      <c r="Q1031" s="446"/>
      <c r="R1031" s="446"/>
      <c r="S1031" s="446"/>
      <c r="T1031" s="441"/>
      <c r="U1031" s="489" t="s">
        <v>1793</v>
      </c>
      <c r="V1031" s="489"/>
    </row>
    <row r="1032" spans="1:22" ht="62.4" x14ac:dyDescent="0.3">
      <c r="A1032" s="489">
        <v>1026</v>
      </c>
      <c r="B1032" s="491" t="s">
        <v>40</v>
      </c>
      <c r="C1032" s="44" t="s">
        <v>884</v>
      </c>
      <c r="D1032" s="489"/>
      <c r="E1032" s="491" t="s">
        <v>20</v>
      </c>
      <c r="F1032" s="44" t="s">
        <v>2148</v>
      </c>
      <c r="G1032" s="491" t="s">
        <v>184</v>
      </c>
      <c r="H1032" s="589">
        <v>241.42393999999999</v>
      </c>
      <c r="I1032" s="489">
        <v>1</v>
      </c>
      <c r="J1032" s="589">
        <v>241.42393999999999</v>
      </c>
      <c r="K1032" s="589">
        <v>241.42393999999999</v>
      </c>
      <c r="L1032" s="491">
        <v>1</v>
      </c>
      <c r="M1032" s="589">
        <v>241.42393999999999</v>
      </c>
      <c r="N1032" s="6" t="s">
        <v>2149</v>
      </c>
      <c r="O1032" s="490">
        <v>45799</v>
      </c>
      <c r="P1032" s="33" t="str">
        <f>HYPERLINK("https://my.zakupivli.pro/remote/dispatcher/state_purchase_view/59596873", "UA-2025-05-22-003797-a")</f>
        <v>UA-2025-05-22-003797-a</v>
      </c>
      <c r="Q1032" s="491">
        <v>241.42393999999999</v>
      </c>
      <c r="R1032" s="491">
        <v>1</v>
      </c>
      <c r="S1032" s="491">
        <v>241.42393999999999</v>
      </c>
      <c r="T1032" s="490">
        <v>45798</v>
      </c>
      <c r="U1032" s="489"/>
      <c r="V1032" s="491" t="s">
        <v>59</v>
      </c>
    </row>
    <row r="1033" spans="1:22" ht="62.4" x14ac:dyDescent="0.3">
      <c r="A1033" s="489">
        <v>1027</v>
      </c>
      <c r="B1033" s="492" t="s">
        <v>40</v>
      </c>
      <c r="C1033" s="44" t="s">
        <v>884</v>
      </c>
      <c r="D1033" s="489"/>
      <c r="E1033" s="492" t="s">
        <v>20</v>
      </c>
      <c r="F1033" s="44" t="s">
        <v>2150</v>
      </c>
      <c r="G1033" s="492" t="s">
        <v>184</v>
      </c>
      <c r="H1033" s="589">
        <v>61.53237</v>
      </c>
      <c r="I1033" s="489">
        <v>1</v>
      </c>
      <c r="J1033" s="589">
        <v>61.53237</v>
      </c>
      <c r="K1033" s="589">
        <v>61.53237</v>
      </c>
      <c r="L1033" s="492">
        <v>1</v>
      </c>
      <c r="M1033" s="589">
        <v>61.53237</v>
      </c>
      <c r="N1033" s="6" t="s">
        <v>2151</v>
      </c>
      <c r="O1033" s="490">
        <v>45800</v>
      </c>
      <c r="P1033" s="33" t="str">
        <f>HYPERLINK("https://my.zakupivli.pro/remote/dispatcher/state_purchase_view/59641745", "UA-2025-05-23-009263-a")</f>
        <v>UA-2025-05-23-009263-a</v>
      </c>
      <c r="Q1033" s="492">
        <v>61.53237</v>
      </c>
      <c r="R1033" s="492">
        <v>1</v>
      </c>
      <c r="S1033" s="492">
        <v>61.53237</v>
      </c>
      <c r="T1033" s="493">
        <v>45800</v>
      </c>
      <c r="U1033" s="489"/>
      <c r="V1033" s="492" t="s">
        <v>59</v>
      </c>
    </row>
    <row r="1034" spans="1:22" ht="62.4" x14ac:dyDescent="0.3">
      <c r="A1034" s="494">
        <v>1028</v>
      </c>
      <c r="B1034" s="494" t="s">
        <v>1150</v>
      </c>
      <c r="C1034" s="44" t="s">
        <v>1400</v>
      </c>
      <c r="D1034" s="494"/>
      <c r="E1034" s="494" t="s">
        <v>75</v>
      </c>
      <c r="F1034" s="223" t="s">
        <v>2152</v>
      </c>
      <c r="G1034" s="494" t="s">
        <v>1149</v>
      </c>
      <c r="H1034" s="589">
        <v>75</v>
      </c>
      <c r="I1034" s="494">
        <v>1</v>
      </c>
      <c r="J1034" s="589">
        <v>75</v>
      </c>
      <c r="K1034" s="589">
        <v>75</v>
      </c>
      <c r="L1034" s="494">
        <v>1</v>
      </c>
      <c r="M1034" s="589">
        <v>75</v>
      </c>
      <c r="N1034" s="6" t="s">
        <v>2153</v>
      </c>
      <c r="O1034" s="495">
        <v>45803</v>
      </c>
      <c r="P1034" s="33" t="str">
        <f>HYPERLINK("https://my.zakupivli.pro/remote/dispatcher/state_purchase_view/59662837", "UA-2025-05-26-004827-a")</f>
        <v>UA-2025-05-26-004827-a</v>
      </c>
      <c r="Q1034" s="117">
        <v>75</v>
      </c>
      <c r="R1034" s="494">
        <v>1</v>
      </c>
      <c r="S1034" s="117">
        <v>75</v>
      </c>
      <c r="T1034" s="495">
        <v>45800</v>
      </c>
      <c r="U1034" s="494"/>
      <c r="V1034" s="494" t="s">
        <v>59</v>
      </c>
    </row>
    <row r="1035" spans="1:22" ht="93.6" x14ac:dyDescent="0.3">
      <c r="A1035" s="497">
        <v>1029</v>
      </c>
      <c r="B1035" s="497" t="s">
        <v>40</v>
      </c>
      <c r="C1035" s="44" t="s">
        <v>41</v>
      </c>
      <c r="D1035" s="497"/>
      <c r="E1035" s="497" t="s">
        <v>20</v>
      </c>
      <c r="F1035" s="44" t="s">
        <v>2154</v>
      </c>
      <c r="G1035" s="497" t="s">
        <v>184</v>
      </c>
      <c r="H1035" s="589">
        <v>740.09612000000004</v>
      </c>
      <c r="I1035" s="497">
        <v>1</v>
      </c>
      <c r="J1035" s="589">
        <v>740.09612000000004</v>
      </c>
      <c r="K1035" s="589">
        <v>740.09612000000004</v>
      </c>
      <c r="L1035" s="497">
        <v>1</v>
      </c>
      <c r="M1035" s="589">
        <v>740.09612000000004</v>
      </c>
      <c r="N1035" s="6" t="s">
        <v>2156</v>
      </c>
      <c r="O1035" s="496">
        <v>45804</v>
      </c>
      <c r="P1035" s="33" t="str">
        <f>HYPERLINK("https://my.zakupivli.pro/remote/dispatcher/state_purchase_view/59692478", "UA-2025-05-27-003751-a")</f>
        <v>UA-2025-05-27-003751-a</v>
      </c>
      <c r="Q1035" s="497">
        <v>740.09612000000004</v>
      </c>
      <c r="R1035" s="497">
        <v>1</v>
      </c>
      <c r="S1035" s="497">
        <v>740.09612000000004</v>
      </c>
      <c r="T1035" s="496">
        <v>45804</v>
      </c>
      <c r="U1035" s="497"/>
      <c r="V1035" s="497" t="s">
        <v>59</v>
      </c>
    </row>
    <row r="1036" spans="1:22" ht="93.6" x14ac:dyDescent="0.3">
      <c r="A1036" s="497">
        <v>1030</v>
      </c>
      <c r="B1036" s="497" t="s">
        <v>40</v>
      </c>
      <c r="C1036" s="44" t="s">
        <v>41</v>
      </c>
      <c r="D1036" s="497"/>
      <c r="E1036" s="497" t="s">
        <v>20</v>
      </c>
      <c r="F1036" s="44" t="s">
        <v>2155</v>
      </c>
      <c r="G1036" s="497" t="s">
        <v>184</v>
      </c>
      <c r="H1036" s="589">
        <v>1038.4562900000001</v>
      </c>
      <c r="I1036" s="497">
        <v>1</v>
      </c>
      <c r="J1036" s="589">
        <v>1038.4562900000001</v>
      </c>
      <c r="K1036" s="589">
        <v>1038.4562900000001</v>
      </c>
      <c r="L1036" s="497">
        <v>1</v>
      </c>
      <c r="M1036" s="589">
        <v>1038.4562900000001</v>
      </c>
      <c r="N1036" s="6" t="s">
        <v>2157</v>
      </c>
      <c r="O1036" s="496">
        <v>45804</v>
      </c>
      <c r="P1036" s="33" t="str">
        <f>HYPERLINK("https://my.zakupivli.pro/remote/dispatcher/state_purchase_view/59688234", "UA-2025-05-27-001919-a")</f>
        <v>UA-2025-05-27-001919-a</v>
      </c>
      <c r="Q1036" s="497">
        <v>1038.4562900000001</v>
      </c>
      <c r="R1036" s="497">
        <v>1</v>
      </c>
      <c r="S1036" s="497">
        <v>1038.4562900000001</v>
      </c>
      <c r="T1036" s="496">
        <v>45804</v>
      </c>
      <c r="U1036" s="497"/>
      <c r="V1036" s="497" t="s">
        <v>59</v>
      </c>
    </row>
    <row r="1037" spans="1:22" ht="62.4" x14ac:dyDescent="0.3">
      <c r="A1037" s="497">
        <v>1031</v>
      </c>
      <c r="B1037" s="497" t="s">
        <v>40</v>
      </c>
      <c r="C1037" s="44" t="s">
        <v>73</v>
      </c>
      <c r="D1037" s="497"/>
      <c r="E1037" s="497" t="s">
        <v>75</v>
      </c>
      <c r="F1037" s="44" t="s">
        <v>2158</v>
      </c>
      <c r="G1037" s="497" t="s">
        <v>184</v>
      </c>
      <c r="H1037" s="589">
        <v>90.812740000000005</v>
      </c>
      <c r="I1037" s="497">
        <v>1</v>
      </c>
      <c r="J1037" s="589">
        <v>90.812740000000005</v>
      </c>
      <c r="K1037" s="589">
        <v>90.812740000000005</v>
      </c>
      <c r="L1037" s="498">
        <v>1</v>
      </c>
      <c r="M1037" s="589">
        <v>90.812740000000005</v>
      </c>
      <c r="N1037" s="6" t="s">
        <v>2159</v>
      </c>
      <c r="O1037" s="499">
        <v>45804</v>
      </c>
      <c r="P1037" s="33" t="str">
        <f>HYPERLINK("https://my.zakupivli.pro/remote/dispatcher/state_purchase_view/59713132", "UA-2025-05-27-012930-a")</f>
        <v>UA-2025-05-27-012930-a</v>
      </c>
      <c r="Q1037" s="498">
        <v>90.812740000000005</v>
      </c>
      <c r="R1037" s="498">
        <v>1</v>
      </c>
      <c r="S1037" s="498">
        <v>90.812740000000005</v>
      </c>
      <c r="T1037" s="496">
        <v>45803</v>
      </c>
      <c r="U1037" s="497"/>
      <c r="V1037" s="498" t="s">
        <v>59</v>
      </c>
    </row>
    <row r="1038" spans="1:22" ht="62.4" x14ac:dyDescent="0.3">
      <c r="A1038" s="500">
        <v>1032</v>
      </c>
      <c r="B1038" s="500" t="s">
        <v>40</v>
      </c>
      <c r="C1038" s="520" t="s">
        <v>73</v>
      </c>
      <c r="D1038" s="497"/>
      <c r="E1038" s="500" t="s">
        <v>75</v>
      </c>
      <c r="F1038" s="497" t="s">
        <v>2200</v>
      </c>
      <c r="G1038" s="500" t="s">
        <v>184</v>
      </c>
      <c r="H1038" s="589">
        <v>46.76914</v>
      </c>
      <c r="I1038" s="500">
        <v>1</v>
      </c>
      <c r="J1038" s="589">
        <v>46.76914</v>
      </c>
      <c r="K1038" s="589">
        <v>46.76914</v>
      </c>
      <c r="L1038" s="500">
        <v>1</v>
      </c>
      <c r="M1038" s="589">
        <v>46.76914</v>
      </c>
      <c r="N1038" s="6" t="s">
        <v>2204</v>
      </c>
      <c r="O1038" s="501">
        <v>45807</v>
      </c>
      <c r="P1038" s="506" t="str">
        <f>HYPERLINK("https://my.zakupivli.pro/remote/dispatcher/state_purchase_view/59790031", "UA-2025-05-30-006154-a")</f>
        <v>UA-2025-05-30-006154-a</v>
      </c>
      <c r="Q1038" s="512">
        <v>46.76914</v>
      </c>
      <c r="R1038" s="497">
        <v>1</v>
      </c>
      <c r="S1038" s="512">
        <v>46.76914</v>
      </c>
      <c r="T1038" s="501">
        <v>45807</v>
      </c>
      <c r="U1038" s="497"/>
      <c r="V1038" s="500" t="s">
        <v>59</v>
      </c>
    </row>
    <row r="1039" spans="1:22" ht="93.6" x14ac:dyDescent="0.3">
      <c r="A1039" s="500">
        <v>1033</v>
      </c>
      <c r="B1039" s="500" t="s">
        <v>40</v>
      </c>
      <c r="C1039" s="520" t="s">
        <v>884</v>
      </c>
      <c r="D1039" s="497"/>
      <c r="E1039" s="500" t="s">
        <v>20</v>
      </c>
      <c r="F1039" s="497" t="s">
        <v>2201</v>
      </c>
      <c r="G1039" s="500" t="s">
        <v>184</v>
      </c>
      <c r="H1039" s="589">
        <v>202.13432</v>
      </c>
      <c r="I1039" s="500">
        <v>1</v>
      </c>
      <c r="J1039" s="589">
        <v>202.13432</v>
      </c>
      <c r="K1039" s="589">
        <v>202.13432</v>
      </c>
      <c r="L1039" s="500">
        <v>1</v>
      </c>
      <c r="M1039" s="589">
        <v>202.13432</v>
      </c>
      <c r="N1039" s="6" t="s">
        <v>2205</v>
      </c>
      <c r="O1039" s="501">
        <v>45807</v>
      </c>
      <c r="P1039" s="506" t="str">
        <f>HYPERLINK("https://my.zakupivli.pro/remote/dispatcher/state_purchase_view/59778258", "UA-2025-05-30-000908-a")</f>
        <v>UA-2025-05-30-000908-a</v>
      </c>
      <c r="Q1039" s="512">
        <v>202.13432</v>
      </c>
      <c r="R1039" s="497">
        <v>1</v>
      </c>
      <c r="S1039" s="512">
        <v>202.13432</v>
      </c>
      <c r="T1039" s="501">
        <v>45806</v>
      </c>
      <c r="U1039" s="497"/>
      <c r="V1039" s="500" t="s">
        <v>59</v>
      </c>
    </row>
    <row r="1040" spans="1:22" ht="93.6" x14ac:dyDescent="0.3">
      <c r="A1040" s="500">
        <v>1034</v>
      </c>
      <c r="B1040" s="500" t="s">
        <v>40</v>
      </c>
      <c r="C1040" s="520" t="s">
        <v>884</v>
      </c>
      <c r="D1040" s="497"/>
      <c r="E1040" s="500" t="s">
        <v>20</v>
      </c>
      <c r="F1040" s="497" t="s">
        <v>2202</v>
      </c>
      <c r="G1040" s="500" t="s">
        <v>184</v>
      </c>
      <c r="H1040" s="589">
        <v>163.13272000000001</v>
      </c>
      <c r="I1040" s="500">
        <v>1</v>
      </c>
      <c r="J1040" s="589">
        <v>163.13272000000001</v>
      </c>
      <c r="K1040" s="589">
        <v>163.13272000000001</v>
      </c>
      <c r="L1040" s="500">
        <v>1</v>
      </c>
      <c r="M1040" s="589">
        <v>163.13272000000001</v>
      </c>
      <c r="N1040" s="6" t="s">
        <v>2206</v>
      </c>
      <c r="O1040" s="501">
        <v>45807</v>
      </c>
      <c r="P1040" s="506" t="str">
        <f>HYPERLINK("https://my.zakupivli.pro/remote/dispatcher/state_purchase_view/59778119", "UA-2025-05-30-000828-a")</f>
        <v>UA-2025-05-30-000828-a</v>
      </c>
      <c r="Q1040" s="512">
        <v>163.13272000000001</v>
      </c>
      <c r="R1040" s="497">
        <v>1</v>
      </c>
      <c r="S1040" s="512">
        <v>163.13272000000001</v>
      </c>
      <c r="T1040" s="501">
        <v>45806</v>
      </c>
      <c r="U1040" s="497"/>
      <c r="V1040" s="500" t="s">
        <v>59</v>
      </c>
    </row>
    <row r="1041" spans="1:22" ht="93.6" x14ac:dyDescent="0.3">
      <c r="A1041" s="500">
        <v>1035</v>
      </c>
      <c r="B1041" s="500" t="s">
        <v>40</v>
      </c>
      <c r="C1041" s="520" t="s">
        <v>884</v>
      </c>
      <c r="D1041" s="497"/>
      <c r="E1041" s="500" t="s">
        <v>20</v>
      </c>
      <c r="F1041" s="497" t="s">
        <v>2203</v>
      </c>
      <c r="G1041" s="500" t="s">
        <v>184</v>
      </c>
      <c r="H1041" s="589">
        <v>408.68150000000003</v>
      </c>
      <c r="I1041" s="500">
        <v>1</v>
      </c>
      <c r="J1041" s="589">
        <v>408.68150000000003</v>
      </c>
      <c r="K1041" s="589">
        <v>408.68150000000003</v>
      </c>
      <c r="L1041" s="500">
        <v>1</v>
      </c>
      <c r="M1041" s="589">
        <v>408.68150000000003</v>
      </c>
      <c r="N1041" s="6" t="s">
        <v>2207</v>
      </c>
      <c r="O1041" s="505">
        <v>45807</v>
      </c>
      <c r="P1041" s="506" t="str">
        <f>HYPERLINK("https://my.zakupivli.pro/remote/dispatcher/state_purchase_view/59777997", "UA-2025-05-30-000803-a")</f>
        <v>UA-2025-05-30-000803-a</v>
      </c>
      <c r="Q1041" s="512">
        <v>408.68150000000003</v>
      </c>
      <c r="R1041" s="497">
        <v>1</v>
      </c>
      <c r="S1041" s="512">
        <v>408.68150000000003</v>
      </c>
      <c r="T1041" s="501">
        <v>45806</v>
      </c>
      <c r="U1041" s="497"/>
      <c r="V1041" s="500" t="s">
        <v>59</v>
      </c>
    </row>
    <row r="1042" spans="1:22" ht="62.4" x14ac:dyDescent="0.3">
      <c r="A1042" s="504">
        <v>1036</v>
      </c>
      <c r="B1042" s="504" t="s">
        <v>40</v>
      </c>
      <c r="C1042" s="520" t="s">
        <v>73</v>
      </c>
      <c r="D1042" s="497"/>
      <c r="E1042" s="504" t="s">
        <v>75</v>
      </c>
      <c r="F1042" s="497" t="s">
        <v>2208</v>
      </c>
      <c r="G1042" s="504" t="s">
        <v>184</v>
      </c>
      <c r="H1042" s="589">
        <v>205.67577</v>
      </c>
      <c r="I1042" s="497">
        <v>1</v>
      </c>
      <c r="J1042" s="589">
        <v>205.67577</v>
      </c>
      <c r="K1042" s="589">
        <v>205.67577</v>
      </c>
      <c r="L1042" s="497">
        <v>1</v>
      </c>
      <c r="M1042" s="589">
        <v>205.67577</v>
      </c>
      <c r="N1042" s="6" t="s">
        <v>2210</v>
      </c>
      <c r="O1042" s="505">
        <v>45811</v>
      </c>
      <c r="P1042" s="506" t="str">
        <f>HYPERLINK("https://my.zakupivli.pro/remote/dispatcher/state_purchase_view/59851810", "UA-2025-06-03-009863-a")</f>
        <v>UA-2025-06-03-009863-a</v>
      </c>
      <c r="Q1042" s="512">
        <v>205.67577</v>
      </c>
      <c r="R1042" s="497">
        <v>1</v>
      </c>
      <c r="S1042" s="512">
        <v>205.67577</v>
      </c>
      <c r="T1042" s="505">
        <v>45811</v>
      </c>
      <c r="U1042" s="497"/>
      <c r="V1042" s="504" t="s">
        <v>59</v>
      </c>
    </row>
    <row r="1043" spans="1:22" ht="78" x14ac:dyDescent="0.3">
      <c r="A1043" s="504">
        <v>1037</v>
      </c>
      <c r="B1043" s="504" t="s">
        <v>40</v>
      </c>
      <c r="C1043" s="520" t="s">
        <v>73</v>
      </c>
      <c r="D1043" s="504"/>
      <c r="E1043" s="504" t="s">
        <v>75</v>
      </c>
      <c r="F1043" s="504" t="s">
        <v>2209</v>
      </c>
      <c r="G1043" s="504" t="s">
        <v>184</v>
      </c>
      <c r="H1043" s="589">
        <v>308.75711000000001</v>
      </c>
      <c r="I1043" s="504">
        <v>1</v>
      </c>
      <c r="J1043" s="589">
        <v>308.75711000000001</v>
      </c>
      <c r="K1043" s="589">
        <v>308.75711000000001</v>
      </c>
      <c r="L1043" s="504">
        <v>1</v>
      </c>
      <c r="M1043" s="589">
        <v>308.75711000000001</v>
      </c>
      <c r="N1043" s="6" t="s">
        <v>2211</v>
      </c>
      <c r="O1043" s="505">
        <v>45811</v>
      </c>
      <c r="P1043" s="506" t="str">
        <f>HYPERLINK("https://my.zakupivli.pro/remote/dispatcher/state_purchase_view/59851081", "UA-2025-06-03-009568-a")</f>
        <v>UA-2025-06-03-009568-a</v>
      </c>
      <c r="Q1043" s="512">
        <v>308.75711000000001</v>
      </c>
      <c r="R1043" s="504">
        <v>1</v>
      </c>
      <c r="S1043" s="512">
        <v>308.75711000000001</v>
      </c>
      <c r="T1043" s="505">
        <v>45811</v>
      </c>
      <c r="U1043" s="504"/>
      <c r="V1043" s="504" t="s">
        <v>59</v>
      </c>
    </row>
    <row r="1044" spans="1:22" ht="62.4" x14ac:dyDescent="0.3">
      <c r="A1044" s="508">
        <v>1038</v>
      </c>
      <c r="B1044" s="508" t="s">
        <v>21</v>
      </c>
      <c r="C1044" s="520" t="s">
        <v>760</v>
      </c>
      <c r="D1044" s="504"/>
      <c r="E1044" s="508" t="s">
        <v>20</v>
      </c>
      <c r="F1044" s="504" t="s">
        <v>2212</v>
      </c>
      <c r="G1044" s="504" t="s">
        <v>186</v>
      </c>
      <c r="H1044" s="589"/>
      <c r="I1044" s="504">
        <v>9</v>
      </c>
      <c r="J1044" s="589">
        <v>83.123999999999995</v>
      </c>
      <c r="K1044" s="589"/>
      <c r="L1044" s="504">
        <v>9</v>
      </c>
      <c r="M1044" s="589">
        <v>83.123999999999995</v>
      </c>
      <c r="N1044" s="6" t="s">
        <v>2213</v>
      </c>
      <c r="O1044" s="507">
        <v>45812</v>
      </c>
      <c r="P1044" s="511" t="str">
        <f>HYPERLINK("https://my.zakupivli.pro/remote/dispatcher/state_purchase_view/59869236", "UA-2025-06-04-003192-a")</f>
        <v>UA-2025-06-04-003192-a</v>
      </c>
      <c r="Q1044" s="512"/>
      <c r="R1044" s="504">
        <v>9</v>
      </c>
      <c r="S1044" s="512">
        <v>83.123999999999995</v>
      </c>
      <c r="T1044" s="507">
        <v>45812</v>
      </c>
      <c r="U1044" s="504"/>
      <c r="V1044" s="508" t="s">
        <v>59</v>
      </c>
    </row>
    <row r="1045" spans="1:22" ht="62.4" x14ac:dyDescent="0.3">
      <c r="A1045" s="508">
        <v>1039</v>
      </c>
      <c r="B1045" s="508" t="s">
        <v>40</v>
      </c>
      <c r="C1045" s="520" t="s">
        <v>73</v>
      </c>
      <c r="D1045" s="504"/>
      <c r="E1045" s="508" t="s">
        <v>75</v>
      </c>
      <c r="F1045" s="504" t="s">
        <v>2214</v>
      </c>
      <c r="G1045" s="508" t="s">
        <v>184</v>
      </c>
      <c r="H1045" s="589">
        <v>166.80641</v>
      </c>
      <c r="I1045" s="504">
        <v>1</v>
      </c>
      <c r="J1045" s="589">
        <v>166.80641</v>
      </c>
      <c r="K1045" s="589">
        <v>166.80641</v>
      </c>
      <c r="L1045" s="504">
        <v>1</v>
      </c>
      <c r="M1045" s="589">
        <v>166.80641</v>
      </c>
      <c r="N1045" s="6" t="s">
        <v>2215</v>
      </c>
      <c r="O1045" s="510">
        <v>45812</v>
      </c>
      <c r="P1045" s="506" t="str">
        <f>HYPERLINK("https://my.zakupivli.pro/remote/dispatcher/state_purchase_view/59864438", "UA-2025-06-04-001086-a")</f>
        <v>UA-2025-06-04-001086-a</v>
      </c>
      <c r="Q1045" s="512">
        <v>166.80641</v>
      </c>
      <c r="R1045" s="504">
        <v>1</v>
      </c>
      <c r="S1045" s="512">
        <v>166.80641</v>
      </c>
      <c r="T1045" s="507">
        <v>45811</v>
      </c>
      <c r="U1045" s="504"/>
      <c r="V1045" s="508" t="s">
        <v>59</v>
      </c>
    </row>
    <row r="1046" spans="1:22" ht="93.6" x14ac:dyDescent="0.3">
      <c r="A1046" s="509">
        <v>1040</v>
      </c>
      <c r="B1046" s="509" t="s">
        <v>40</v>
      </c>
      <c r="C1046" s="520" t="s">
        <v>41</v>
      </c>
      <c r="D1046" s="504"/>
      <c r="E1046" s="509" t="s">
        <v>20</v>
      </c>
      <c r="F1046" s="504" t="s">
        <v>2216</v>
      </c>
      <c r="G1046" s="509" t="s">
        <v>184</v>
      </c>
      <c r="H1046" s="589">
        <v>746.45659999999998</v>
      </c>
      <c r="I1046" s="509">
        <v>1</v>
      </c>
      <c r="J1046" s="589">
        <v>746.45659999999998</v>
      </c>
      <c r="K1046" s="589">
        <v>746.45659999999998</v>
      </c>
      <c r="L1046" s="509">
        <v>1</v>
      </c>
      <c r="M1046" s="589">
        <v>746.45659999999998</v>
      </c>
      <c r="N1046" s="6" t="s">
        <v>2220</v>
      </c>
      <c r="O1046" s="510">
        <v>45813</v>
      </c>
      <c r="P1046" s="506" t="str">
        <f>HYPERLINK("https://my.zakupivli.pro/remote/dispatcher/state_purchase_view/59904811", "UA-2025-06-05-004619-a")</f>
        <v>UA-2025-06-05-004619-a</v>
      </c>
      <c r="Q1046" s="512">
        <v>746.45659999999998</v>
      </c>
      <c r="R1046" s="509">
        <v>1</v>
      </c>
      <c r="S1046" s="512">
        <v>746.45659999999998</v>
      </c>
      <c r="T1046" s="510">
        <v>45813</v>
      </c>
      <c r="U1046" s="504"/>
      <c r="V1046" s="509" t="s">
        <v>59</v>
      </c>
    </row>
    <row r="1047" spans="1:22" ht="62.4" x14ac:dyDescent="0.3">
      <c r="A1047" s="509">
        <v>1041</v>
      </c>
      <c r="B1047" s="509" t="s">
        <v>40</v>
      </c>
      <c r="C1047" s="520" t="s">
        <v>884</v>
      </c>
      <c r="D1047" s="504"/>
      <c r="E1047" s="509" t="s">
        <v>20</v>
      </c>
      <c r="F1047" s="504" t="s">
        <v>2217</v>
      </c>
      <c r="G1047" s="509" t="s">
        <v>184</v>
      </c>
      <c r="H1047" s="589">
        <v>97.23442</v>
      </c>
      <c r="I1047" s="509">
        <v>1</v>
      </c>
      <c r="J1047" s="589">
        <v>97.23442</v>
      </c>
      <c r="K1047" s="589">
        <v>97.23442</v>
      </c>
      <c r="L1047" s="509">
        <v>1</v>
      </c>
      <c r="M1047" s="589">
        <v>97.23442</v>
      </c>
      <c r="N1047" s="6" t="s">
        <v>2221</v>
      </c>
      <c r="O1047" s="510">
        <v>45813</v>
      </c>
      <c r="P1047" s="506" t="str">
        <f>HYPERLINK("https://my.zakupivli.pro/remote/dispatcher/state_purchase_view/59900219", "UA-2025-06-05-002438-a")</f>
        <v>UA-2025-06-05-002438-a</v>
      </c>
      <c r="Q1047" s="512">
        <v>97.23442</v>
      </c>
      <c r="R1047" s="509">
        <v>1</v>
      </c>
      <c r="S1047" s="512">
        <v>97.23442</v>
      </c>
      <c r="T1047" s="505">
        <v>45812</v>
      </c>
      <c r="U1047" s="504"/>
      <c r="V1047" s="509" t="s">
        <v>59</v>
      </c>
    </row>
    <row r="1048" spans="1:22" ht="78" x14ac:dyDescent="0.3">
      <c r="A1048" s="509">
        <v>1042</v>
      </c>
      <c r="B1048" s="509" t="s">
        <v>40</v>
      </c>
      <c r="C1048" s="520" t="s">
        <v>884</v>
      </c>
      <c r="D1048" s="504"/>
      <c r="E1048" s="509" t="s">
        <v>20</v>
      </c>
      <c r="F1048" s="504" t="s">
        <v>2218</v>
      </c>
      <c r="G1048" s="509" t="s">
        <v>184</v>
      </c>
      <c r="H1048" s="589">
        <v>141.28307000000001</v>
      </c>
      <c r="I1048" s="509">
        <v>1</v>
      </c>
      <c r="J1048" s="589">
        <v>141.28307000000001</v>
      </c>
      <c r="K1048" s="589">
        <v>141.28307000000001</v>
      </c>
      <c r="L1048" s="509">
        <v>1</v>
      </c>
      <c r="M1048" s="589">
        <v>141.28307000000001</v>
      </c>
      <c r="N1048" s="6" t="s">
        <v>2222</v>
      </c>
      <c r="O1048" s="510">
        <v>45813</v>
      </c>
      <c r="P1048" s="506" t="str">
        <f>HYPERLINK("https://my.zakupivli.pro/remote/dispatcher/state_purchase_view/59899840", "UA-2025-06-05-002216-a")</f>
        <v>UA-2025-06-05-002216-a</v>
      </c>
      <c r="Q1048" s="512">
        <v>141.28307000000001</v>
      </c>
      <c r="R1048" s="509">
        <v>1</v>
      </c>
      <c r="S1048" s="512">
        <v>141.28307000000001</v>
      </c>
      <c r="T1048" s="510">
        <v>45812</v>
      </c>
      <c r="U1048" s="504"/>
      <c r="V1048" s="509" t="s">
        <v>59</v>
      </c>
    </row>
    <row r="1049" spans="1:22" ht="62.4" x14ac:dyDescent="0.3">
      <c r="A1049" s="509">
        <v>1043</v>
      </c>
      <c r="B1049" s="509" t="s">
        <v>40</v>
      </c>
      <c r="C1049" s="520" t="s">
        <v>41</v>
      </c>
      <c r="D1049" s="504"/>
      <c r="E1049" s="509" t="s">
        <v>20</v>
      </c>
      <c r="F1049" s="504" t="s">
        <v>2219</v>
      </c>
      <c r="G1049" s="509" t="s">
        <v>184</v>
      </c>
      <c r="H1049" s="589">
        <v>85.734560000000002</v>
      </c>
      <c r="I1049" s="509">
        <v>1</v>
      </c>
      <c r="J1049" s="589">
        <v>85.734560000000002</v>
      </c>
      <c r="K1049" s="589">
        <v>85.734560000000002</v>
      </c>
      <c r="L1049" s="509">
        <v>1</v>
      </c>
      <c r="M1049" s="589">
        <v>85.734560000000002</v>
      </c>
      <c r="N1049" s="6" t="s">
        <v>2223</v>
      </c>
      <c r="O1049" s="514">
        <v>45813</v>
      </c>
      <c r="P1049" s="506" t="str">
        <f>HYPERLINK("https://my.zakupivli.pro/remote/dispatcher/state_purchase_view/59899535", "UA-2025-06-05-002120-a")</f>
        <v>UA-2025-06-05-002120-a</v>
      </c>
      <c r="Q1049" s="512">
        <v>85.734560000000002</v>
      </c>
      <c r="R1049" s="509">
        <v>1</v>
      </c>
      <c r="S1049" s="512">
        <v>85.734560000000002</v>
      </c>
      <c r="T1049" s="510">
        <v>45812</v>
      </c>
      <c r="U1049" s="504"/>
      <c r="V1049" s="509" t="s">
        <v>59</v>
      </c>
    </row>
    <row r="1050" spans="1:22" ht="78" x14ac:dyDescent="0.3">
      <c r="A1050" s="517">
        <v>1044</v>
      </c>
      <c r="B1050" s="517" t="s">
        <v>40</v>
      </c>
      <c r="C1050" s="520" t="s">
        <v>884</v>
      </c>
      <c r="D1050" s="517"/>
      <c r="E1050" s="517" t="s">
        <v>20</v>
      </c>
      <c r="F1050" s="517" t="s">
        <v>2224</v>
      </c>
      <c r="G1050" s="517" t="s">
        <v>184</v>
      </c>
      <c r="H1050" s="589">
        <v>107.1581</v>
      </c>
      <c r="I1050" s="504">
        <v>1</v>
      </c>
      <c r="J1050" s="589">
        <v>107.1581</v>
      </c>
      <c r="K1050" s="589">
        <v>107.1581</v>
      </c>
      <c r="L1050" s="504">
        <v>1</v>
      </c>
      <c r="M1050" s="589">
        <v>107.1581</v>
      </c>
      <c r="N1050" s="6" t="s">
        <v>2226</v>
      </c>
      <c r="O1050" s="514">
        <v>45814</v>
      </c>
      <c r="P1050" s="506" t="str">
        <f>HYPERLINK("https://my.zakupivli.pro/remote/dispatcher/state_purchase_view/59941982", "UA-2025-06-06-006809-a")</f>
        <v>UA-2025-06-06-006809-a</v>
      </c>
      <c r="Q1050" s="513">
        <v>107.1581</v>
      </c>
      <c r="R1050" s="504">
        <v>1</v>
      </c>
      <c r="S1050" s="513">
        <v>107.1581</v>
      </c>
      <c r="T1050" s="505">
        <v>45813</v>
      </c>
      <c r="U1050" s="504"/>
      <c r="V1050" s="513" t="s">
        <v>59</v>
      </c>
    </row>
    <row r="1051" spans="1:22" ht="62.4" x14ac:dyDescent="0.3">
      <c r="A1051" s="517">
        <v>1045</v>
      </c>
      <c r="B1051" s="517" t="s">
        <v>40</v>
      </c>
      <c r="C1051" s="520" t="s">
        <v>884</v>
      </c>
      <c r="D1051" s="517"/>
      <c r="E1051" s="517" t="s">
        <v>20</v>
      </c>
      <c r="F1051" s="517" t="s">
        <v>2225</v>
      </c>
      <c r="G1051" s="517" t="s">
        <v>184</v>
      </c>
      <c r="H1051" s="589">
        <v>274.34199999999998</v>
      </c>
      <c r="I1051" s="504">
        <v>1</v>
      </c>
      <c r="J1051" s="589">
        <v>274.34199999999998</v>
      </c>
      <c r="K1051" s="589">
        <v>274.34199999999998</v>
      </c>
      <c r="L1051" s="504">
        <v>1</v>
      </c>
      <c r="M1051" s="589">
        <v>274.34199999999998</v>
      </c>
      <c r="N1051" s="6" t="s">
        <v>2227</v>
      </c>
      <c r="O1051" s="518">
        <v>45814</v>
      </c>
      <c r="P1051" s="522" t="str">
        <f>HYPERLINK("https://my.zakupivli.pro/remote/dispatcher/state_purchase_view/59941599", "UA-2025-06-06-006663-a")</f>
        <v>UA-2025-06-06-006663-a</v>
      </c>
      <c r="Q1051" s="517">
        <v>274.34199999999998</v>
      </c>
      <c r="R1051" s="504">
        <v>1</v>
      </c>
      <c r="S1051" s="513">
        <v>274.34199999999998</v>
      </c>
      <c r="T1051" s="514">
        <v>45813</v>
      </c>
      <c r="U1051" s="504"/>
      <c r="V1051" s="513" t="s">
        <v>59</v>
      </c>
    </row>
    <row r="1052" spans="1:22" ht="90" x14ac:dyDescent="0.3">
      <c r="A1052" s="517">
        <v>1046</v>
      </c>
      <c r="B1052" s="517" t="s">
        <v>40</v>
      </c>
      <c r="C1052" s="44" t="s">
        <v>884</v>
      </c>
      <c r="D1052" s="517"/>
      <c r="E1052" s="517" t="s">
        <v>20</v>
      </c>
      <c r="F1052" s="521" t="s">
        <v>2233</v>
      </c>
      <c r="G1052" s="517" t="s">
        <v>184</v>
      </c>
      <c r="H1052" s="589">
        <v>5483.4449999999997</v>
      </c>
      <c r="I1052" s="517">
        <v>1</v>
      </c>
      <c r="J1052" s="589">
        <v>5483.4449999999997</v>
      </c>
      <c r="K1052" s="589">
        <v>5483.4449999999997</v>
      </c>
      <c r="L1052" s="517">
        <v>1</v>
      </c>
      <c r="M1052" s="589">
        <v>5483.4449999999997</v>
      </c>
      <c r="N1052" s="6" t="s">
        <v>2241</v>
      </c>
      <c r="O1052" s="518">
        <v>45820</v>
      </c>
      <c r="P1052" s="522" t="str">
        <f>HYPERLINK("https://my.zakupivli.pro/remote/dispatcher/state_purchase_view/60071327", "UA-2025-06-12-012234-a")</f>
        <v>UA-2025-06-12-012234-a</v>
      </c>
      <c r="Q1052" s="549" t="s">
        <v>2338</v>
      </c>
      <c r="R1052" s="549">
        <v>1</v>
      </c>
      <c r="S1052" s="549" t="s">
        <v>2338</v>
      </c>
      <c r="T1052" s="550">
        <v>45853</v>
      </c>
      <c r="U1052" s="549"/>
      <c r="V1052" s="549"/>
    </row>
    <row r="1053" spans="1:22" ht="120" x14ac:dyDescent="0.3">
      <c r="A1053" s="517">
        <v>1047</v>
      </c>
      <c r="B1053" s="517" t="s">
        <v>40</v>
      </c>
      <c r="C1053" s="44" t="s">
        <v>41</v>
      </c>
      <c r="D1053" s="517"/>
      <c r="E1053" s="517" t="s">
        <v>20</v>
      </c>
      <c r="F1053" s="521" t="s">
        <v>2234</v>
      </c>
      <c r="G1053" s="517" t="s">
        <v>184</v>
      </c>
      <c r="H1053" s="589">
        <v>10657.272499999999</v>
      </c>
      <c r="I1053" s="517">
        <v>1</v>
      </c>
      <c r="J1053" s="589">
        <v>10657.272499999999</v>
      </c>
      <c r="K1053" s="589">
        <v>10657.272499999999</v>
      </c>
      <c r="L1053" s="517">
        <v>1</v>
      </c>
      <c r="M1053" s="589">
        <v>10657.272499999999</v>
      </c>
      <c r="N1053" s="6" t="s">
        <v>2242</v>
      </c>
      <c r="O1053" s="518">
        <v>45820</v>
      </c>
      <c r="P1053" s="522" t="str">
        <f>HYPERLINK("https://my.zakupivli.pro/remote/dispatcher/state_purchase_view/60070202", "UA-2025-06-12-011681-a")</f>
        <v>UA-2025-06-12-011681-a</v>
      </c>
      <c r="Q1053" s="549" t="s">
        <v>2339</v>
      </c>
      <c r="R1053" s="549">
        <v>1</v>
      </c>
      <c r="S1053" s="549" t="s">
        <v>2339</v>
      </c>
      <c r="T1053" s="550">
        <v>45849</v>
      </c>
      <c r="U1053" s="549"/>
      <c r="V1053" s="549"/>
    </row>
    <row r="1054" spans="1:22" ht="105" x14ac:dyDescent="0.3">
      <c r="A1054" s="517">
        <v>1048</v>
      </c>
      <c r="B1054" s="517" t="s">
        <v>40</v>
      </c>
      <c r="C1054" s="44" t="s">
        <v>41</v>
      </c>
      <c r="D1054" s="517"/>
      <c r="E1054" s="517" t="s">
        <v>20</v>
      </c>
      <c r="F1054" s="521" t="s">
        <v>2235</v>
      </c>
      <c r="G1054" s="517" t="s">
        <v>184</v>
      </c>
      <c r="H1054" s="589">
        <v>6530.3549999999996</v>
      </c>
      <c r="I1054" s="517">
        <v>1</v>
      </c>
      <c r="J1054" s="589">
        <v>6530.3549999999996</v>
      </c>
      <c r="K1054" s="589">
        <v>6530.3549999999996</v>
      </c>
      <c r="L1054" s="517">
        <v>1</v>
      </c>
      <c r="M1054" s="589">
        <v>6530.3549999999996</v>
      </c>
      <c r="N1054" s="6" t="s">
        <v>2243</v>
      </c>
      <c r="O1054" s="518">
        <v>45820</v>
      </c>
      <c r="P1054" s="522" t="str">
        <f>HYPERLINK("https://my.zakupivli.pro/remote/dispatcher/state_purchase_view/60068731", "UA-2025-06-12-011075-a")</f>
        <v>UA-2025-06-12-011075-a</v>
      </c>
      <c r="Q1054" s="549" t="s">
        <v>2340</v>
      </c>
      <c r="R1054" s="549">
        <v>1</v>
      </c>
      <c r="S1054" s="549" t="s">
        <v>2340</v>
      </c>
      <c r="T1054" s="550">
        <v>45849</v>
      </c>
      <c r="U1054" s="549"/>
      <c r="V1054" s="549"/>
    </row>
    <row r="1055" spans="1:22" ht="120" x14ac:dyDescent="0.3">
      <c r="A1055" s="517">
        <v>1049</v>
      </c>
      <c r="B1055" s="517" t="s">
        <v>40</v>
      </c>
      <c r="C1055" s="44" t="s">
        <v>884</v>
      </c>
      <c r="D1055" s="517"/>
      <c r="E1055" s="517" t="s">
        <v>20</v>
      </c>
      <c r="F1055" s="521" t="s">
        <v>2236</v>
      </c>
      <c r="G1055" s="517" t="s">
        <v>184</v>
      </c>
      <c r="H1055" s="589">
        <v>4455.6668330000002</v>
      </c>
      <c r="I1055" s="517">
        <v>1</v>
      </c>
      <c r="J1055" s="589">
        <v>4455.6668330000002</v>
      </c>
      <c r="K1055" s="589">
        <v>4455.6668330000002</v>
      </c>
      <c r="L1055" s="517">
        <v>1</v>
      </c>
      <c r="M1055" s="589">
        <v>4455.6668330000002</v>
      </c>
      <c r="N1055" s="6" t="s">
        <v>2244</v>
      </c>
      <c r="O1055" s="518">
        <v>45820</v>
      </c>
      <c r="P1055" s="522" t="str">
        <f>HYPERLINK("https://my.zakupivli.pro/remote/dispatcher/state_purchase_view/60068496", "UA-2025-06-12-010920-a")</f>
        <v>UA-2025-06-12-010920-a</v>
      </c>
      <c r="Q1055" s="549" t="s">
        <v>2341</v>
      </c>
      <c r="R1055" s="549">
        <v>1</v>
      </c>
      <c r="S1055" s="549" t="s">
        <v>2341</v>
      </c>
      <c r="T1055" s="550">
        <v>45853</v>
      </c>
      <c r="U1055" s="549"/>
      <c r="V1055" s="549"/>
    </row>
    <row r="1056" spans="1:22" ht="90" x14ac:dyDescent="0.3">
      <c r="A1056" s="517">
        <v>1050</v>
      </c>
      <c r="B1056" s="517" t="s">
        <v>40</v>
      </c>
      <c r="C1056" s="44" t="s">
        <v>884</v>
      </c>
      <c r="D1056" s="517"/>
      <c r="E1056" s="517" t="s">
        <v>20</v>
      </c>
      <c r="F1056" s="521" t="s">
        <v>2228</v>
      </c>
      <c r="G1056" s="517" t="s">
        <v>184</v>
      </c>
      <c r="H1056" s="589">
        <v>827.37414200000001</v>
      </c>
      <c r="I1056" s="517">
        <v>1</v>
      </c>
      <c r="J1056" s="589">
        <v>827.37414200000001</v>
      </c>
      <c r="K1056" s="589">
        <v>827.37414200000001</v>
      </c>
      <c r="L1056" s="517">
        <v>1</v>
      </c>
      <c r="M1056" s="589">
        <v>827.37414200000001</v>
      </c>
      <c r="N1056" s="6" t="s">
        <v>2245</v>
      </c>
      <c r="O1056" s="518">
        <v>45820</v>
      </c>
      <c r="P1056" s="522" t="str">
        <f>HYPERLINK("https://my.zakupivli.pro/remote/dispatcher/state_purchase_view/60064231", "UA-2025-06-12-008984-a")</f>
        <v>UA-2025-06-12-008984-a</v>
      </c>
      <c r="Q1056" s="517">
        <v>827.37414200000001</v>
      </c>
      <c r="R1056" s="517">
        <v>1</v>
      </c>
      <c r="S1056" s="517">
        <v>827.37414200000001</v>
      </c>
      <c r="T1056" s="505">
        <v>45820</v>
      </c>
      <c r="U1056" s="504"/>
      <c r="V1056" s="517" t="s">
        <v>59</v>
      </c>
    </row>
    <row r="1057" spans="1:22" ht="90" x14ac:dyDescent="0.3">
      <c r="A1057" s="517">
        <v>1051</v>
      </c>
      <c r="B1057" s="517" t="s">
        <v>40</v>
      </c>
      <c r="C1057" s="44" t="s">
        <v>884</v>
      </c>
      <c r="D1057" s="517"/>
      <c r="E1057" s="517" t="s">
        <v>20</v>
      </c>
      <c r="F1057" s="521" t="s">
        <v>2229</v>
      </c>
      <c r="G1057" s="517" t="s">
        <v>184</v>
      </c>
      <c r="H1057" s="589">
        <v>78.694450000000003</v>
      </c>
      <c r="I1057" s="517">
        <v>1</v>
      </c>
      <c r="J1057" s="589">
        <v>78.694450000000003</v>
      </c>
      <c r="K1057" s="589">
        <v>78.694450000000003</v>
      </c>
      <c r="L1057" s="517">
        <v>1</v>
      </c>
      <c r="M1057" s="589">
        <v>78.694450000000003</v>
      </c>
      <c r="N1057" s="6" t="s">
        <v>2246</v>
      </c>
      <c r="O1057" s="518">
        <v>45820</v>
      </c>
      <c r="P1057" s="522" t="str">
        <f>HYPERLINK("https://my.zakupivli.pro/remote/dispatcher/state_purchase_view/60063461", "UA-2025-06-12-008628-a")</f>
        <v>UA-2025-06-12-008628-a</v>
      </c>
      <c r="Q1057" s="517">
        <v>78.694450000000003</v>
      </c>
      <c r="R1057" s="517">
        <v>1</v>
      </c>
      <c r="S1057" s="517">
        <v>78.694450000000003</v>
      </c>
      <c r="T1057" s="518">
        <v>45820</v>
      </c>
      <c r="U1057" s="504"/>
      <c r="V1057" s="517" t="s">
        <v>59</v>
      </c>
    </row>
    <row r="1058" spans="1:22" ht="75" x14ac:dyDescent="0.3">
      <c r="A1058" s="517">
        <v>1052</v>
      </c>
      <c r="B1058" s="517" t="s">
        <v>40</v>
      </c>
      <c r="C1058" s="44" t="s">
        <v>884</v>
      </c>
      <c r="D1058" s="517"/>
      <c r="E1058" s="517" t="s">
        <v>20</v>
      </c>
      <c r="F1058" s="521" t="s">
        <v>2230</v>
      </c>
      <c r="G1058" s="517" t="s">
        <v>184</v>
      </c>
      <c r="H1058" s="589">
        <v>290.64371699999998</v>
      </c>
      <c r="I1058" s="517">
        <v>1</v>
      </c>
      <c r="J1058" s="589">
        <v>290.64371699999998</v>
      </c>
      <c r="K1058" s="589">
        <v>290.64371699999998</v>
      </c>
      <c r="L1058" s="517">
        <v>1</v>
      </c>
      <c r="M1058" s="589">
        <v>290.64371699999998</v>
      </c>
      <c r="N1058" s="6" t="s">
        <v>2247</v>
      </c>
      <c r="O1058" s="518">
        <v>45820</v>
      </c>
      <c r="P1058" s="522" t="str">
        <f>HYPERLINK("https://my.zakupivli.pro/remote/dispatcher/state_purchase_view/60062964", "UA-2025-06-12-008425-a")</f>
        <v>UA-2025-06-12-008425-a</v>
      </c>
      <c r="Q1058" s="517">
        <v>290.64371699999998</v>
      </c>
      <c r="R1058" s="517">
        <v>1</v>
      </c>
      <c r="S1058" s="517">
        <v>290.64371699999998</v>
      </c>
      <c r="T1058" s="518">
        <v>45820</v>
      </c>
      <c r="U1058" s="504"/>
      <c r="V1058" s="517" t="s">
        <v>59</v>
      </c>
    </row>
    <row r="1059" spans="1:22" ht="62.4" x14ac:dyDescent="0.3">
      <c r="A1059" s="517">
        <v>1053</v>
      </c>
      <c r="B1059" s="517" t="s">
        <v>40</v>
      </c>
      <c r="C1059" s="44" t="s">
        <v>73</v>
      </c>
      <c r="D1059" s="517"/>
      <c r="E1059" s="517" t="s">
        <v>75</v>
      </c>
      <c r="F1059" s="521" t="s">
        <v>2231</v>
      </c>
      <c r="G1059" s="517" t="s">
        <v>184</v>
      </c>
      <c r="H1059" s="589">
        <v>132.6986</v>
      </c>
      <c r="I1059" s="517">
        <v>1</v>
      </c>
      <c r="J1059" s="589">
        <v>132.6986</v>
      </c>
      <c r="K1059" s="589">
        <v>132.6986</v>
      </c>
      <c r="L1059" s="517">
        <v>1</v>
      </c>
      <c r="M1059" s="589">
        <v>132.6986</v>
      </c>
      <c r="N1059" s="6" t="s">
        <v>2248</v>
      </c>
      <c r="O1059" s="518">
        <v>45820</v>
      </c>
      <c r="P1059" s="522" t="str">
        <f>HYPERLINK("https://my.zakupivli.pro/remote/dispatcher/state_purchase_view/60047891", "UA-2025-06-12-001850-a")</f>
        <v>UA-2025-06-12-001850-a</v>
      </c>
      <c r="Q1059" s="517">
        <v>132.6986</v>
      </c>
      <c r="R1059" s="517">
        <v>1</v>
      </c>
      <c r="S1059" s="517">
        <v>132.6986</v>
      </c>
      <c r="T1059" s="505">
        <v>45819</v>
      </c>
      <c r="U1059" s="504"/>
      <c r="V1059" s="517" t="s">
        <v>59</v>
      </c>
    </row>
    <row r="1060" spans="1:22" ht="62.4" x14ac:dyDescent="0.3">
      <c r="A1060" s="517">
        <v>1054</v>
      </c>
      <c r="B1060" s="517" t="s">
        <v>40</v>
      </c>
      <c r="C1060" s="44" t="s">
        <v>73</v>
      </c>
      <c r="D1060" s="517"/>
      <c r="E1060" s="517" t="s">
        <v>75</v>
      </c>
      <c r="F1060" s="521" t="s">
        <v>2232</v>
      </c>
      <c r="G1060" s="517" t="s">
        <v>184</v>
      </c>
      <c r="H1060" s="589">
        <v>225.87713299999999</v>
      </c>
      <c r="I1060" s="517">
        <v>1</v>
      </c>
      <c r="J1060" s="589">
        <v>225.87713299999999</v>
      </c>
      <c r="K1060" s="589">
        <v>225.87713299999999</v>
      </c>
      <c r="L1060" s="517">
        <v>1</v>
      </c>
      <c r="M1060" s="589">
        <v>225.87713299999999</v>
      </c>
      <c r="N1060" s="6" t="s">
        <v>2249</v>
      </c>
      <c r="O1060" s="518">
        <v>45820</v>
      </c>
      <c r="P1060" s="522" t="str">
        <f>HYPERLINK("https://my.zakupivli.pro/remote/dispatcher/state_purchase_view/60047433", "UA-2025-06-12-001669-a")</f>
        <v>UA-2025-06-12-001669-a</v>
      </c>
      <c r="Q1060" s="517">
        <v>225.87713299999999</v>
      </c>
      <c r="R1060" s="517">
        <v>1</v>
      </c>
      <c r="S1060" s="517">
        <v>225.87713299999999</v>
      </c>
      <c r="T1060" s="518">
        <v>45819</v>
      </c>
      <c r="U1060" s="504"/>
      <c r="V1060" s="517" t="s">
        <v>59</v>
      </c>
    </row>
    <row r="1061" spans="1:22" ht="105" x14ac:dyDescent="0.3">
      <c r="A1061" s="517">
        <v>1055</v>
      </c>
      <c r="B1061" s="517" t="s">
        <v>40</v>
      </c>
      <c r="C1061" s="44" t="s">
        <v>41</v>
      </c>
      <c r="D1061" s="517"/>
      <c r="E1061" s="517" t="s">
        <v>20</v>
      </c>
      <c r="F1061" s="521" t="s">
        <v>2237</v>
      </c>
      <c r="G1061" s="517" t="s">
        <v>184</v>
      </c>
      <c r="H1061" s="589">
        <v>3017.02</v>
      </c>
      <c r="I1061" s="517">
        <v>1</v>
      </c>
      <c r="J1061" s="589">
        <v>3017.02</v>
      </c>
      <c r="K1061" s="589">
        <v>3017.02</v>
      </c>
      <c r="L1061" s="517">
        <v>1</v>
      </c>
      <c r="M1061" s="589">
        <v>3017.02</v>
      </c>
      <c r="N1061" s="6" t="s">
        <v>2250</v>
      </c>
      <c r="O1061" s="518">
        <v>45820</v>
      </c>
      <c r="P1061" s="522" t="str">
        <f>HYPERLINK("https://my.zakupivli.pro/remote/dispatcher/state_purchase_view/60044483", "UA-2025-06-12-000344-a")</f>
        <v>UA-2025-06-12-000344-a</v>
      </c>
      <c r="Q1061" s="549" t="s">
        <v>2342</v>
      </c>
      <c r="R1061" s="549">
        <v>1</v>
      </c>
      <c r="S1061" s="549" t="s">
        <v>2342</v>
      </c>
      <c r="T1061" s="550">
        <v>45849</v>
      </c>
      <c r="U1061" s="549"/>
      <c r="V1061" s="549"/>
    </row>
    <row r="1062" spans="1:22" ht="90" x14ac:dyDescent="0.3">
      <c r="A1062" s="517">
        <v>1056</v>
      </c>
      <c r="B1062" s="517" t="s">
        <v>40</v>
      </c>
      <c r="C1062" s="44" t="s">
        <v>884</v>
      </c>
      <c r="D1062" s="517"/>
      <c r="E1062" s="517" t="s">
        <v>20</v>
      </c>
      <c r="F1062" s="521" t="s">
        <v>2238</v>
      </c>
      <c r="G1062" s="517" t="s">
        <v>184</v>
      </c>
      <c r="H1062" s="589">
        <v>2438.3141700000001</v>
      </c>
      <c r="I1062" s="517">
        <v>1</v>
      </c>
      <c r="J1062" s="589">
        <v>2438.3141700000001</v>
      </c>
      <c r="K1062" s="589">
        <v>2438.3141700000001</v>
      </c>
      <c r="L1062" s="517">
        <v>1</v>
      </c>
      <c r="M1062" s="589">
        <v>2438.3141700000001</v>
      </c>
      <c r="N1062" s="6" t="s">
        <v>2251</v>
      </c>
      <c r="O1062" s="518">
        <v>45820</v>
      </c>
      <c r="P1062" s="522" t="str">
        <f>HYPERLINK("https://my.zakupivli.pro/remote/dispatcher/state_purchase_view/60044375", "UA-2025-06-12-000284-a")</f>
        <v>UA-2025-06-12-000284-a</v>
      </c>
      <c r="Q1062" s="549" t="s">
        <v>2343</v>
      </c>
      <c r="R1062" s="549">
        <v>1</v>
      </c>
      <c r="S1062" s="549" t="s">
        <v>2343</v>
      </c>
      <c r="T1062" s="550">
        <v>45849</v>
      </c>
      <c r="U1062" s="549"/>
      <c r="V1062" s="549"/>
    </row>
    <row r="1063" spans="1:22" ht="105" x14ac:dyDescent="0.3">
      <c r="A1063" s="517">
        <v>1057</v>
      </c>
      <c r="B1063" s="517" t="s">
        <v>40</v>
      </c>
      <c r="C1063" s="44" t="s">
        <v>41</v>
      </c>
      <c r="D1063" s="517"/>
      <c r="E1063" s="517" t="s">
        <v>20</v>
      </c>
      <c r="F1063" s="521" t="s">
        <v>2239</v>
      </c>
      <c r="G1063" s="517" t="s">
        <v>184</v>
      </c>
      <c r="H1063" s="589">
        <v>6338.2674999999999</v>
      </c>
      <c r="I1063" s="517">
        <v>1</v>
      </c>
      <c r="J1063" s="589">
        <v>6338.2674999999999</v>
      </c>
      <c r="K1063" s="589">
        <v>6338.2674999999999</v>
      </c>
      <c r="L1063" s="517">
        <v>1</v>
      </c>
      <c r="M1063" s="589">
        <v>6338.2674999999999</v>
      </c>
      <c r="N1063" s="6" t="s">
        <v>2252</v>
      </c>
      <c r="O1063" s="518">
        <v>45820</v>
      </c>
      <c r="P1063" s="522" t="str">
        <f>HYPERLINK("https://my.zakupivli.pro/remote/dispatcher/state_purchase_view/60044361", "UA-2025-06-12-000279-a")</f>
        <v>UA-2025-06-12-000279-a</v>
      </c>
      <c r="Q1063" s="549">
        <v>6333.2538199999999</v>
      </c>
      <c r="R1063" s="549">
        <v>1</v>
      </c>
      <c r="S1063" s="549">
        <v>6333.2538199999999</v>
      </c>
      <c r="T1063" s="550">
        <v>45849</v>
      </c>
      <c r="U1063" s="549"/>
      <c r="V1063" s="549"/>
    </row>
    <row r="1064" spans="1:22" ht="105" x14ac:dyDescent="0.3">
      <c r="A1064" s="517">
        <v>1058</v>
      </c>
      <c r="B1064" s="517" t="s">
        <v>40</v>
      </c>
      <c r="C1064" s="44" t="s">
        <v>884</v>
      </c>
      <c r="D1064" s="517"/>
      <c r="E1064" s="517" t="s">
        <v>20</v>
      </c>
      <c r="F1064" s="521" t="s">
        <v>2240</v>
      </c>
      <c r="G1064" s="517" t="s">
        <v>184</v>
      </c>
      <c r="H1064" s="589">
        <v>14608.5708</v>
      </c>
      <c r="I1064" s="517">
        <v>1</v>
      </c>
      <c r="J1064" s="589">
        <v>14608.5708</v>
      </c>
      <c r="K1064" s="589">
        <v>14608.5708</v>
      </c>
      <c r="L1064" s="517">
        <v>1</v>
      </c>
      <c r="M1064" s="589">
        <v>14608.5708</v>
      </c>
      <c r="N1064" s="6" t="s">
        <v>2253</v>
      </c>
      <c r="O1064" s="519">
        <v>45820</v>
      </c>
      <c r="P1064" s="120" t="str">
        <f>HYPERLINK("https://my.zakupivli.pro/remote/dispatcher/state_purchase_view/60044037", "UA-2025-06-12-000131-a")</f>
        <v>UA-2025-06-12-000131-a</v>
      </c>
      <c r="Q1064" s="549" t="s">
        <v>2344</v>
      </c>
      <c r="R1064" s="549">
        <v>1</v>
      </c>
      <c r="S1064" s="549" t="s">
        <v>2344</v>
      </c>
      <c r="T1064" s="550">
        <v>45849</v>
      </c>
      <c r="U1064" s="549"/>
      <c r="V1064" s="549"/>
    </row>
    <row r="1065" spans="1:22" ht="93.6" x14ac:dyDescent="0.3">
      <c r="A1065" s="520">
        <v>1059</v>
      </c>
      <c r="B1065" s="520" t="s">
        <v>40</v>
      </c>
      <c r="C1065" s="520" t="s">
        <v>884</v>
      </c>
      <c r="D1065" s="504"/>
      <c r="E1065" s="520" t="s">
        <v>20</v>
      </c>
      <c r="F1065" s="504" t="s">
        <v>2254</v>
      </c>
      <c r="G1065" s="520" t="s">
        <v>184</v>
      </c>
      <c r="H1065" s="589">
        <v>235.54607999999999</v>
      </c>
      <c r="I1065" s="520">
        <v>1</v>
      </c>
      <c r="J1065" s="589">
        <v>235.54607999999999</v>
      </c>
      <c r="K1065" s="589">
        <v>235.54607999999999</v>
      </c>
      <c r="L1065" s="520">
        <v>1</v>
      </c>
      <c r="M1065" s="589">
        <v>235.54607999999999</v>
      </c>
      <c r="N1065" s="6" t="s">
        <v>2258</v>
      </c>
      <c r="O1065" s="519">
        <v>45826</v>
      </c>
      <c r="P1065" s="33" t="str">
        <f>HYPERLINK("https://my.zakupivli.pro/remote/dispatcher/state_purchase_view/60193887", "UA-2025-06-18-011358-a")</f>
        <v>UA-2025-06-18-011358-a</v>
      </c>
      <c r="Q1065" s="520">
        <v>235.54607999999999</v>
      </c>
      <c r="R1065" s="520">
        <v>1</v>
      </c>
      <c r="S1065" s="520">
        <v>235.54607999999999</v>
      </c>
      <c r="T1065" s="519">
        <v>45826</v>
      </c>
      <c r="U1065" s="504"/>
      <c r="V1065" s="520" t="s">
        <v>59</v>
      </c>
    </row>
    <row r="1066" spans="1:22" ht="78" x14ac:dyDescent="0.3">
      <c r="A1066" s="520">
        <v>1060</v>
      </c>
      <c r="B1066" s="520" t="s">
        <v>40</v>
      </c>
      <c r="C1066" s="520" t="s">
        <v>884</v>
      </c>
      <c r="D1066" s="504"/>
      <c r="E1066" s="520" t="s">
        <v>20</v>
      </c>
      <c r="F1066" s="504" t="s">
        <v>2255</v>
      </c>
      <c r="G1066" s="520" t="s">
        <v>184</v>
      </c>
      <c r="H1066" s="589">
        <v>285.56797999999998</v>
      </c>
      <c r="I1066" s="520">
        <v>1</v>
      </c>
      <c r="J1066" s="589">
        <v>285.56797999999998</v>
      </c>
      <c r="K1066" s="589">
        <v>285.56797999999998</v>
      </c>
      <c r="L1066" s="520">
        <v>1</v>
      </c>
      <c r="M1066" s="589">
        <v>285.56797999999998</v>
      </c>
      <c r="N1066" s="6" t="s">
        <v>2259</v>
      </c>
      <c r="O1066" s="519">
        <v>45826</v>
      </c>
      <c r="P1066" s="33" t="str">
        <f>HYPERLINK("https://my.zakupivli.pro/remote/dispatcher/state_purchase_view/60193349", "UA-2025-06-18-011141-a")</f>
        <v>UA-2025-06-18-011141-a</v>
      </c>
      <c r="Q1066" s="520">
        <v>285.56797999999998</v>
      </c>
      <c r="R1066" s="520">
        <v>1</v>
      </c>
      <c r="S1066" s="520">
        <v>285.56797999999998</v>
      </c>
      <c r="T1066" s="519">
        <v>45826</v>
      </c>
      <c r="U1066" s="504"/>
      <c r="V1066" s="520" t="s">
        <v>59</v>
      </c>
    </row>
    <row r="1067" spans="1:22" ht="78" x14ac:dyDescent="0.3">
      <c r="A1067" s="520">
        <v>1061</v>
      </c>
      <c r="B1067" s="520" t="s">
        <v>40</v>
      </c>
      <c r="C1067" s="520" t="s">
        <v>884</v>
      </c>
      <c r="D1067" s="504"/>
      <c r="E1067" s="520" t="s">
        <v>20</v>
      </c>
      <c r="F1067" s="504" t="s">
        <v>2256</v>
      </c>
      <c r="G1067" s="520" t="s">
        <v>184</v>
      </c>
      <c r="H1067" s="589">
        <v>532.13455999999996</v>
      </c>
      <c r="I1067" s="520">
        <v>1</v>
      </c>
      <c r="J1067" s="589">
        <v>532.13455999999996</v>
      </c>
      <c r="K1067" s="589">
        <v>532.13455999999996</v>
      </c>
      <c r="L1067" s="520">
        <v>1</v>
      </c>
      <c r="M1067" s="589">
        <v>532.13455999999996</v>
      </c>
      <c r="N1067" s="6" t="s">
        <v>2260</v>
      </c>
      <c r="O1067" s="519">
        <v>45826</v>
      </c>
      <c r="P1067" s="33" t="str">
        <f>HYPERLINK("https://my.zakupivli.pro/remote/dispatcher/state_purchase_view/60193024", "UA-2025-06-18-010961-a")</f>
        <v>UA-2025-06-18-010961-a</v>
      </c>
      <c r="Q1067" s="520">
        <v>532.13455999999996</v>
      </c>
      <c r="R1067" s="520">
        <v>1</v>
      </c>
      <c r="S1067" s="520">
        <v>532.13455999999996</v>
      </c>
      <c r="T1067" s="519">
        <v>45826</v>
      </c>
      <c r="U1067" s="504"/>
      <c r="V1067" s="520" t="s">
        <v>59</v>
      </c>
    </row>
    <row r="1068" spans="1:22" ht="62.4" x14ac:dyDescent="0.3">
      <c r="A1068" s="520">
        <v>1062</v>
      </c>
      <c r="B1068" s="520" t="s">
        <v>40</v>
      </c>
      <c r="C1068" s="520" t="s">
        <v>884</v>
      </c>
      <c r="D1068" s="504"/>
      <c r="E1068" s="520" t="s">
        <v>20</v>
      </c>
      <c r="F1068" s="504" t="s">
        <v>2257</v>
      </c>
      <c r="G1068" s="520" t="s">
        <v>184</v>
      </c>
      <c r="H1068" s="589">
        <v>161.72523000000001</v>
      </c>
      <c r="I1068" s="520">
        <v>1</v>
      </c>
      <c r="J1068" s="589">
        <v>161.72523000000001</v>
      </c>
      <c r="K1068" s="589">
        <v>161.72523000000001</v>
      </c>
      <c r="L1068" s="520">
        <v>1</v>
      </c>
      <c r="M1068" s="589">
        <v>161.72523000000001</v>
      </c>
      <c r="N1068" s="6" t="s">
        <v>2261</v>
      </c>
      <c r="O1068" s="524">
        <v>45826</v>
      </c>
      <c r="P1068" s="33" t="str">
        <f>HYPERLINK("https://my.zakupivli.pro/remote/dispatcher/state_purchase_view/60168545", "UA-2025-06-18-000255-a")</f>
        <v>UA-2025-06-18-000255-a</v>
      </c>
      <c r="Q1068" s="523">
        <v>161.72523000000001</v>
      </c>
      <c r="R1068" s="520">
        <v>1</v>
      </c>
      <c r="S1068" s="520">
        <v>161.72523000000001</v>
      </c>
      <c r="T1068" s="519">
        <v>45824</v>
      </c>
      <c r="U1068" s="504"/>
      <c r="V1068" s="520" t="s">
        <v>59</v>
      </c>
    </row>
    <row r="1069" spans="1:22" ht="62.4" x14ac:dyDescent="0.3">
      <c r="A1069" s="523">
        <v>1063</v>
      </c>
      <c r="B1069" s="523" t="s">
        <v>40</v>
      </c>
      <c r="C1069" s="520" t="s">
        <v>41</v>
      </c>
      <c r="D1069" s="504"/>
      <c r="E1069" s="523" t="s">
        <v>20</v>
      </c>
      <c r="F1069" s="504" t="s">
        <v>2262</v>
      </c>
      <c r="G1069" s="523" t="s">
        <v>184</v>
      </c>
      <c r="H1069" s="589">
        <v>525.07153000000005</v>
      </c>
      <c r="I1069" s="523">
        <v>1</v>
      </c>
      <c r="J1069" s="589">
        <v>525.07153000000005</v>
      </c>
      <c r="K1069" s="589">
        <v>525.07153000000005</v>
      </c>
      <c r="L1069" s="523">
        <v>1</v>
      </c>
      <c r="M1069" s="589">
        <v>525.07153000000005</v>
      </c>
      <c r="N1069" s="6" t="s">
        <v>2269</v>
      </c>
      <c r="O1069" s="524">
        <v>45827</v>
      </c>
      <c r="P1069" s="33" t="str">
        <f>HYPERLINK("https://my.zakupivli.pro/remote/dispatcher/state_purchase_view/60216674", "UA-2025-06-19-007510-a")</f>
        <v>UA-2025-06-19-007510-a</v>
      </c>
      <c r="Q1069" s="523">
        <v>525.07153000000005</v>
      </c>
      <c r="R1069" s="523">
        <v>1</v>
      </c>
      <c r="S1069" s="523">
        <v>525.07153000000005</v>
      </c>
      <c r="T1069" s="505">
        <v>45826</v>
      </c>
      <c r="U1069" s="504"/>
      <c r="V1069" s="523" t="s">
        <v>59</v>
      </c>
    </row>
    <row r="1070" spans="1:22" ht="78" x14ac:dyDescent="0.3">
      <c r="A1070" s="523">
        <v>1064</v>
      </c>
      <c r="B1070" s="523" t="s">
        <v>40</v>
      </c>
      <c r="C1070" s="523" t="s">
        <v>884</v>
      </c>
      <c r="D1070" s="523"/>
      <c r="E1070" s="523" t="s">
        <v>20</v>
      </c>
      <c r="F1070" s="523" t="s">
        <v>2263</v>
      </c>
      <c r="G1070" s="523" t="s">
        <v>184</v>
      </c>
      <c r="H1070" s="589">
        <v>589.04088000000002</v>
      </c>
      <c r="I1070" s="523">
        <v>1</v>
      </c>
      <c r="J1070" s="589">
        <v>589.04088000000002</v>
      </c>
      <c r="K1070" s="589">
        <v>589.04088000000002</v>
      </c>
      <c r="L1070" s="523">
        <v>1</v>
      </c>
      <c r="M1070" s="589">
        <v>589.04088000000002</v>
      </c>
      <c r="N1070" s="6" t="s">
        <v>2270</v>
      </c>
      <c r="O1070" s="524">
        <v>45827</v>
      </c>
      <c r="P1070" s="33" t="str">
        <f>HYPERLINK("https://my.zakupivli.pro/remote/dispatcher/state_purchase_view/60216127", "UA-2025-06-19-007258-a")</f>
        <v>UA-2025-06-19-007258-a</v>
      </c>
      <c r="Q1070" s="523">
        <v>589.04088000000002</v>
      </c>
      <c r="R1070" s="523">
        <v>1</v>
      </c>
      <c r="S1070" s="523">
        <v>589.04088000000002</v>
      </c>
      <c r="T1070" s="524">
        <v>45826</v>
      </c>
      <c r="U1070" s="523"/>
      <c r="V1070" s="523" t="s">
        <v>59</v>
      </c>
    </row>
    <row r="1071" spans="1:22" ht="62.4" x14ac:dyDescent="0.3">
      <c r="A1071" s="523">
        <v>1065</v>
      </c>
      <c r="B1071" s="523" t="s">
        <v>40</v>
      </c>
      <c r="C1071" s="523" t="s">
        <v>884</v>
      </c>
      <c r="D1071" s="523"/>
      <c r="E1071" s="523" t="s">
        <v>20</v>
      </c>
      <c r="F1071" s="523" t="s">
        <v>2264</v>
      </c>
      <c r="G1071" s="523" t="s">
        <v>184</v>
      </c>
      <c r="H1071" s="589">
        <v>236.82848999999999</v>
      </c>
      <c r="I1071" s="523">
        <v>1</v>
      </c>
      <c r="J1071" s="589">
        <v>236.82848999999999</v>
      </c>
      <c r="K1071" s="589">
        <v>236.82848999999999</v>
      </c>
      <c r="L1071" s="523">
        <v>1</v>
      </c>
      <c r="M1071" s="589">
        <v>236.82848999999999</v>
      </c>
      <c r="N1071" s="6" t="s">
        <v>2271</v>
      </c>
      <c r="O1071" s="524">
        <v>45827</v>
      </c>
      <c r="P1071" s="33" t="str">
        <f>HYPERLINK("https://my.zakupivli.pro/remote/dispatcher/state_purchase_view/60215788", "UA-2025-06-19-007122-a")</f>
        <v>UA-2025-06-19-007122-a</v>
      </c>
      <c r="Q1071" s="523">
        <v>236.82848999999999</v>
      </c>
      <c r="R1071" s="523">
        <v>1</v>
      </c>
      <c r="S1071" s="523">
        <v>236.82848999999999</v>
      </c>
      <c r="T1071" s="524">
        <v>45826</v>
      </c>
      <c r="U1071" s="523"/>
      <c r="V1071" s="523" t="s">
        <v>59</v>
      </c>
    </row>
    <row r="1072" spans="1:22" ht="93.6" x14ac:dyDescent="0.3">
      <c r="A1072" s="523">
        <v>1066</v>
      </c>
      <c r="B1072" s="523" t="s">
        <v>40</v>
      </c>
      <c r="C1072" s="523" t="s">
        <v>884</v>
      </c>
      <c r="D1072" s="523"/>
      <c r="E1072" s="523" t="s">
        <v>20</v>
      </c>
      <c r="F1072" s="523" t="s">
        <v>2265</v>
      </c>
      <c r="G1072" s="523" t="s">
        <v>184</v>
      </c>
      <c r="H1072" s="589">
        <v>343.4273</v>
      </c>
      <c r="I1072" s="523">
        <v>1</v>
      </c>
      <c r="J1072" s="589">
        <v>343.4273</v>
      </c>
      <c r="K1072" s="589">
        <v>343.4273</v>
      </c>
      <c r="L1072" s="523">
        <v>1</v>
      </c>
      <c r="M1072" s="589">
        <v>343.4273</v>
      </c>
      <c r="N1072" s="6" t="s">
        <v>2272</v>
      </c>
      <c r="O1072" s="524">
        <v>45827</v>
      </c>
      <c r="P1072" s="33" t="str">
        <f>HYPERLINK("https://my.zakupivli.pro/remote/dispatcher/state_purchase_view/60215677", "UA-2025-06-19-007061-a")</f>
        <v>UA-2025-06-19-007061-a</v>
      </c>
      <c r="Q1072" s="523">
        <v>343.4273</v>
      </c>
      <c r="R1072" s="523">
        <v>1</v>
      </c>
      <c r="S1072" s="523">
        <v>343.4273</v>
      </c>
      <c r="T1072" s="524">
        <v>45826</v>
      </c>
      <c r="U1072" s="523"/>
      <c r="V1072" s="523" t="s">
        <v>59</v>
      </c>
    </row>
    <row r="1073" spans="1:22" ht="62.4" x14ac:dyDescent="0.3">
      <c r="A1073" s="523">
        <v>1067</v>
      </c>
      <c r="B1073" s="523" t="s">
        <v>40</v>
      </c>
      <c r="C1073" s="523" t="s">
        <v>41</v>
      </c>
      <c r="D1073" s="523"/>
      <c r="E1073" s="523" t="s">
        <v>20</v>
      </c>
      <c r="F1073" s="523" t="s">
        <v>2266</v>
      </c>
      <c r="G1073" s="523" t="s">
        <v>184</v>
      </c>
      <c r="H1073" s="589">
        <v>581.73767999999995</v>
      </c>
      <c r="I1073" s="523">
        <v>1</v>
      </c>
      <c r="J1073" s="589">
        <v>581.73767999999995</v>
      </c>
      <c r="K1073" s="589">
        <v>581.73767999999995</v>
      </c>
      <c r="L1073" s="523">
        <v>1</v>
      </c>
      <c r="M1073" s="589">
        <v>581.73767999999995</v>
      </c>
      <c r="N1073" s="6" t="s">
        <v>2273</v>
      </c>
      <c r="O1073" s="524">
        <v>45827</v>
      </c>
      <c r="P1073" s="33" t="str">
        <f>HYPERLINK("https://my.zakupivli.pro/remote/dispatcher/state_purchase_view/60215472", "UA-2025-06-19-007019-a")</f>
        <v>UA-2025-06-19-007019-a</v>
      </c>
      <c r="Q1073" s="523">
        <v>581.73767999999995</v>
      </c>
      <c r="R1073" s="523">
        <v>1</v>
      </c>
      <c r="S1073" s="523">
        <v>581.73767999999995</v>
      </c>
      <c r="T1073" s="524">
        <v>45826</v>
      </c>
      <c r="U1073" s="523"/>
      <c r="V1073" s="523" t="s">
        <v>59</v>
      </c>
    </row>
    <row r="1074" spans="1:22" ht="93.6" x14ac:dyDescent="0.3">
      <c r="A1074" s="523">
        <v>1068</v>
      </c>
      <c r="B1074" s="523" t="s">
        <v>40</v>
      </c>
      <c r="C1074" s="523" t="s">
        <v>41</v>
      </c>
      <c r="D1074" s="523"/>
      <c r="E1074" s="523" t="s">
        <v>20</v>
      </c>
      <c r="F1074" s="523" t="s">
        <v>2267</v>
      </c>
      <c r="G1074" s="523" t="s">
        <v>184</v>
      </c>
      <c r="H1074" s="589">
        <v>1095.4368099999999</v>
      </c>
      <c r="I1074" s="523">
        <v>1</v>
      </c>
      <c r="J1074" s="589">
        <v>1095.4368099999999</v>
      </c>
      <c r="K1074" s="589">
        <v>1095.4368099999999</v>
      </c>
      <c r="L1074" s="523">
        <v>1</v>
      </c>
      <c r="M1074" s="589">
        <v>1095.4368099999999</v>
      </c>
      <c r="N1074" s="6" t="s">
        <v>2274</v>
      </c>
      <c r="O1074" s="524">
        <v>45827</v>
      </c>
      <c r="P1074" s="33" t="str">
        <f>HYPERLINK("https://my.zakupivli.pro/remote/dispatcher/state_purchase_view/60215368", "UA-2025-06-19-006954-a")</f>
        <v>UA-2025-06-19-006954-a</v>
      </c>
      <c r="Q1074" s="523">
        <v>1095.4368099999999</v>
      </c>
      <c r="R1074" s="523">
        <v>1</v>
      </c>
      <c r="S1074" s="523">
        <v>1095.4368099999999</v>
      </c>
      <c r="T1074" s="524">
        <v>45826</v>
      </c>
      <c r="U1074" s="523"/>
      <c r="V1074" s="523" t="s">
        <v>59</v>
      </c>
    </row>
    <row r="1075" spans="1:22" ht="93.6" x14ac:dyDescent="0.3">
      <c r="A1075" s="525">
        <v>1069</v>
      </c>
      <c r="B1075" s="525" t="s">
        <v>40</v>
      </c>
      <c r="C1075" s="525" t="s">
        <v>884</v>
      </c>
      <c r="D1075" s="525"/>
      <c r="E1075" s="525" t="s">
        <v>20</v>
      </c>
      <c r="F1075" s="525" t="s">
        <v>2268</v>
      </c>
      <c r="G1075" s="525" t="s">
        <v>184</v>
      </c>
      <c r="H1075" s="589">
        <v>368.45093000000003</v>
      </c>
      <c r="I1075" s="523">
        <v>1</v>
      </c>
      <c r="J1075" s="589">
        <v>368.45093000000003</v>
      </c>
      <c r="K1075" s="589">
        <v>368.45093000000003</v>
      </c>
      <c r="L1075" s="523">
        <v>1</v>
      </c>
      <c r="M1075" s="589">
        <v>368.45093000000003</v>
      </c>
      <c r="N1075" s="6" t="s">
        <v>2275</v>
      </c>
      <c r="O1075" s="526">
        <v>45827</v>
      </c>
      <c r="P1075" s="33" t="str">
        <f>HYPERLINK("https://my.zakupivli.pro/remote/dispatcher/state_purchase_view/60215232", "UA-2025-06-19-006872-a")</f>
        <v>UA-2025-06-19-006872-a</v>
      </c>
      <c r="Q1075" s="525">
        <v>368.45093000000003</v>
      </c>
      <c r="R1075" s="523">
        <v>1</v>
      </c>
      <c r="S1075" s="523">
        <v>368.45093000000003</v>
      </c>
      <c r="T1075" s="524">
        <v>45826</v>
      </c>
      <c r="U1075" s="523"/>
      <c r="V1075" s="523" t="s">
        <v>59</v>
      </c>
    </row>
    <row r="1076" spans="1:22" ht="62.4" x14ac:dyDescent="0.3">
      <c r="A1076" s="525">
        <v>1070</v>
      </c>
      <c r="B1076" s="525" t="s">
        <v>40</v>
      </c>
      <c r="C1076" s="44" t="s">
        <v>73</v>
      </c>
      <c r="D1076" s="525"/>
      <c r="E1076" s="525" t="s">
        <v>75</v>
      </c>
      <c r="F1076" s="44" t="s">
        <v>2276</v>
      </c>
      <c r="G1076" s="525" t="s">
        <v>184</v>
      </c>
      <c r="H1076" s="589">
        <v>81.660808299999999</v>
      </c>
      <c r="I1076" s="525">
        <v>1</v>
      </c>
      <c r="J1076" s="589">
        <v>81.660808299999999</v>
      </c>
      <c r="K1076" s="589">
        <v>81.660808299999999</v>
      </c>
      <c r="L1076" s="525">
        <v>1</v>
      </c>
      <c r="M1076" s="589">
        <v>81.660808299999999</v>
      </c>
      <c r="N1076" s="6" t="s">
        <v>2281</v>
      </c>
      <c r="O1076" s="526">
        <v>45828</v>
      </c>
      <c r="P1076" s="33" t="str">
        <f>HYPERLINK("https://my.zakupivli.pro/remote/dispatcher/state_purchase_view/60238175", "UA-2025-06-20-003030-a")</f>
        <v>UA-2025-06-20-003030-a</v>
      </c>
      <c r="Q1076" s="525">
        <v>81.660808299999999</v>
      </c>
      <c r="R1076" s="525">
        <v>1</v>
      </c>
      <c r="S1076" s="525">
        <v>81.660808299999999</v>
      </c>
      <c r="T1076" s="524">
        <v>45827</v>
      </c>
      <c r="U1076" s="523"/>
      <c r="V1076" s="525" t="s">
        <v>59</v>
      </c>
    </row>
    <row r="1077" spans="1:22" ht="62.4" x14ac:dyDescent="0.3">
      <c r="A1077" s="525">
        <v>1071</v>
      </c>
      <c r="B1077" s="525" t="s">
        <v>40</v>
      </c>
      <c r="C1077" s="44" t="s">
        <v>73</v>
      </c>
      <c r="D1077" s="525"/>
      <c r="E1077" s="525" t="s">
        <v>75</v>
      </c>
      <c r="F1077" s="44" t="s">
        <v>2277</v>
      </c>
      <c r="G1077" s="525" t="s">
        <v>184</v>
      </c>
      <c r="H1077" s="589">
        <v>116.831292</v>
      </c>
      <c r="I1077" s="525">
        <v>1</v>
      </c>
      <c r="J1077" s="589">
        <v>116.831292</v>
      </c>
      <c r="K1077" s="589">
        <v>116.831292</v>
      </c>
      <c r="L1077" s="525">
        <v>1</v>
      </c>
      <c r="M1077" s="589">
        <v>116.831292</v>
      </c>
      <c r="N1077" s="6" t="s">
        <v>2282</v>
      </c>
      <c r="O1077" s="526">
        <v>45828</v>
      </c>
      <c r="P1077" s="33" t="str">
        <f>HYPERLINK("https://my.zakupivli.pro/remote/dispatcher/state_purchase_view/60237997", "UA-2025-06-20-002917-a")</f>
        <v>UA-2025-06-20-002917-a</v>
      </c>
      <c r="Q1077" s="525">
        <v>116.831292</v>
      </c>
      <c r="R1077" s="525">
        <v>1</v>
      </c>
      <c r="S1077" s="525">
        <v>116.831292</v>
      </c>
      <c r="T1077" s="526">
        <v>45827</v>
      </c>
      <c r="U1077" s="523"/>
      <c r="V1077" s="525" t="s">
        <v>59</v>
      </c>
    </row>
    <row r="1078" spans="1:22" ht="78" x14ac:dyDescent="0.3">
      <c r="A1078" s="525">
        <v>1072</v>
      </c>
      <c r="B1078" s="525" t="s">
        <v>40</v>
      </c>
      <c r="C1078" s="44" t="s">
        <v>884</v>
      </c>
      <c r="D1078" s="525"/>
      <c r="E1078" s="525" t="s">
        <v>20</v>
      </c>
      <c r="F1078" s="44" t="s">
        <v>2278</v>
      </c>
      <c r="G1078" s="525" t="s">
        <v>184</v>
      </c>
      <c r="H1078" s="589">
        <v>534.61200799999995</v>
      </c>
      <c r="I1078" s="525">
        <v>1</v>
      </c>
      <c r="J1078" s="589">
        <v>534.61200799999995</v>
      </c>
      <c r="K1078" s="589">
        <v>534.61200799999995</v>
      </c>
      <c r="L1078" s="525">
        <v>1</v>
      </c>
      <c r="M1078" s="589">
        <v>534.61200799999995</v>
      </c>
      <c r="N1078" s="6" t="s">
        <v>2283</v>
      </c>
      <c r="O1078" s="526">
        <v>45828</v>
      </c>
      <c r="P1078" s="33" t="str">
        <f>HYPERLINK("https://my.zakupivli.pro/remote/dispatcher/state_purchase_view/60237708", "UA-2025-06-20-002761-a")</f>
        <v>UA-2025-06-20-002761-a</v>
      </c>
      <c r="Q1078" s="525">
        <v>534.61200799999995</v>
      </c>
      <c r="R1078" s="525">
        <v>1</v>
      </c>
      <c r="S1078" s="525">
        <v>534.61200799999995</v>
      </c>
      <c r="T1078" s="526">
        <v>45827</v>
      </c>
      <c r="U1078" s="523"/>
      <c r="V1078" s="525" t="s">
        <v>59</v>
      </c>
    </row>
    <row r="1079" spans="1:22" ht="62.4" x14ac:dyDescent="0.3">
      <c r="A1079" s="525">
        <v>1073</v>
      </c>
      <c r="B1079" s="525" t="s">
        <v>40</v>
      </c>
      <c r="C1079" s="44" t="s">
        <v>73</v>
      </c>
      <c r="D1079" s="525"/>
      <c r="E1079" s="525" t="s">
        <v>75</v>
      </c>
      <c r="F1079" s="44" t="s">
        <v>2279</v>
      </c>
      <c r="G1079" s="525" t="s">
        <v>184</v>
      </c>
      <c r="H1079" s="589">
        <v>135.15135000000001</v>
      </c>
      <c r="I1079" s="525">
        <v>1</v>
      </c>
      <c r="J1079" s="589">
        <v>135.15135000000001</v>
      </c>
      <c r="K1079" s="589">
        <v>135.15135000000001</v>
      </c>
      <c r="L1079" s="525">
        <v>1</v>
      </c>
      <c r="M1079" s="589">
        <v>135.15135000000001</v>
      </c>
      <c r="N1079" s="6" t="s">
        <v>2284</v>
      </c>
      <c r="O1079" s="526">
        <v>45828</v>
      </c>
      <c r="P1079" s="33" t="str">
        <f>HYPERLINK("https://my.zakupivli.pro/remote/dispatcher/state_purchase_view/60237438", "UA-2025-06-20-002703-a")</f>
        <v>UA-2025-06-20-002703-a</v>
      </c>
      <c r="Q1079" s="525">
        <v>135.15135000000001</v>
      </c>
      <c r="R1079" s="525">
        <v>1</v>
      </c>
      <c r="S1079" s="525">
        <v>135.15135000000001</v>
      </c>
      <c r="T1079" s="526">
        <v>45827</v>
      </c>
      <c r="U1079" s="523"/>
      <c r="V1079" s="525" t="s">
        <v>59</v>
      </c>
    </row>
    <row r="1080" spans="1:22" ht="62.4" x14ac:dyDescent="0.3">
      <c r="A1080" s="525">
        <v>1074</v>
      </c>
      <c r="B1080" s="525" t="s">
        <v>40</v>
      </c>
      <c r="C1080" s="44" t="s">
        <v>73</v>
      </c>
      <c r="D1080" s="525"/>
      <c r="E1080" s="525" t="s">
        <v>75</v>
      </c>
      <c r="F1080" s="44" t="s">
        <v>2280</v>
      </c>
      <c r="G1080" s="525" t="s">
        <v>184</v>
      </c>
      <c r="H1080" s="589">
        <v>205.14746700000001</v>
      </c>
      <c r="I1080" s="525">
        <v>1</v>
      </c>
      <c r="J1080" s="589">
        <v>205.14746700000001</v>
      </c>
      <c r="K1080" s="589">
        <v>205.14746700000001</v>
      </c>
      <c r="L1080" s="525">
        <v>1</v>
      </c>
      <c r="M1080" s="589">
        <v>205.14746700000001</v>
      </c>
      <c r="N1080" s="6" t="s">
        <v>2285</v>
      </c>
      <c r="O1080" s="528">
        <v>45828</v>
      </c>
      <c r="P1080" s="33" t="str">
        <f>HYPERLINK("https://my.zakupivli.pro/remote/dispatcher/state_purchase_view/60237216", "UA-2025-06-20-002566-a")</f>
        <v>UA-2025-06-20-002566-a</v>
      </c>
      <c r="Q1080" s="527">
        <v>205.14746700000001</v>
      </c>
      <c r="R1080" s="525">
        <v>1</v>
      </c>
      <c r="S1080" s="525">
        <v>205.14746700000001</v>
      </c>
      <c r="T1080" s="526">
        <v>45827</v>
      </c>
      <c r="U1080" s="523"/>
      <c r="V1080" s="525" t="s">
        <v>59</v>
      </c>
    </row>
    <row r="1081" spans="1:22" ht="62.4" x14ac:dyDescent="0.3">
      <c r="A1081" s="527">
        <v>1075</v>
      </c>
      <c r="B1081" s="527" t="s">
        <v>1150</v>
      </c>
      <c r="C1081" s="525" t="s">
        <v>1400</v>
      </c>
      <c r="D1081" s="525"/>
      <c r="E1081" s="527" t="s">
        <v>75</v>
      </c>
      <c r="F1081" s="525" t="s">
        <v>2286</v>
      </c>
      <c r="G1081" s="527" t="s">
        <v>186</v>
      </c>
      <c r="H1081" s="589"/>
      <c r="I1081" s="542">
        <v>11</v>
      </c>
      <c r="J1081" s="589">
        <v>78.329070000000002</v>
      </c>
      <c r="K1081" s="589"/>
      <c r="L1081" s="542">
        <v>11</v>
      </c>
      <c r="M1081" s="589">
        <v>78.329070000000002</v>
      </c>
      <c r="N1081" s="6" t="s">
        <v>2289</v>
      </c>
      <c r="O1081" s="528">
        <v>45831</v>
      </c>
      <c r="P1081" s="33" t="str">
        <f>HYPERLINK("https://my.zakupivli.pro/remote/dispatcher/state_purchase_view/60270749", "UA-2025-06-23-004108-a")</f>
        <v>UA-2025-06-23-004108-a</v>
      </c>
      <c r="Q1081" s="527"/>
      <c r="R1081" s="527">
        <v>11</v>
      </c>
      <c r="S1081" s="527">
        <v>78.329070000000002</v>
      </c>
      <c r="T1081" s="524">
        <v>45831</v>
      </c>
      <c r="U1081" s="523"/>
      <c r="V1081" s="527" t="s">
        <v>59</v>
      </c>
    </row>
    <row r="1082" spans="1:22" ht="62.4" x14ac:dyDescent="0.3">
      <c r="A1082" s="527">
        <v>1076</v>
      </c>
      <c r="B1082" s="527" t="s">
        <v>40</v>
      </c>
      <c r="C1082" s="523" t="s">
        <v>884</v>
      </c>
      <c r="D1082" s="523"/>
      <c r="E1082" s="527" t="s">
        <v>20</v>
      </c>
      <c r="F1082" s="523" t="s">
        <v>2287</v>
      </c>
      <c r="G1082" s="527" t="s">
        <v>184</v>
      </c>
      <c r="H1082" s="531">
        <v>59.807670000000002</v>
      </c>
      <c r="I1082" s="542">
        <v>1</v>
      </c>
      <c r="J1082" s="546">
        <v>59.807670000000002</v>
      </c>
      <c r="K1082" s="546">
        <v>59.807670000000002</v>
      </c>
      <c r="L1082" s="542">
        <v>1</v>
      </c>
      <c r="M1082" s="531">
        <v>59.807670000000002</v>
      </c>
      <c r="N1082" s="6" t="s">
        <v>2290</v>
      </c>
      <c r="O1082" s="528">
        <v>45831</v>
      </c>
      <c r="P1082" s="33" t="str">
        <f>HYPERLINK("https://my.zakupivli.pro/remote/dispatcher/state_purchase_view/60265394", "UA-2025-06-23-001718-a")</f>
        <v>UA-2025-06-23-001718-a</v>
      </c>
      <c r="Q1082" s="531">
        <v>59.807670000000002</v>
      </c>
      <c r="R1082" s="527">
        <v>1</v>
      </c>
      <c r="S1082" s="531">
        <v>59.807670000000002</v>
      </c>
      <c r="T1082" s="524">
        <v>45828</v>
      </c>
      <c r="U1082" s="523"/>
      <c r="V1082" s="527" t="s">
        <v>59</v>
      </c>
    </row>
    <row r="1083" spans="1:22" ht="62.4" x14ac:dyDescent="0.3">
      <c r="A1083" s="527">
        <v>1077</v>
      </c>
      <c r="B1083" s="527" t="s">
        <v>40</v>
      </c>
      <c r="C1083" s="523" t="s">
        <v>884</v>
      </c>
      <c r="D1083" s="523"/>
      <c r="E1083" s="527" t="s">
        <v>20</v>
      </c>
      <c r="F1083" s="523" t="s">
        <v>2288</v>
      </c>
      <c r="G1083" s="527" t="s">
        <v>184</v>
      </c>
      <c r="H1083" s="589">
        <v>65.36233</v>
      </c>
      <c r="I1083" s="542">
        <v>1</v>
      </c>
      <c r="J1083" s="589">
        <v>65.36233</v>
      </c>
      <c r="K1083" s="589">
        <v>65.36233</v>
      </c>
      <c r="L1083" s="542">
        <v>1</v>
      </c>
      <c r="M1083" s="589">
        <v>65.36233</v>
      </c>
      <c r="N1083" s="6" t="s">
        <v>2291</v>
      </c>
      <c r="O1083" s="530">
        <v>45831</v>
      </c>
      <c r="P1083" s="33" t="str">
        <f>HYPERLINK("https://my.zakupivli.pro/remote/dispatcher/state_purchase_view/60263803", "UA-2025-06-23-000983-a")</f>
        <v>UA-2025-06-23-000983-a</v>
      </c>
      <c r="Q1083" s="529">
        <v>65.36233</v>
      </c>
      <c r="R1083" s="527">
        <v>1</v>
      </c>
      <c r="S1083" s="527">
        <v>65.36233</v>
      </c>
      <c r="T1083" s="528">
        <v>45828</v>
      </c>
      <c r="U1083" s="523"/>
      <c r="V1083" s="527" t="s">
        <v>59</v>
      </c>
    </row>
    <row r="1084" spans="1:22" ht="62.4" x14ac:dyDescent="0.3">
      <c r="A1084" s="529">
        <v>1078</v>
      </c>
      <c r="B1084" s="529" t="s">
        <v>40</v>
      </c>
      <c r="C1084" s="523" t="s">
        <v>884</v>
      </c>
      <c r="D1084" s="523"/>
      <c r="E1084" s="529" t="s">
        <v>20</v>
      </c>
      <c r="F1084" s="523" t="s">
        <v>2292</v>
      </c>
      <c r="G1084" s="529" t="s">
        <v>184</v>
      </c>
      <c r="H1084" s="589">
        <v>323.23500000000001</v>
      </c>
      <c r="I1084" s="529">
        <v>1</v>
      </c>
      <c r="J1084" s="589">
        <v>323.23500000000001</v>
      </c>
      <c r="K1084" s="589">
        <v>323.23500000000001</v>
      </c>
      <c r="L1084" s="529">
        <v>1</v>
      </c>
      <c r="M1084" s="589">
        <v>323.23500000000001</v>
      </c>
      <c r="N1084" s="6" t="s">
        <v>2297</v>
      </c>
      <c r="O1084" s="530">
        <v>45832</v>
      </c>
      <c r="P1084" s="33" t="str">
        <f>HYPERLINK("https://my.zakupivli.pro/remote/dispatcher/state_purchase_view/60294015", "UA-2025-06-24-000612-a")</f>
        <v>UA-2025-06-24-000612-a</v>
      </c>
      <c r="Q1084" s="529">
        <v>323.23500000000001</v>
      </c>
      <c r="R1084" s="529">
        <v>1</v>
      </c>
      <c r="S1084" s="529">
        <v>323.23500000000001</v>
      </c>
      <c r="T1084" s="524">
        <v>45831</v>
      </c>
      <c r="U1084" s="523"/>
      <c r="V1084" s="529" t="s">
        <v>59</v>
      </c>
    </row>
    <row r="1085" spans="1:22" ht="62.4" x14ac:dyDescent="0.3">
      <c r="A1085" s="529">
        <v>1079</v>
      </c>
      <c r="B1085" s="529" t="s">
        <v>40</v>
      </c>
      <c r="C1085" s="529" t="s">
        <v>884</v>
      </c>
      <c r="D1085" s="523"/>
      <c r="E1085" s="529" t="s">
        <v>20</v>
      </c>
      <c r="F1085" s="523" t="s">
        <v>2293</v>
      </c>
      <c r="G1085" s="529" t="s">
        <v>184</v>
      </c>
      <c r="H1085" s="589">
        <v>69.258129999999994</v>
      </c>
      <c r="I1085" s="529">
        <v>1</v>
      </c>
      <c r="J1085" s="589">
        <v>69.258129999999994</v>
      </c>
      <c r="K1085" s="589">
        <v>69.258129999999994</v>
      </c>
      <c r="L1085" s="529">
        <v>1</v>
      </c>
      <c r="M1085" s="589">
        <v>69.258129999999994</v>
      </c>
      <c r="N1085" s="6" t="s">
        <v>2298</v>
      </c>
      <c r="O1085" s="530">
        <v>45832</v>
      </c>
      <c r="P1085" s="33" t="str">
        <f>HYPERLINK("https://my.zakupivli.pro/remote/dispatcher/state_purchase_view/60293760", "UA-2025-06-24-000503-a")</f>
        <v>UA-2025-06-24-000503-a</v>
      </c>
      <c r="Q1085" s="529">
        <v>69.258129999999994</v>
      </c>
      <c r="R1085" s="529">
        <v>1</v>
      </c>
      <c r="S1085" s="529">
        <v>69.258129999999994</v>
      </c>
      <c r="T1085" s="530">
        <v>45828</v>
      </c>
      <c r="U1085" s="523"/>
      <c r="V1085" s="529" t="s">
        <v>59</v>
      </c>
    </row>
    <row r="1086" spans="1:22" ht="62.4" x14ac:dyDescent="0.3">
      <c r="A1086" s="529">
        <v>1080</v>
      </c>
      <c r="B1086" s="529" t="s">
        <v>40</v>
      </c>
      <c r="C1086" s="529" t="s">
        <v>884</v>
      </c>
      <c r="D1086" s="523"/>
      <c r="E1086" s="529" t="s">
        <v>20</v>
      </c>
      <c r="F1086" s="523" t="s">
        <v>2294</v>
      </c>
      <c r="G1086" s="529" t="s">
        <v>184</v>
      </c>
      <c r="H1086" s="589">
        <v>120.95393</v>
      </c>
      <c r="I1086" s="529">
        <v>1</v>
      </c>
      <c r="J1086" s="589">
        <v>120.95393</v>
      </c>
      <c r="K1086" s="589">
        <v>120.95393</v>
      </c>
      <c r="L1086" s="529">
        <v>1</v>
      </c>
      <c r="M1086" s="589">
        <v>120.95393</v>
      </c>
      <c r="N1086" s="6" t="s">
        <v>2299</v>
      </c>
      <c r="O1086" s="530">
        <v>45832</v>
      </c>
      <c r="P1086" s="33" t="str">
        <f>HYPERLINK("https://my.zakupivli.pro/remote/dispatcher/state_purchase_view/60293316", "UA-2025-06-24-000275-a")</f>
        <v>UA-2025-06-24-000275-a</v>
      </c>
      <c r="Q1086" s="529">
        <v>120.95393</v>
      </c>
      <c r="R1086" s="529">
        <v>1</v>
      </c>
      <c r="S1086" s="529">
        <v>120.95393</v>
      </c>
      <c r="T1086" s="530">
        <v>45831</v>
      </c>
      <c r="U1086" s="523"/>
      <c r="V1086" s="529" t="s">
        <v>59</v>
      </c>
    </row>
    <row r="1087" spans="1:22" ht="93.6" x14ac:dyDescent="0.3">
      <c r="A1087" s="529">
        <v>1081</v>
      </c>
      <c r="B1087" s="529" t="s">
        <v>40</v>
      </c>
      <c r="C1087" s="529" t="s">
        <v>884</v>
      </c>
      <c r="D1087" s="523"/>
      <c r="E1087" s="529" t="s">
        <v>20</v>
      </c>
      <c r="F1087" s="523" t="s">
        <v>2295</v>
      </c>
      <c r="G1087" s="529" t="s">
        <v>184</v>
      </c>
      <c r="H1087" s="589">
        <v>105.59719</v>
      </c>
      <c r="I1087" s="529">
        <v>1</v>
      </c>
      <c r="J1087" s="589">
        <v>105.59719</v>
      </c>
      <c r="K1087" s="589">
        <v>105.59719</v>
      </c>
      <c r="L1087" s="529">
        <v>1</v>
      </c>
      <c r="M1087" s="589">
        <v>105.59719</v>
      </c>
      <c r="N1087" s="6" t="s">
        <v>2300</v>
      </c>
      <c r="O1087" s="530">
        <v>45832</v>
      </c>
      <c r="P1087" s="33" t="str">
        <f>HYPERLINK("https://my.zakupivli.pro/remote/dispatcher/state_purchase_view/60293182", "UA-2025-06-24-000229-a")</f>
        <v>UA-2025-06-24-000229-a</v>
      </c>
      <c r="Q1087" s="529">
        <v>105.59719</v>
      </c>
      <c r="R1087" s="529">
        <v>1</v>
      </c>
      <c r="S1087" s="529">
        <v>105.59719</v>
      </c>
      <c r="T1087" s="530">
        <v>45831</v>
      </c>
      <c r="U1087" s="523"/>
      <c r="V1087" s="529" t="s">
        <v>59</v>
      </c>
    </row>
    <row r="1088" spans="1:22" ht="93.6" x14ac:dyDescent="0.3">
      <c r="A1088" s="529">
        <v>1082</v>
      </c>
      <c r="B1088" s="529" t="s">
        <v>40</v>
      </c>
      <c r="C1088" s="529" t="s">
        <v>884</v>
      </c>
      <c r="D1088" s="523"/>
      <c r="E1088" s="529" t="s">
        <v>20</v>
      </c>
      <c r="F1088" s="523" t="s">
        <v>2296</v>
      </c>
      <c r="G1088" s="529" t="s">
        <v>184</v>
      </c>
      <c r="H1088" s="589">
        <v>323.29993999999999</v>
      </c>
      <c r="I1088" s="529">
        <v>1</v>
      </c>
      <c r="J1088" s="589">
        <v>323.29993999999999</v>
      </c>
      <c r="K1088" s="589">
        <v>323.29993999999999</v>
      </c>
      <c r="L1088" s="529">
        <v>1</v>
      </c>
      <c r="M1088" s="589">
        <v>323.29993999999999</v>
      </c>
      <c r="N1088" s="6" t="s">
        <v>2301</v>
      </c>
      <c r="O1088" s="533">
        <v>45832</v>
      </c>
      <c r="P1088" s="33" t="str">
        <f>HYPERLINK("https://my.zakupivli.pro/remote/dispatcher/state_purchase_view/60292907", "UA-2025-06-24-000119-a")</f>
        <v>UA-2025-06-24-000119-a</v>
      </c>
      <c r="Q1088" s="532">
        <v>323.29993999999999</v>
      </c>
      <c r="R1088" s="529">
        <v>1</v>
      </c>
      <c r="S1088" s="529">
        <v>323.29993999999999</v>
      </c>
      <c r="T1088" s="530">
        <v>45831</v>
      </c>
      <c r="U1088" s="523"/>
      <c r="V1088" s="529" t="s">
        <v>59</v>
      </c>
    </row>
    <row r="1089" spans="1:22" ht="62.4" x14ac:dyDescent="0.3">
      <c r="A1089" s="532">
        <v>1083</v>
      </c>
      <c r="B1089" s="532" t="s">
        <v>40</v>
      </c>
      <c r="C1089" s="532" t="s">
        <v>884</v>
      </c>
      <c r="D1089" s="523"/>
      <c r="E1089" s="532" t="s">
        <v>20</v>
      </c>
      <c r="F1089" s="523" t="s">
        <v>2302</v>
      </c>
      <c r="G1089" s="532" t="s">
        <v>184</v>
      </c>
      <c r="H1089" s="589">
        <v>214.89874</v>
      </c>
      <c r="I1089" s="532">
        <v>1</v>
      </c>
      <c r="J1089" s="589">
        <v>214.89874</v>
      </c>
      <c r="K1089" s="589">
        <v>214.89874</v>
      </c>
      <c r="L1089" s="532">
        <v>1</v>
      </c>
      <c r="M1089" s="589">
        <v>214.89874</v>
      </c>
      <c r="N1089" s="6" t="s">
        <v>2305</v>
      </c>
      <c r="O1089" s="533">
        <v>45833</v>
      </c>
      <c r="P1089" s="33" t="str">
        <f>HYPERLINK("https://my.zakupivli.pro/remote/dispatcher/state_purchase_view/60342656", "UA-2025-06-25-008168-a")</f>
        <v>UA-2025-06-25-008168-a</v>
      </c>
      <c r="Q1089" s="532">
        <v>214.89874</v>
      </c>
      <c r="R1089" s="532">
        <v>1</v>
      </c>
      <c r="S1089" s="532">
        <v>214.89874</v>
      </c>
      <c r="T1089" s="533">
        <v>45833</v>
      </c>
      <c r="U1089" s="523"/>
      <c r="V1089" s="532" t="s">
        <v>59</v>
      </c>
    </row>
    <row r="1090" spans="1:22" ht="62.4" x14ac:dyDescent="0.3">
      <c r="A1090" s="532">
        <v>1084</v>
      </c>
      <c r="B1090" s="532" t="s">
        <v>40</v>
      </c>
      <c r="C1090" s="532" t="s">
        <v>884</v>
      </c>
      <c r="D1090" s="523"/>
      <c r="E1090" s="532" t="s">
        <v>20</v>
      </c>
      <c r="F1090" s="523" t="s">
        <v>2303</v>
      </c>
      <c r="G1090" s="532" t="s">
        <v>184</v>
      </c>
      <c r="H1090" s="589">
        <v>323.19218000000001</v>
      </c>
      <c r="I1090" s="532">
        <v>1</v>
      </c>
      <c r="J1090" s="589">
        <v>323.19218000000001</v>
      </c>
      <c r="K1090" s="589">
        <v>323.19218000000001</v>
      </c>
      <c r="L1090" s="532">
        <v>1</v>
      </c>
      <c r="M1090" s="589">
        <v>323.19218000000001</v>
      </c>
      <c r="N1090" s="6" t="s">
        <v>2306</v>
      </c>
      <c r="O1090" s="533">
        <v>45833</v>
      </c>
      <c r="P1090" s="33" t="str">
        <f>HYPERLINK("https://my.zakupivli.pro/remote/dispatcher/state_purchase_view/60341421", "UA-2025-06-25-007605-a")</f>
        <v>UA-2025-06-25-007605-a</v>
      </c>
      <c r="Q1090" s="532">
        <v>323.19218000000001</v>
      </c>
      <c r="R1090" s="532">
        <v>1</v>
      </c>
      <c r="S1090" s="532">
        <v>323.19218000000001</v>
      </c>
      <c r="T1090" s="533">
        <v>45833</v>
      </c>
      <c r="U1090" s="523"/>
      <c r="V1090" s="532" t="s">
        <v>59</v>
      </c>
    </row>
    <row r="1091" spans="1:22" ht="62.4" x14ac:dyDescent="0.3">
      <c r="A1091" s="532">
        <v>1085</v>
      </c>
      <c r="B1091" s="532" t="s">
        <v>40</v>
      </c>
      <c r="C1091" s="523" t="s">
        <v>41</v>
      </c>
      <c r="D1091" s="523"/>
      <c r="E1091" s="532" t="s">
        <v>20</v>
      </c>
      <c r="F1091" s="523" t="s">
        <v>2304</v>
      </c>
      <c r="G1091" s="532" t="s">
        <v>184</v>
      </c>
      <c r="H1091" s="589">
        <v>156.73662999999999</v>
      </c>
      <c r="I1091" s="532">
        <v>1</v>
      </c>
      <c r="J1091" s="589">
        <v>156.73662999999999</v>
      </c>
      <c r="K1091" s="589">
        <v>156.73662999999999</v>
      </c>
      <c r="L1091" s="532">
        <v>1</v>
      </c>
      <c r="M1091" s="589">
        <v>156.73662999999999</v>
      </c>
      <c r="N1091" s="6" t="s">
        <v>2307</v>
      </c>
      <c r="O1091" s="534">
        <v>45833</v>
      </c>
      <c r="P1091" s="33" t="str">
        <f>HYPERLINK("https://my.zakupivli.pro/remote/dispatcher/state_purchase_view/60340885", "UA-2025-06-25-007384-a")</f>
        <v>UA-2025-06-25-007384-a</v>
      </c>
      <c r="Q1091" s="535">
        <v>156.73662999999999</v>
      </c>
      <c r="R1091" s="532">
        <v>1</v>
      </c>
      <c r="S1091" s="532">
        <v>156.73662999999999</v>
      </c>
      <c r="T1091" s="533">
        <v>45833</v>
      </c>
      <c r="U1091" s="523"/>
      <c r="V1091" s="532" t="s">
        <v>59</v>
      </c>
    </row>
    <row r="1092" spans="1:22" ht="93.6" x14ac:dyDescent="0.3">
      <c r="A1092" s="535">
        <v>1086</v>
      </c>
      <c r="B1092" s="535" t="s">
        <v>40</v>
      </c>
      <c r="C1092" s="523" t="s">
        <v>41</v>
      </c>
      <c r="D1092" s="523"/>
      <c r="E1092" s="535" t="s">
        <v>20</v>
      </c>
      <c r="F1092" s="523" t="s">
        <v>2309</v>
      </c>
      <c r="G1092" s="535" t="s">
        <v>184</v>
      </c>
      <c r="H1092" s="589">
        <v>123.88800999999999</v>
      </c>
      <c r="I1092" s="535">
        <v>1</v>
      </c>
      <c r="J1092" s="589">
        <v>123.88800999999999</v>
      </c>
      <c r="K1092" s="589">
        <v>123.88800999999999</v>
      </c>
      <c r="L1092" s="535">
        <v>1</v>
      </c>
      <c r="M1092" s="589">
        <v>123.88800999999999</v>
      </c>
      <c r="N1092" s="6" t="s">
        <v>2308</v>
      </c>
      <c r="O1092" s="537">
        <v>45839</v>
      </c>
      <c r="P1092" s="33" t="str">
        <f>HYPERLINK("https://my.zakupivli.pro/remote/dispatcher/state_purchase_view/60439056", "UA-2025-07-01-003172-a")</f>
        <v>UA-2025-07-01-003172-a</v>
      </c>
      <c r="Q1092" s="536">
        <v>123.88800999999999</v>
      </c>
      <c r="R1092" s="535">
        <v>1</v>
      </c>
      <c r="S1092" s="535">
        <v>123.88800999999999</v>
      </c>
      <c r="T1092" s="534">
        <v>45839</v>
      </c>
      <c r="U1092" s="523"/>
      <c r="V1092" s="535" t="s">
        <v>59</v>
      </c>
    </row>
    <row r="1093" spans="1:22" ht="93.6" x14ac:dyDescent="0.3">
      <c r="A1093" s="536">
        <v>1087</v>
      </c>
      <c r="B1093" s="536" t="s">
        <v>21</v>
      </c>
      <c r="C1093" s="523" t="s">
        <v>183</v>
      </c>
      <c r="D1093" s="523"/>
      <c r="E1093" s="536" t="s">
        <v>88</v>
      </c>
      <c r="F1093" s="523" t="s">
        <v>2310</v>
      </c>
      <c r="G1093" s="523" t="s">
        <v>185</v>
      </c>
      <c r="H1093" s="589"/>
      <c r="I1093" s="523">
        <v>1</v>
      </c>
      <c r="J1093" s="589">
        <v>609.38</v>
      </c>
      <c r="K1093" s="589"/>
      <c r="L1093" s="523">
        <v>1</v>
      </c>
      <c r="M1093" s="589">
        <v>609.38</v>
      </c>
      <c r="N1093" s="6" t="s">
        <v>2311</v>
      </c>
      <c r="O1093" s="539">
        <v>45841</v>
      </c>
      <c r="P1093" s="33" t="str">
        <f>HYPERLINK("https://my.zakupivli.pro/remote/dispatcher/state_purchase_view/60505517", "UA-2025-07-03-006327-a")</f>
        <v>UA-2025-07-03-006327-a</v>
      </c>
      <c r="Q1093" s="560"/>
      <c r="R1093" s="560">
        <v>1</v>
      </c>
      <c r="S1093" s="560">
        <v>609.375</v>
      </c>
      <c r="T1093" s="559">
        <v>45862</v>
      </c>
      <c r="U1093" s="560"/>
      <c r="V1093" s="560"/>
    </row>
    <row r="1094" spans="1:22" ht="62.4" x14ac:dyDescent="0.3">
      <c r="A1094" s="538">
        <v>1088</v>
      </c>
      <c r="B1094" s="538" t="s">
        <v>40</v>
      </c>
      <c r="C1094" s="523" t="s">
        <v>884</v>
      </c>
      <c r="D1094" s="523"/>
      <c r="E1094" s="538" t="s">
        <v>20</v>
      </c>
      <c r="F1094" s="538" t="s">
        <v>2312</v>
      </c>
      <c r="G1094" s="538" t="s">
        <v>184</v>
      </c>
      <c r="H1094" s="589">
        <v>630.56424000000004</v>
      </c>
      <c r="I1094" s="538">
        <v>1</v>
      </c>
      <c r="J1094" s="589">
        <v>630.56424000000004</v>
      </c>
      <c r="K1094" s="589">
        <v>630.56424000000004</v>
      </c>
      <c r="L1094" s="538">
        <v>1</v>
      </c>
      <c r="M1094" s="589">
        <v>630.56424000000004</v>
      </c>
      <c r="N1094" s="6" t="s">
        <v>2316</v>
      </c>
      <c r="O1094" s="539">
        <v>45842</v>
      </c>
      <c r="P1094" s="33" t="str">
        <f>HYPERLINK("https://my.zakupivli.pro/remote/dispatcher/state_purchase_view/60535635", "UA-2025-07-04-006460-a")</f>
        <v>UA-2025-07-04-006460-a</v>
      </c>
      <c r="Q1094" s="538">
        <v>630.56424000000004</v>
      </c>
      <c r="R1094" s="538">
        <v>1</v>
      </c>
      <c r="S1094" s="538">
        <v>630.56424000000004</v>
      </c>
      <c r="T1094" s="524">
        <v>45841</v>
      </c>
      <c r="U1094" s="523"/>
      <c r="V1094" s="538" t="s">
        <v>59</v>
      </c>
    </row>
    <row r="1095" spans="1:22" ht="62.4" x14ac:dyDescent="0.3">
      <c r="A1095" s="538">
        <v>1089</v>
      </c>
      <c r="B1095" s="538" t="s">
        <v>40</v>
      </c>
      <c r="C1095" s="538" t="s">
        <v>884</v>
      </c>
      <c r="D1095" s="523"/>
      <c r="E1095" s="538" t="s">
        <v>20</v>
      </c>
      <c r="F1095" s="538" t="s">
        <v>2313</v>
      </c>
      <c r="G1095" s="538" t="s">
        <v>184</v>
      </c>
      <c r="H1095" s="589">
        <v>509.40688</v>
      </c>
      <c r="I1095" s="538">
        <v>1</v>
      </c>
      <c r="J1095" s="589">
        <v>509.40688</v>
      </c>
      <c r="K1095" s="589">
        <v>509.40688</v>
      </c>
      <c r="L1095" s="538">
        <v>1</v>
      </c>
      <c r="M1095" s="589">
        <v>509.40688</v>
      </c>
      <c r="N1095" s="6" t="s">
        <v>2317</v>
      </c>
      <c r="O1095" s="539">
        <v>45842</v>
      </c>
      <c r="P1095" s="33" t="str">
        <f>HYPERLINK("https://my.zakupivli.pro/remote/dispatcher/state_purchase_view/60535374", "UA-2025-07-04-006294-a")</f>
        <v>UA-2025-07-04-006294-a</v>
      </c>
      <c r="Q1095" s="538">
        <v>509.40688</v>
      </c>
      <c r="R1095" s="538">
        <v>1</v>
      </c>
      <c r="S1095" s="538">
        <v>509.40688</v>
      </c>
      <c r="T1095" s="539">
        <v>45841</v>
      </c>
      <c r="U1095" s="523"/>
      <c r="V1095" s="538" t="s">
        <v>59</v>
      </c>
    </row>
    <row r="1096" spans="1:22" ht="62.4" x14ac:dyDescent="0.3">
      <c r="A1096" s="538">
        <v>1090</v>
      </c>
      <c r="B1096" s="538" t="s">
        <v>40</v>
      </c>
      <c r="C1096" s="523" t="s">
        <v>41</v>
      </c>
      <c r="D1096" s="523"/>
      <c r="E1096" s="538" t="s">
        <v>20</v>
      </c>
      <c r="F1096" s="538" t="s">
        <v>2314</v>
      </c>
      <c r="G1096" s="538" t="s">
        <v>184</v>
      </c>
      <c r="H1096" s="589">
        <v>415.47163</v>
      </c>
      <c r="I1096" s="538">
        <v>1</v>
      </c>
      <c r="J1096" s="589">
        <v>415.47163</v>
      </c>
      <c r="K1096" s="589">
        <v>415.47163</v>
      </c>
      <c r="L1096" s="538">
        <v>1</v>
      </c>
      <c r="M1096" s="589">
        <v>415.47163</v>
      </c>
      <c r="N1096" s="6" t="s">
        <v>2318</v>
      </c>
      <c r="O1096" s="539">
        <v>45842</v>
      </c>
      <c r="P1096" s="33" t="str">
        <f>HYPERLINK("https://my.zakupivli.pro/remote/dispatcher/state_purchase_view/60535125", "UA-2025-07-04-006242-a")</f>
        <v>UA-2025-07-04-006242-a</v>
      </c>
      <c r="Q1096" s="538">
        <v>415.47163</v>
      </c>
      <c r="R1096" s="538">
        <v>1</v>
      </c>
      <c r="S1096" s="538">
        <v>415.47163</v>
      </c>
      <c r="T1096" s="539">
        <v>45841</v>
      </c>
      <c r="U1096" s="523"/>
      <c r="V1096" s="538" t="s">
        <v>59</v>
      </c>
    </row>
    <row r="1097" spans="1:22" ht="62.4" x14ac:dyDescent="0.3">
      <c r="A1097" s="538">
        <v>1091</v>
      </c>
      <c r="B1097" s="538" t="s">
        <v>40</v>
      </c>
      <c r="C1097" s="538" t="s">
        <v>884</v>
      </c>
      <c r="D1097" s="523"/>
      <c r="E1097" s="538" t="s">
        <v>20</v>
      </c>
      <c r="F1097" s="538" t="s">
        <v>2315</v>
      </c>
      <c r="G1097" s="538" t="s">
        <v>184</v>
      </c>
      <c r="H1097" s="589">
        <v>144.30672999999999</v>
      </c>
      <c r="I1097" s="538">
        <v>1</v>
      </c>
      <c r="J1097" s="589">
        <v>144.30672999999999</v>
      </c>
      <c r="K1097" s="589">
        <v>144.30672999999999</v>
      </c>
      <c r="L1097" s="538">
        <v>1</v>
      </c>
      <c r="M1097" s="589">
        <v>144.30672999999999</v>
      </c>
      <c r="N1097" s="6" t="s">
        <v>2319</v>
      </c>
      <c r="O1097" s="541">
        <v>45842</v>
      </c>
      <c r="P1097" s="33" t="str">
        <f>HYPERLINK("https://my.zakupivli.pro/remote/dispatcher/state_purchase_view/60534949", "UA-2025-07-04-006125-a")</f>
        <v>UA-2025-07-04-006125-a</v>
      </c>
      <c r="Q1097" s="540">
        <v>144.30672999999999</v>
      </c>
      <c r="R1097" s="538">
        <v>1</v>
      </c>
      <c r="S1097" s="538">
        <v>144.30672999999999</v>
      </c>
      <c r="T1097" s="539">
        <v>45841</v>
      </c>
      <c r="U1097" s="523"/>
      <c r="V1097" s="538" t="s">
        <v>59</v>
      </c>
    </row>
    <row r="1098" spans="1:22" ht="62.4" x14ac:dyDescent="0.3">
      <c r="A1098" s="540">
        <v>1092</v>
      </c>
      <c r="B1098" s="540" t="s">
        <v>40</v>
      </c>
      <c r="C1098" s="540" t="s">
        <v>884</v>
      </c>
      <c r="D1098" s="523"/>
      <c r="E1098" s="540" t="s">
        <v>20</v>
      </c>
      <c r="F1098" s="523" t="s">
        <v>2320</v>
      </c>
      <c r="G1098" s="540" t="s">
        <v>184</v>
      </c>
      <c r="H1098" s="589">
        <v>947.21605</v>
      </c>
      <c r="I1098" s="540">
        <v>1</v>
      </c>
      <c r="J1098" s="589">
        <v>947.21605</v>
      </c>
      <c r="K1098" s="589">
        <v>947.21605</v>
      </c>
      <c r="L1098" s="540">
        <v>1</v>
      </c>
      <c r="M1098" s="589">
        <v>947.21605</v>
      </c>
      <c r="N1098" s="6" t="s">
        <v>2323</v>
      </c>
      <c r="O1098" s="541">
        <v>45842</v>
      </c>
      <c r="P1098" s="33" t="str">
        <f>HYPERLINK("https://my.zakupivli.pro/remote/dispatcher/state_purchase_view/60540211", "UA-2025-07-04-008474-a")</f>
        <v>UA-2025-07-04-008474-a</v>
      </c>
      <c r="Q1098" s="540">
        <v>947.21605</v>
      </c>
      <c r="R1098" s="540">
        <v>1</v>
      </c>
      <c r="S1098" s="540">
        <v>947.21605</v>
      </c>
      <c r="T1098" s="541">
        <v>45842</v>
      </c>
      <c r="U1098" s="523"/>
      <c r="V1098" s="540" t="s">
        <v>59</v>
      </c>
    </row>
    <row r="1099" spans="1:22" ht="62.4" x14ac:dyDescent="0.3">
      <c r="A1099" s="540">
        <v>1093</v>
      </c>
      <c r="B1099" s="540" t="s">
        <v>40</v>
      </c>
      <c r="C1099" s="540" t="s">
        <v>41</v>
      </c>
      <c r="D1099" s="523"/>
      <c r="E1099" s="540" t="s">
        <v>20</v>
      </c>
      <c r="F1099" s="523" t="s">
        <v>2321</v>
      </c>
      <c r="G1099" s="540" t="s">
        <v>184</v>
      </c>
      <c r="H1099" s="589">
        <v>106.20896999999999</v>
      </c>
      <c r="I1099" s="540">
        <v>1</v>
      </c>
      <c r="J1099" s="589">
        <v>106.20896999999999</v>
      </c>
      <c r="K1099" s="589">
        <v>106.20896999999999</v>
      </c>
      <c r="L1099" s="540">
        <v>1</v>
      </c>
      <c r="M1099" s="589">
        <v>106.20896999999999</v>
      </c>
      <c r="N1099" s="6" t="s">
        <v>2324</v>
      </c>
      <c r="O1099" s="541">
        <v>45842</v>
      </c>
      <c r="P1099" s="33" t="str">
        <f>HYPERLINK("https://my.zakupivli.pro/remote/dispatcher/state_purchase_view/60539749", "UA-2025-07-04-008295-a")</f>
        <v>UA-2025-07-04-008295-a</v>
      </c>
      <c r="Q1099" s="540">
        <v>106.20896999999999</v>
      </c>
      <c r="R1099" s="540">
        <v>1</v>
      </c>
      <c r="S1099" s="540">
        <v>106.20896999999999</v>
      </c>
      <c r="T1099" s="541">
        <v>45842</v>
      </c>
      <c r="U1099" s="523"/>
      <c r="V1099" s="540" t="s">
        <v>59</v>
      </c>
    </row>
    <row r="1100" spans="1:22" ht="62.4" x14ac:dyDescent="0.3">
      <c r="A1100" s="540">
        <v>1094</v>
      </c>
      <c r="B1100" s="540" t="s">
        <v>40</v>
      </c>
      <c r="C1100" s="540" t="s">
        <v>884</v>
      </c>
      <c r="D1100" s="523"/>
      <c r="E1100" s="540" t="s">
        <v>20</v>
      </c>
      <c r="F1100" s="523" t="s">
        <v>2322</v>
      </c>
      <c r="G1100" s="540" t="s">
        <v>184</v>
      </c>
      <c r="H1100" s="589">
        <v>896.16039000000001</v>
      </c>
      <c r="I1100" s="540">
        <v>1</v>
      </c>
      <c r="J1100" s="589">
        <v>896.16039000000001</v>
      </c>
      <c r="K1100" s="589">
        <v>896.16039000000001</v>
      </c>
      <c r="L1100" s="540">
        <v>1</v>
      </c>
      <c r="M1100" s="589">
        <v>896.16039000000001</v>
      </c>
      <c r="N1100" s="6" t="s">
        <v>2325</v>
      </c>
      <c r="O1100" s="543">
        <v>45842</v>
      </c>
      <c r="P1100" s="33" t="str">
        <f>HYPERLINK("https://my.zakupivli.pro/remote/dispatcher/state_purchase_view/60539705", "UA-2025-07-04-008271-a")</f>
        <v>UA-2025-07-04-008271-a</v>
      </c>
      <c r="Q1100" s="542">
        <v>896.16039000000001</v>
      </c>
      <c r="R1100" s="540">
        <v>1</v>
      </c>
      <c r="S1100" s="540">
        <v>896.16039000000001</v>
      </c>
      <c r="T1100" s="541">
        <v>45842</v>
      </c>
      <c r="U1100" s="523"/>
      <c r="V1100" s="540" t="s">
        <v>59</v>
      </c>
    </row>
    <row r="1101" spans="1:22" ht="78" x14ac:dyDescent="0.3">
      <c r="A1101" s="542">
        <v>1095</v>
      </c>
      <c r="B1101" s="542" t="s">
        <v>40</v>
      </c>
      <c r="C1101" s="542" t="s">
        <v>41</v>
      </c>
      <c r="D1101" s="523"/>
      <c r="E1101" s="542" t="s">
        <v>88</v>
      </c>
      <c r="F1101" s="523" t="s">
        <v>2326</v>
      </c>
      <c r="G1101" s="542" t="s">
        <v>184</v>
      </c>
      <c r="H1101" s="589">
        <v>697.25147000000004</v>
      </c>
      <c r="I1101" s="542">
        <v>1</v>
      </c>
      <c r="J1101" s="589">
        <v>697.25147000000004</v>
      </c>
      <c r="K1101" s="589">
        <v>697.25147000000004</v>
      </c>
      <c r="L1101" s="542">
        <v>1</v>
      </c>
      <c r="M1101" s="589">
        <v>697.25147000000004</v>
      </c>
      <c r="N1101" s="6" t="s">
        <v>2328</v>
      </c>
      <c r="O1101" s="543">
        <v>45847</v>
      </c>
      <c r="P1101" s="33" t="str">
        <f>HYPERLINK("https://my.zakupivli.pro/remote/dispatcher/state_purchase_view/60601688", "UA-2025-07-09-000191-a")</f>
        <v>UA-2025-07-09-000191-a</v>
      </c>
      <c r="Q1101" s="557"/>
      <c r="R1101" s="557"/>
      <c r="S1101" s="557"/>
      <c r="T1101" s="558"/>
      <c r="U1101" s="557" t="s">
        <v>1793</v>
      </c>
      <c r="V1101" s="557"/>
    </row>
    <row r="1102" spans="1:22" ht="78" x14ac:dyDescent="0.3">
      <c r="A1102" s="542">
        <v>1096</v>
      </c>
      <c r="B1102" s="542" t="s">
        <v>40</v>
      </c>
      <c r="C1102" s="542" t="s">
        <v>41</v>
      </c>
      <c r="D1102" s="523"/>
      <c r="E1102" s="542" t="s">
        <v>88</v>
      </c>
      <c r="F1102" s="523" t="s">
        <v>2327</v>
      </c>
      <c r="G1102" s="542" t="s">
        <v>184</v>
      </c>
      <c r="H1102" s="589">
        <v>890.91827000000001</v>
      </c>
      <c r="I1102" s="542">
        <v>1</v>
      </c>
      <c r="J1102" s="589">
        <v>890.91827000000001</v>
      </c>
      <c r="K1102" s="589">
        <v>890.91827000000001</v>
      </c>
      <c r="L1102" s="542">
        <v>1</v>
      </c>
      <c r="M1102" s="589">
        <v>890.91827000000001</v>
      </c>
      <c r="N1102" s="6" t="s">
        <v>2329</v>
      </c>
      <c r="O1102" s="545">
        <v>45847</v>
      </c>
      <c r="P1102" s="33" t="str">
        <f>HYPERLINK("https://my.zakupivli.pro/remote/dispatcher/state_purchase_view/60601653", "UA-2025-07-09-000174-a")</f>
        <v>UA-2025-07-09-000174-a</v>
      </c>
      <c r="Q1102" s="557"/>
      <c r="R1102" s="557"/>
      <c r="S1102" s="557"/>
      <c r="T1102" s="558"/>
      <c r="U1102" s="557" t="s">
        <v>1793</v>
      </c>
      <c r="V1102" s="557"/>
    </row>
    <row r="1103" spans="1:22" ht="78" x14ac:dyDescent="0.3">
      <c r="A1103" s="544">
        <v>1097</v>
      </c>
      <c r="B1103" s="544" t="s">
        <v>40</v>
      </c>
      <c r="C1103" s="544" t="s">
        <v>884</v>
      </c>
      <c r="D1103" s="523"/>
      <c r="E1103" s="544" t="s">
        <v>20</v>
      </c>
      <c r="F1103" s="523" t="s">
        <v>2330</v>
      </c>
      <c r="G1103" s="544" t="s">
        <v>184</v>
      </c>
      <c r="H1103" s="589">
        <v>75.106110000000001</v>
      </c>
      <c r="I1103" s="544">
        <v>1</v>
      </c>
      <c r="J1103" s="589">
        <v>75.106110000000001</v>
      </c>
      <c r="K1103" s="589">
        <v>75.106110000000001</v>
      </c>
      <c r="L1103" s="544">
        <v>1</v>
      </c>
      <c r="M1103" s="589">
        <v>75.106110000000001</v>
      </c>
      <c r="N1103" s="6" t="s">
        <v>2333</v>
      </c>
      <c r="O1103" s="545">
        <v>45847</v>
      </c>
      <c r="P1103" s="33" t="str">
        <f>HYPERLINK("https://my.zakupivli.pro/remote/dispatcher/state_purchase_view/60616351", "UA-2025-07-09-006761-a")</f>
        <v>UA-2025-07-09-006761-a</v>
      </c>
      <c r="Q1103" s="544">
        <v>75.106110000000001</v>
      </c>
      <c r="R1103" s="544">
        <v>1</v>
      </c>
      <c r="S1103" s="544">
        <v>75.106110000000001</v>
      </c>
      <c r="T1103" s="545">
        <v>45847</v>
      </c>
      <c r="U1103" s="523"/>
      <c r="V1103" s="544" t="s">
        <v>59</v>
      </c>
    </row>
    <row r="1104" spans="1:22" ht="78" x14ac:dyDescent="0.3">
      <c r="A1104" s="544">
        <v>1098</v>
      </c>
      <c r="B1104" s="544" t="s">
        <v>40</v>
      </c>
      <c r="C1104" s="544" t="s">
        <v>884</v>
      </c>
      <c r="D1104" s="523"/>
      <c r="E1104" s="544" t="s">
        <v>20</v>
      </c>
      <c r="F1104" s="523" t="s">
        <v>2331</v>
      </c>
      <c r="G1104" s="544" t="s">
        <v>184</v>
      </c>
      <c r="H1104" s="589">
        <v>101.82616</v>
      </c>
      <c r="I1104" s="544">
        <v>1</v>
      </c>
      <c r="J1104" s="589">
        <v>101.82616</v>
      </c>
      <c r="K1104" s="589">
        <v>101.82616</v>
      </c>
      <c r="L1104" s="544">
        <v>1</v>
      </c>
      <c r="M1104" s="589">
        <v>101.82616</v>
      </c>
      <c r="N1104" s="6" t="s">
        <v>2334</v>
      </c>
      <c r="O1104" s="545">
        <v>45847</v>
      </c>
      <c r="P1104" s="33" t="str">
        <f>HYPERLINK("https://my.zakupivli.pro/remote/dispatcher/state_purchase_view/60616255", "UA-2025-07-09-006707-a")</f>
        <v>UA-2025-07-09-006707-a</v>
      </c>
      <c r="Q1104" s="544">
        <v>101.82616</v>
      </c>
      <c r="R1104" s="544">
        <v>1</v>
      </c>
      <c r="S1104" s="544">
        <v>101.82616</v>
      </c>
      <c r="T1104" s="545">
        <v>45847</v>
      </c>
      <c r="U1104" s="523"/>
      <c r="V1104" s="544" t="s">
        <v>59</v>
      </c>
    </row>
    <row r="1105" spans="1:22" ht="78" x14ac:dyDescent="0.3">
      <c r="A1105" s="544">
        <v>1099</v>
      </c>
      <c r="B1105" s="544" t="s">
        <v>40</v>
      </c>
      <c r="C1105" s="544" t="s">
        <v>884</v>
      </c>
      <c r="D1105" s="523"/>
      <c r="E1105" s="544" t="s">
        <v>20</v>
      </c>
      <c r="F1105" s="523" t="s">
        <v>2332</v>
      </c>
      <c r="G1105" s="544" t="s">
        <v>184</v>
      </c>
      <c r="H1105" s="589">
        <v>246.63672</v>
      </c>
      <c r="I1105" s="544">
        <v>1</v>
      </c>
      <c r="J1105" s="589">
        <v>246.63672</v>
      </c>
      <c r="K1105" s="589">
        <v>246.63672</v>
      </c>
      <c r="L1105" s="544">
        <v>1</v>
      </c>
      <c r="M1105" s="589">
        <v>246.63672</v>
      </c>
      <c r="N1105" s="6" t="s">
        <v>2335</v>
      </c>
      <c r="O1105" s="547">
        <v>45847</v>
      </c>
      <c r="P1105" s="33" t="str">
        <f>HYPERLINK("https://my.zakupivli.pro/remote/dispatcher/state_purchase_view/60616244", "UA-2025-07-09-006700-a")</f>
        <v>UA-2025-07-09-006700-a</v>
      </c>
      <c r="Q1105" s="548">
        <v>246.63672</v>
      </c>
      <c r="R1105" s="544">
        <v>1</v>
      </c>
      <c r="S1105" s="544">
        <v>246.63672</v>
      </c>
      <c r="T1105" s="545">
        <v>45847</v>
      </c>
      <c r="U1105" s="523"/>
      <c r="V1105" s="544" t="s">
        <v>59</v>
      </c>
    </row>
    <row r="1106" spans="1:22" ht="62.4" x14ac:dyDescent="0.3">
      <c r="A1106" s="548">
        <v>1100</v>
      </c>
      <c r="B1106" s="523" t="s">
        <v>1150</v>
      </c>
      <c r="C1106" s="523" t="s">
        <v>1466</v>
      </c>
      <c r="D1106" s="523"/>
      <c r="E1106" s="548" t="s">
        <v>75</v>
      </c>
      <c r="F1106" s="523" t="s">
        <v>2336</v>
      </c>
      <c r="G1106" s="523" t="s">
        <v>1149</v>
      </c>
      <c r="H1106" s="589">
        <v>99.7</v>
      </c>
      <c r="I1106" s="523">
        <v>1</v>
      </c>
      <c r="J1106" s="589">
        <v>99.7</v>
      </c>
      <c r="K1106" s="589">
        <v>99.7</v>
      </c>
      <c r="L1106" s="523">
        <v>1</v>
      </c>
      <c r="M1106" s="589">
        <v>99.7</v>
      </c>
      <c r="N1106" s="6" t="s">
        <v>2337</v>
      </c>
      <c r="O1106" s="552">
        <v>45848</v>
      </c>
      <c r="P1106" s="33" t="str">
        <f>HYPERLINK("https://my.zakupivli.pro/remote/dispatcher/state_purchase_view/60641481", "UA-2025-07-10-005768-a")</f>
        <v>UA-2025-07-10-005768-a</v>
      </c>
      <c r="Q1106" s="551">
        <v>99.7</v>
      </c>
      <c r="R1106" s="523">
        <v>1</v>
      </c>
      <c r="S1106" s="548">
        <v>99.7</v>
      </c>
      <c r="T1106" s="524">
        <v>45848</v>
      </c>
      <c r="U1106" s="523"/>
      <c r="V1106" s="548" t="s">
        <v>59</v>
      </c>
    </row>
    <row r="1107" spans="1:22" ht="78" x14ac:dyDescent="0.3">
      <c r="A1107" s="551">
        <v>1101</v>
      </c>
      <c r="B1107" s="551" t="s">
        <v>40</v>
      </c>
      <c r="C1107" s="551" t="s">
        <v>884</v>
      </c>
      <c r="D1107" s="523"/>
      <c r="E1107" s="551" t="s">
        <v>20</v>
      </c>
      <c r="F1107" s="523" t="s">
        <v>2345</v>
      </c>
      <c r="G1107" s="551" t="s">
        <v>184</v>
      </c>
      <c r="H1107" s="589">
        <v>300.30211000000003</v>
      </c>
      <c r="I1107" s="523">
        <v>1</v>
      </c>
      <c r="J1107" s="589">
        <v>300.30211000000003</v>
      </c>
      <c r="K1107" s="589">
        <v>300.30211000000003</v>
      </c>
      <c r="L1107" s="523">
        <v>1</v>
      </c>
      <c r="M1107" s="589">
        <v>300.30211000000003</v>
      </c>
      <c r="N1107" s="6" t="s">
        <v>2346</v>
      </c>
      <c r="O1107" s="554">
        <v>45855</v>
      </c>
      <c r="P1107" s="33" t="str">
        <f>HYPERLINK("https://my.zakupivli.pro/remote/dispatcher/state_purchase_view/60773263", "UA-2025-07-17-006467-a")</f>
        <v>UA-2025-07-17-006467-a</v>
      </c>
      <c r="Q1107" s="553">
        <v>300.30211000000003</v>
      </c>
      <c r="R1107" s="523">
        <v>1</v>
      </c>
      <c r="S1107" s="551">
        <v>300.30211000000003</v>
      </c>
      <c r="T1107" s="552">
        <v>45855</v>
      </c>
      <c r="U1107" s="523"/>
      <c r="V1107" s="551" t="s">
        <v>59</v>
      </c>
    </row>
    <row r="1108" spans="1:22" ht="156" x14ac:dyDescent="0.3">
      <c r="A1108" s="553">
        <v>1102</v>
      </c>
      <c r="B1108" s="553" t="s">
        <v>40</v>
      </c>
      <c r="C1108" s="523" t="s">
        <v>517</v>
      </c>
      <c r="D1108" s="523"/>
      <c r="E1108" s="553" t="s">
        <v>20</v>
      </c>
      <c r="F1108" s="523" t="s">
        <v>2347</v>
      </c>
      <c r="G1108" s="553" t="s">
        <v>40</v>
      </c>
      <c r="H1108" s="589">
        <v>1182.9434100000001</v>
      </c>
      <c r="I1108" s="523">
        <v>1</v>
      </c>
      <c r="J1108" s="589">
        <v>1182.9434100000001</v>
      </c>
      <c r="K1108" s="589">
        <v>1182.9434100000001</v>
      </c>
      <c r="L1108" s="523">
        <v>1</v>
      </c>
      <c r="M1108" s="589">
        <v>1182.9434100000001</v>
      </c>
      <c r="N1108" s="6" t="s">
        <v>2348</v>
      </c>
      <c r="O1108" s="556">
        <v>45855</v>
      </c>
      <c r="P1108" s="33" t="str">
        <f>HYPERLINK("https://my.zakupivli.pro/remote/dispatcher/state_purchase_view/60781506", "UA-2025-07-17-010273-a")</f>
        <v>UA-2025-07-17-010273-a</v>
      </c>
      <c r="Q1108" s="555">
        <v>1182.9434100000001</v>
      </c>
      <c r="R1108" s="553">
        <v>1</v>
      </c>
      <c r="S1108" s="553">
        <v>1182.9434100000001</v>
      </c>
      <c r="T1108" s="554">
        <v>45855</v>
      </c>
      <c r="U1108" s="523"/>
      <c r="V1108" s="553" t="s">
        <v>59</v>
      </c>
    </row>
    <row r="1109" spans="1:22" ht="62.4" x14ac:dyDescent="0.3">
      <c r="A1109" s="555">
        <v>1103</v>
      </c>
      <c r="B1109" s="555" t="s">
        <v>40</v>
      </c>
      <c r="C1109" s="555" t="s">
        <v>41</v>
      </c>
      <c r="D1109" s="523"/>
      <c r="E1109" s="555" t="s">
        <v>20</v>
      </c>
      <c r="F1109" s="523" t="s">
        <v>2349</v>
      </c>
      <c r="G1109" s="555" t="s">
        <v>40</v>
      </c>
      <c r="H1109" s="589">
        <v>170.63523000000001</v>
      </c>
      <c r="I1109" s="555">
        <v>1</v>
      </c>
      <c r="J1109" s="589">
        <v>170.63523000000001</v>
      </c>
      <c r="K1109" s="589">
        <v>170.63523000000001</v>
      </c>
      <c r="L1109" s="555">
        <v>1</v>
      </c>
      <c r="M1109" s="589">
        <v>170.63523000000001</v>
      </c>
      <c r="N1109" s="6" t="s">
        <v>2352</v>
      </c>
      <c r="O1109" s="556">
        <v>45860</v>
      </c>
      <c r="P1109" s="33" t="str">
        <f>HYPERLINK("https://my.zakupivli.pro/remote/dispatcher/state_purchase_view/60853228", "UA-2025-07-22-007428-a")</f>
        <v>UA-2025-07-22-007428-a</v>
      </c>
      <c r="Q1109" s="555">
        <v>170.63523000000001</v>
      </c>
      <c r="R1109" s="555">
        <v>1</v>
      </c>
      <c r="S1109" s="555">
        <v>170.63523000000001</v>
      </c>
      <c r="T1109" s="556">
        <v>45860</v>
      </c>
      <c r="U1109" s="523"/>
      <c r="V1109" s="555" t="s">
        <v>59</v>
      </c>
    </row>
    <row r="1110" spans="1:22" ht="62.4" x14ac:dyDescent="0.3">
      <c r="A1110" s="555">
        <v>1104</v>
      </c>
      <c r="B1110" s="555" t="s">
        <v>40</v>
      </c>
      <c r="C1110" s="555" t="s">
        <v>884</v>
      </c>
      <c r="D1110" s="523"/>
      <c r="E1110" s="555" t="s">
        <v>20</v>
      </c>
      <c r="F1110" s="523" t="s">
        <v>2350</v>
      </c>
      <c r="G1110" s="555" t="s">
        <v>40</v>
      </c>
      <c r="H1110" s="589">
        <v>305.76837</v>
      </c>
      <c r="I1110" s="555">
        <v>1</v>
      </c>
      <c r="J1110" s="589">
        <v>305.76837</v>
      </c>
      <c r="K1110" s="589">
        <v>305.76837</v>
      </c>
      <c r="L1110" s="555">
        <v>1</v>
      </c>
      <c r="M1110" s="589">
        <v>305.76837</v>
      </c>
      <c r="N1110" s="6" t="s">
        <v>2353</v>
      </c>
      <c r="O1110" s="556">
        <v>45860</v>
      </c>
      <c r="P1110" s="33" t="str">
        <f>HYPERLINK("https://my.zakupivli.pro/remote/dispatcher/state_purchase_view/60853219", "UA-2025-07-22-007419-a")</f>
        <v>UA-2025-07-22-007419-a</v>
      </c>
      <c r="Q1110" s="555">
        <v>305.76837</v>
      </c>
      <c r="R1110" s="555">
        <v>1</v>
      </c>
      <c r="S1110" s="555">
        <v>305.76837</v>
      </c>
      <c r="T1110" s="556">
        <v>45860</v>
      </c>
      <c r="U1110" s="523"/>
      <c r="V1110" s="555" t="s">
        <v>59</v>
      </c>
    </row>
    <row r="1111" spans="1:22" ht="62.4" x14ac:dyDescent="0.3">
      <c r="A1111" s="555">
        <v>1105</v>
      </c>
      <c r="B1111" s="555" t="s">
        <v>40</v>
      </c>
      <c r="C1111" s="555" t="s">
        <v>884</v>
      </c>
      <c r="D1111" s="523"/>
      <c r="E1111" s="555" t="s">
        <v>20</v>
      </c>
      <c r="F1111" s="523" t="s">
        <v>2351</v>
      </c>
      <c r="G1111" s="555" t="s">
        <v>40</v>
      </c>
      <c r="H1111" s="589">
        <v>201.19290000000001</v>
      </c>
      <c r="I1111" s="555">
        <v>1</v>
      </c>
      <c r="J1111" s="589">
        <v>201.19290000000001</v>
      </c>
      <c r="K1111" s="589">
        <v>201.19290000000001</v>
      </c>
      <c r="L1111" s="555">
        <v>1</v>
      </c>
      <c r="M1111" s="589">
        <v>201.19290000000001</v>
      </c>
      <c r="N1111" s="6" t="s">
        <v>2354</v>
      </c>
      <c r="O1111" s="558">
        <v>45860</v>
      </c>
      <c r="P1111" s="33" t="str">
        <f>HYPERLINK("https://my.zakupivli.pro/remote/dispatcher/state_purchase_view/60852937", "UA-2025-07-22-007339-a")</f>
        <v>UA-2025-07-22-007339-a</v>
      </c>
      <c r="Q1111" s="557">
        <v>201.19290000000001</v>
      </c>
      <c r="R1111" s="555">
        <v>1</v>
      </c>
      <c r="S1111" s="555">
        <v>201.19290000000001</v>
      </c>
      <c r="T1111" s="556">
        <v>45860</v>
      </c>
      <c r="U1111" s="523"/>
      <c r="V1111" s="555" t="s">
        <v>59</v>
      </c>
    </row>
    <row r="1112" spans="1:22" ht="62.4" x14ac:dyDescent="0.3">
      <c r="A1112" s="557">
        <v>1106</v>
      </c>
      <c r="B1112" s="557" t="s">
        <v>40</v>
      </c>
      <c r="C1112" s="557" t="s">
        <v>884</v>
      </c>
      <c r="D1112" s="523"/>
      <c r="E1112" s="557" t="s">
        <v>20</v>
      </c>
      <c r="F1112" s="523" t="s">
        <v>2355</v>
      </c>
      <c r="G1112" s="557" t="s">
        <v>40</v>
      </c>
      <c r="H1112" s="589">
        <v>88.999700000000004</v>
      </c>
      <c r="I1112" s="557">
        <v>1</v>
      </c>
      <c r="J1112" s="589">
        <v>88.999700000000004</v>
      </c>
      <c r="K1112" s="589">
        <v>88.999700000000004</v>
      </c>
      <c r="L1112" s="557">
        <v>1</v>
      </c>
      <c r="M1112" s="589">
        <v>88.999700000000004</v>
      </c>
      <c r="N1112" s="6" t="s">
        <v>2360</v>
      </c>
      <c r="O1112" s="558">
        <v>45862</v>
      </c>
      <c r="P1112" s="33" t="str">
        <f>HYPERLINK("https://my.zakupivli.pro/remote/dispatcher/state_purchase_view/60904735", "UA-2025-07-24-006216-a")</f>
        <v>UA-2025-07-24-006216-a</v>
      </c>
      <c r="Q1112" s="557">
        <v>88.999700000000004</v>
      </c>
      <c r="R1112" s="557">
        <v>1</v>
      </c>
      <c r="S1112" s="557">
        <v>88.999700000000004</v>
      </c>
      <c r="T1112" s="558">
        <v>45862</v>
      </c>
      <c r="U1112" s="523"/>
      <c r="V1112" s="557" t="s">
        <v>59</v>
      </c>
    </row>
    <row r="1113" spans="1:22" ht="62.4" x14ac:dyDescent="0.3">
      <c r="A1113" s="557">
        <v>1107</v>
      </c>
      <c r="B1113" s="557" t="s">
        <v>40</v>
      </c>
      <c r="C1113" s="557" t="s">
        <v>884</v>
      </c>
      <c r="D1113" s="523"/>
      <c r="E1113" s="557" t="s">
        <v>20</v>
      </c>
      <c r="F1113" s="523" t="s">
        <v>2356</v>
      </c>
      <c r="G1113" s="557" t="s">
        <v>40</v>
      </c>
      <c r="H1113" s="589">
        <v>301.32303000000002</v>
      </c>
      <c r="I1113" s="557">
        <v>1</v>
      </c>
      <c r="J1113" s="589">
        <v>301.32303000000002</v>
      </c>
      <c r="K1113" s="589">
        <v>301.32303000000002</v>
      </c>
      <c r="L1113" s="557">
        <v>1</v>
      </c>
      <c r="M1113" s="589">
        <v>301.32303000000002</v>
      </c>
      <c r="N1113" s="6" t="s">
        <v>2361</v>
      </c>
      <c r="O1113" s="558">
        <v>45862</v>
      </c>
      <c r="P1113" s="33" t="str">
        <f>HYPERLINK("https://my.zakupivli.pro/remote/dispatcher/state_purchase_view/60904345", "UA-2025-07-24-006045-a")</f>
        <v>UA-2025-07-24-006045-a</v>
      </c>
      <c r="Q1113" s="557">
        <v>301.32303000000002</v>
      </c>
      <c r="R1113" s="557">
        <v>1</v>
      </c>
      <c r="S1113" s="557">
        <v>301.32303000000002</v>
      </c>
      <c r="T1113" s="558">
        <v>45862</v>
      </c>
      <c r="U1113" s="523"/>
      <c r="V1113" s="557" t="s">
        <v>59</v>
      </c>
    </row>
    <row r="1114" spans="1:22" ht="78" x14ac:dyDescent="0.3">
      <c r="A1114" s="557">
        <v>1108</v>
      </c>
      <c r="B1114" s="557" t="s">
        <v>40</v>
      </c>
      <c r="C1114" s="557" t="s">
        <v>884</v>
      </c>
      <c r="D1114" s="523"/>
      <c r="E1114" s="557" t="s">
        <v>20</v>
      </c>
      <c r="F1114" s="523" t="s">
        <v>2357</v>
      </c>
      <c r="G1114" s="557" t="s">
        <v>40</v>
      </c>
      <c r="H1114" s="589">
        <v>425.29005999999998</v>
      </c>
      <c r="I1114" s="557">
        <v>1</v>
      </c>
      <c r="J1114" s="589">
        <v>425.29005999999998</v>
      </c>
      <c r="K1114" s="589">
        <v>425.29005999999998</v>
      </c>
      <c r="L1114" s="557">
        <v>1</v>
      </c>
      <c r="M1114" s="589">
        <v>425.29005999999998</v>
      </c>
      <c r="N1114" s="6" t="s">
        <v>2362</v>
      </c>
      <c r="O1114" s="558">
        <v>45862</v>
      </c>
      <c r="P1114" s="33" t="str">
        <f>HYPERLINK("https://my.zakupivli.pro/remote/dispatcher/state_purchase_view/60904191", "UA-2025-07-24-005950-a")</f>
        <v>UA-2025-07-24-005950-a</v>
      </c>
      <c r="Q1114" s="557">
        <v>425.29005999999998</v>
      </c>
      <c r="R1114" s="557">
        <v>1</v>
      </c>
      <c r="S1114" s="557">
        <v>425.29005999999998</v>
      </c>
      <c r="T1114" s="558">
        <v>45862</v>
      </c>
      <c r="U1114" s="523"/>
      <c r="V1114" s="557" t="s">
        <v>59</v>
      </c>
    </row>
    <row r="1115" spans="1:22" ht="62.4" x14ac:dyDescent="0.3">
      <c r="A1115" s="557">
        <v>1109</v>
      </c>
      <c r="B1115" s="557" t="s">
        <v>40</v>
      </c>
      <c r="C1115" s="557" t="s">
        <v>884</v>
      </c>
      <c r="D1115" s="523"/>
      <c r="E1115" s="557" t="s">
        <v>20</v>
      </c>
      <c r="F1115" s="523" t="s">
        <v>2358</v>
      </c>
      <c r="G1115" s="557" t="s">
        <v>40</v>
      </c>
      <c r="H1115" s="589">
        <v>531.37986999999998</v>
      </c>
      <c r="I1115" s="557">
        <v>1</v>
      </c>
      <c r="J1115" s="589">
        <v>531.37986999999998</v>
      </c>
      <c r="K1115" s="589">
        <v>531.37986999999998</v>
      </c>
      <c r="L1115" s="557">
        <v>1</v>
      </c>
      <c r="M1115" s="589">
        <v>531.37986999999998</v>
      </c>
      <c r="N1115" s="6" t="s">
        <v>2363</v>
      </c>
      <c r="O1115" s="558">
        <v>45862</v>
      </c>
      <c r="P1115" s="33" t="str">
        <f>HYPERLINK("https://my.zakupivli.pro/remote/dispatcher/state_purchase_view/60904007", "UA-2025-07-24-005897-a")</f>
        <v>UA-2025-07-24-005897-a</v>
      </c>
      <c r="Q1115" s="557">
        <v>531.37986999999998</v>
      </c>
      <c r="R1115" s="557">
        <v>1</v>
      </c>
      <c r="S1115" s="557">
        <v>531.37986999999998</v>
      </c>
      <c r="T1115" s="558">
        <v>45862</v>
      </c>
      <c r="U1115" s="523"/>
      <c r="V1115" s="557" t="s">
        <v>59</v>
      </c>
    </row>
    <row r="1116" spans="1:22" ht="62.4" x14ac:dyDescent="0.3">
      <c r="A1116" s="557">
        <v>1110</v>
      </c>
      <c r="B1116" s="557" t="s">
        <v>40</v>
      </c>
      <c r="C1116" s="523" t="s">
        <v>73</v>
      </c>
      <c r="D1116" s="523"/>
      <c r="E1116" s="557" t="s">
        <v>75</v>
      </c>
      <c r="F1116" s="523" t="s">
        <v>2359</v>
      </c>
      <c r="G1116" s="557" t="s">
        <v>40</v>
      </c>
      <c r="H1116" s="589">
        <v>448.52573999999998</v>
      </c>
      <c r="I1116" s="557">
        <v>1</v>
      </c>
      <c r="J1116" s="589">
        <v>448.52573999999998</v>
      </c>
      <c r="K1116" s="589">
        <v>448.52573999999998</v>
      </c>
      <c r="L1116" s="557">
        <v>1</v>
      </c>
      <c r="M1116" s="589">
        <v>448.52573999999998</v>
      </c>
      <c r="N1116" s="6" t="s">
        <v>2364</v>
      </c>
      <c r="O1116" s="562">
        <v>45862</v>
      </c>
      <c r="P1116" s="33" t="str">
        <f>HYPERLINK("https://my.zakupivli.pro/remote/dispatcher/state_purchase_view/60891328", "UA-2025-07-24-000121-a")</f>
        <v>UA-2025-07-24-000121-a</v>
      </c>
      <c r="Q1116" s="561">
        <v>448.52573999999998</v>
      </c>
      <c r="R1116" s="557">
        <v>1</v>
      </c>
      <c r="S1116" s="557">
        <v>448.52573999999998</v>
      </c>
      <c r="T1116" s="558">
        <v>45861</v>
      </c>
      <c r="U1116" s="523"/>
      <c r="V1116" s="557" t="s">
        <v>59</v>
      </c>
    </row>
    <row r="1117" spans="1:22" ht="62.4" x14ac:dyDescent="0.3">
      <c r="A1117" s="561">
        <v>1111</v>
      </c>
      <c r="B1117" s="561" t="s">
        <v>40</v>
      </c>
      <c r="C1117" s="561" t="s">
        <v>884</v>
      </c>
      <c r="D1117" s="523"/>
      <c r="E1117" s="561" t="s">
        <v>20</v>
      </c>
      <c r="F1117" s="523" t="s">
        <v>2365</v>
      </c>
      <c r="G1117" s="561" t="s">
        <v>40</v>
      </c>
      <c r="H1117" s="589">
        <v>211.64109999999999</v>
      </c>
      <c r="I1117" s="561">
        <v>1</v>
      </c>
      <c r="J1117" s="589">
        <v>211.64109999999999</v>
      </c>
      <c r="K1117" s="589">
        <v>211.64109999999999</v>
      </c>
      <c r="L1117" s="561">
        <v>1</v>
      </c>
      <c r="M1117" s="589">
        <v>211.64109999999999</v>
      </c>
      <c r="N1117" s="6" t="s">
        <v>2368</v>
      </c>
      <c r="O1117" s="562">
        <v>45866</v>
      </c>
      <c r="P1117" s="33" t="str">
        <f>HYPERLINK("https://my.zakupivli.pro/remote/dispatcher/state_purchase_view/60962145", "UA-2025-07-28-009575-a")</f>
        <v>UA-2025-07-28-009575-a</v>
      </c>
      <c r="Q1117" s="561">
        <v>211.64109999999999</v>
      </c>
      <c r="R1117" s="561">
        <v>1</v>
      </c>
      <c r="S1117" s="561">
        <v>211.64109999999999</v>
      </c>
      <c r="T1117" s="562">
        <v>45866</v>
      </c>
      <c r="U1117" s="523"/>
      <c r="V1117" s="561" t="s">
        <v>59</v>
      </c>
    </row>
    <row r="1118" spans="1:22" ht="62.4" x14ac:dyDescent="0.3">
      <c r="A1118" s="561">
        <v>1112</v>
      </c>
      <c r="B1118" s="561" t="s">
        <v>40</v>
      </c>
      <c r="C1118" s="561" t="s">
        <v>884</v>
      </c>
      <c r="D1118" s="523"/>
      <c r="E1118" s="561" t="s">
        <v>20</v>
      </c>
      <c r="F1118" s="523" t="s">
        <v>2366</v>
      </c>
      <c r="G1118" s="561" t="s">
        <v>40</v>
      </c>
      <c r="H1118" s="589">
        <v>392.01067</v>
      </c>
      <c r="I1118" s="561">
        <v>1</v>
      </c>
      <c r="J1118" s="589">
        <v>392.01067</v>
      </c>
      <c r="K1118" s="589">
        <v>392.01067</v>
      </c>
      <c r="L1118" s="561">
        <v>1</v>
      </c>
      <c r="M1118" s="589">
        <v>392.01067</v>
      </c>
      <c r="N1118" s="6" t="s">
        <v>2369</v>
      </c>
      <c r="O1118" s="562">
        <v>45866</v>
      </c>
      <c r="P1118" s="33" t="str">
        <f>HYPERLINK("https://my.zakupivli.pro/remote/dispatcher/state_purchase_view/60961942", "UA-2025-07-28-009442-a")</f>
        <v>UA-2025-07-28-009442-a</v>
      </c>
      <c r="Q1118" s="561">
        <v>392.01067</v>
      </c>
      <c r="R1118" s="561">
        <v>1</v>
      </c>
      <c r="S1118" s="561">
        <v>392.01067</v>
      </c>
      <c r="T1118" s="562">
        <v>45866</v>
      </c>
      <c r="U1118" s="523"/>
      <c r="V1118" s="561" t="s">
        <v>59</v>
      </c>
    </row>
    <row r="1119" spans="1:22" ht="62.4" x14ac:dyDescent="0.3">
      <c r="A1119" s="561">
        <v>1113</v>
      </c>
      <c r="B1119" s="561" t="s">
        <v>40</v>
      </c>
      <c r="C1119" s="561" t="s">
        <v>884</v>
      </c>
      <c r="D1119" s="523"/>
      <c r="E1119" s="561" t="s">
        <v>20</v>
      </c>
      <c r="F1119" s="523" t="s">
        <v>2367</v>
      </c>
      <c r="G1119" s="561" t="s">
        <v>40</v>
      </c>
      <c r="H1119" s="589">
        <v>300.80259000000001</v>
      </c>
      <c r="I1119" s="561">
        <v>1</v>
      </c>
      <c r="J1119" s="589">
        <v>300.80259000000001</v>
      </c>
      <c r="K1119" s="589">
        <v>300.80259000000001</v>
      </c>
      <c r="L1119" s="561">
        <v>1</v>
      </c>
      <c r="M1119" s="589">
        <v>300.80259000000001</v>
      </c>
      <c r="N1119" s="6" t="s">
        <v>2370</v>
      </c>
      <c r="O1119" s="564">
        <v>45866</v>
      </c>
      <c r="P1119" s="33" t="str">
        <f>HYPERLINK("https://my.zakupivli.pro/remote/dispatcher/state_purchase_view/60961667", "UA-2025-07-28-009339-a")</f>
        <v>UA-2025-07-28-009339-a</v>
      </c>
      <c r="Q1119" s="563">
        <v>300.80259000000001</v>
      </c>
      <c r="R1119" s="561">
        <v>1</v>
      </c>
      <c r="S1119" s="561">
        <v>300.80259000000001</v>
      </c>
      <c r="T1119" s="562">
        <v>45866</v>
      </c>
      <c r="U1119" s="523"/>
      <c r="V1119" s="561" t="s">
        <v>59</v>
      </c>
    </row>
    <row r="1120" spans="1:22" ht="62.4" x14ac:dyDescent="0.3">
      <c r="A1120" s="563">
        <v>1114</v>
      </c>
      <c r="B1120" s="563" t="s">
        <v>40</v>
      </c>
      <c r="C1120" s="563" t="s">
        <v>884</v>
      </c>
      <c r="D1120" s="523"/>
      <c r="E1120" s="563" t="s">
        <v>20</v>
      </c>
      <c r="F1120" s="523" t="s">
        <v>2371</v>
      </c>
      <c r="G1120" s="563" t="s">
        <v>40</v>
      </c>
      <c r="H1120" s="589">
        <v>298.61579999999998</v>
      </c>
      <c r="I1120" s="563">
        <v>1</v>
      </c>
      <c r="J1120" s="589">
        <v>298.61579999999998</v>
      </c>
      <c r="K1120" s="589">
        <v>298.61579999999998</v>
      </c>
      <c r="L1120" s="563">
        <v>1</v>
      </c>
      <c r="M1120" s="589">
        <v>298.61579999999998</v>
      </c>
      <c r="N1120" s="6" t="s">
        <v>2375</v>
      </c>
      <c r="O1120" s="564">
        <v>45867</v>
      </c>
      <c r="P1120" s="33" t="str">
        <f>HYPERLINK("https://my.zakupivli.pro/remote/dispatcher/state_purchase_view/60983117", "UA-2025-07-29-008026-a")</f>
        <v>UA-2025-07-29-008026-a</v>
      </c>
      <c r="Q1120" s="563">
        <v>298.61579999999998</v>
      </c>
      <c r="R1120" s="563">
        <v>1</v>
      </c>
      <c r="S1120" s="563">
        <v>298.61579999999998</v>
      </c>
      <c r="T1120" s="524">
        <v>45867</v>
      </c>
      <c r="U1120" s="523"/>
      <c r="V1120" s="563" t="s">
        <v>59</v>
      </c>
    </row>
    <row r="1121" spans="1:22" ht="62.4" x14ac:dyDescent="0.3">
      <c r="A1121" s="563">
        <v>1115</v>
      </c>
      <c r="B1121" s="563" t="s">
        <v>40</v>
      </c>
      <c r="C1121" s="523" t="s">
        <v>41</v>
      </c>
      <c r="D1121" s="523"/>
      <c r="E1121" s="563" t="s">
        <v>20</v>
      </c>
      <c r="F1121" s="523" t="s">
        <v>2372</v>
      </c>
      <c r="G1121" s="563" t="s">
        <v>40</v>
      </c>
      <c r="H1121" s="589">
        <v>47.162419999999997</v>
      </c>
      <c r="I1121" s="563">
        <v>1</v>
      </c>
      <c r="J1121" s="589">
        <v>47.162419999999997</v>
      </c>
      <c r="K1121" s="589">
        <v>47.162419999999997</v>
      </c>
      <c r="L1121" s="563">
        <v>1</v>
      </c>
      <c r="M1121" s="589">
        <v>47.162419999999997</v>
      </c>
      <c r="N1121" s="6" t="s">
        <v>2376</v>
      </c>
      <c r="O1121" s="564">
        <v>45867</v>
      </c>
      <c r="P1121" s="33" t="str">
        <f>HYPERLINK("https://my.zakupivli.pro/remote/dispatcher/state_purchase_view/60973872", "UA-2025-07-29-003807-a")</f>
        <v>UA-2025-07-29-003807-a</v>
      </c>
      <c r="Q1121" s="563">
        <v>47.162419999999997</v>
      </c>
      <c r="R1121" s="563">
        <v>1</v>
      </c>
      <c r="S1121" s="563">
        <v>47.162419999999997</v>
      </c>
      <c r="T1121" s="564">
        <v>45867</v>
      </c>
      <c r="U1121" s="523"/>
      <c r="V1121" s="563" t="s">
        <v>59</v>
      </c>
    </row>
    <row r="1122" spans="1:22" ht="62.4" x14ac:dyDescent="0.3">
      <c r="A1122" s="563">
        <v>1116</v>
      </c>
      <c r="B1122" s="563" t="s">
        <v>40</v>
      </c>
      <c r="C1122" s="563" t="s">
        <v>884</v>
      </c>
      <c r="D1122" s="523"/>
      <c r="E1122" s="563" t="s">
        <v>20</v>
      </c>
      <c r="F1122" s="523" t="s">
        <v>2373</v>
      </c>
      <c r="G1122" s="563" t="s">
        <v>40</v>
      </c>
      <c r="H1122" s="589">
        <v>400.91667999999999</v>
      </c>
      <c r="I1122" s="563">
        <v>1</v>
      </c>
      <c r="J1122" s="589">
        <v>400.91667999999999</v>
      </c>
      <c r="K1122" s="589">
        <v>400.91667999999999</v>
      </c>
      <c r="L1122" s="563">
        <v>1</v>
      </c>
      <c r="M1122" s="589">
        <v>400.91667999999999</v>
      </c>
      <c r="N1122" s="6" t="s">
        <v>2377</v>
      </c>
      <c r="O1122" s="564">
        <v>45867</v>
      </c>
      <c r="P1122" s="33" t="str">
        <f>HYPERLINK("https://my.zakupivli.pro/remote/dispatcher/state_purchase_view/60971624", "UA-2025-07-29-002744-a")</f>
        <v>UA-2025-07-29-002744-a</v>
      </c>
      <c r="Q1122" s="563">
        <v>400.91667999999999</v>
      </c>
      <c r="R1122" s="563">
        <v>1</v>
      </c>
      <c r="S1122" s="563">
        <v>400.91667999999999</v>
      </c>
      <c r="T1122" s="564">
        <v>45867</v>
      </c>
      <c r="U1122" s="523"/>
      <c r="V1122" s="563" t="s">
        <v>59</v>
      </c>
    </row>
    <row r="1123" spans="1:22" ht="62.4" x14ac:dyDescent="0.3">
      <c r="A1123" s="563">
        <v>1117</v>
      </c>
      <c r="B1123" s="563" t="s">
        <v>40</v>
      </c>
      <c r="C1123" s="563" t="s">
        <v>884</v>
      </c>
      <c r="D1123" s="523"/>
      <c r="E1123" s="563" t="s">
        <v>20</v>
      </c>
      <c r="F1123" s="563" t="s">
        <v>2374</v>
      </c>
      <c r="G1123" s="563" t="s">
        <v>40</v>
      </c>
      <c r="H1123" s="589">
        <v>263.78917999999999</v>
      </c>
      <c r="I1123" s="563">
        <v>1</v>
      </c>
      <c r="J1123" s="589">
        <v>263.78917999999999</v>
      </c>
      <c r="K1123" s="589">
        <v>263.78917999999999</v>
      </c>
      <c r="L1123" s="563">
        <v>1</v>
      </c>
      <c r="M1123" s="589">
        <v>263.78917999999999</v>
      </c>
      <c r="N1123" s="6" t="s">
        <v>2378</v>
      </c>
      <c r="O1123" s="566">
        <v>45867</v>
      </c>
      <c r="P1123" s="33" t="str">
        <f>HYPERLINK("https://my.zakupivli.pro/remote/dispatcher/state_purchase_view/60969813", "UA-2025-07-29-001884-a")</f>
        <v>UA-2025-07-29-001884-a</v>
      </c>
      <c r="Q1123" s="565">
        <v>263.78917999999999</v>
      </c>
      <c r="R1123" s="563">
        <v>1</v>
      </c>
      <c r="S1123" s="563">
        <v>263.78917999999999</v>
      </c>
      <c r="T1123" s="564">
        <v>45867</v>
      </c>
      <c r="U1123" s="523"/>
      <c r="V1123" s="563" t="s">
        <v>59</v>
      </c>
    </row>
    <row r="1124" spans="1:22" ht="78" x14ac:dyDescent="0.3">
      <c r="A1124" s="565">
        <v>1118</v>
      </c>
      <c r="B1124" s="565" t="s">
        <v>40</v>
      </c>
      <c r="C1124" s="565" t="s">
        <v>884</v>
      </c>
      <c r="D1124" s="523"/>
      <c r="E1124" s="565" t="s">
        <v>20</v>
      </c>
      <c r="F1124" s="523" t="s">
        <v>2379</v>
      </c>
      <c r="G1124" s="565" t="s">
        <v>40</v>
      </c>
      <c r="H1124" s="589">
        <v>126.76421999999999</v>
      </c>
      <c r="I1124" s="523">
        <v>1</v>
      </c>
      <c r="J1124" s="589">
        <v>126.76421999999999</v>
      </c>
      <c r="K1124" s="589">
        <v>126.76421999999999</v>
      </c>
      <c r="L1124" s="565">
        <v>1</v>
      </c>
      <c r="M1124" s="589">
        <v>126.76421999999999</v>
      </c>
      <c r="N1124" s="6" t="s">
        <v>2382</v>
      </c>
      <c r="O1124" s="566">
        <v>45868</v>
      </c>
      <c r="P1124" s="33" t="str">
        <f>HYPERLINK("https://my.zakupivli.pro/remote/dispatcher/state_purchase_view/61011521", "UA-2025-07-30-009282-a")</f>
        <v>UA-2025-07-30-009282-a</v>
      </c>
      <c r="Q1124" s="565">
        <v>126.76421999999999</v>
      </c>
      <c r="R1124" s="565">
        <v>1</v>
      </c>
      <c r="S1124" s="565">
        <v>126.76421999999999</v>
      </c>
      <c r="T1124" s="524">
        <v>45868</v>
      </c>
      <c r="U1124" s="523"/>
      <c r="V1124" s="565" t="s">
        <v>59</v>
      </c>
    </row>
    <row r="1125" spans="1:22" ht="62.4" x14ac:dyDescent="0.3">
      <c r="A1125" s="565">
        <v>1119</v>
      </c>
      <c r="B1125" s="565" t="s">
        <v>40</v>
      </c>
      <c r="C1125" s="565" t="s">
        <v>41</v>
      </c>
      <c r="D1125" s="523"/>
      <c r="E1125" s="565" t="s">
        <v>20</v>
      </c>
      <c r="F1125" s="523" t="s">
        <v>2380</v>
      </c>
      <c r="G1125" s="565" t="s">
        <v>40</v>
      </c>
      <c r="H1125" s="589">
        <v>82.390910000000005</v>
      </c>
      <c r="I1125" s="523">
        <v>1</v>
      </c>
      <c r="J1125" s="589">
        <v>82.390910000000005</v>
      </c>
      <c r="K1125" s="589">
        <v>82.390910000000005</v>
      </c>
      <c r="L1125" s="565">
        <v>1</v>
      </c>
      <c r="M1125" s="589">
        <v>82.390910000000005</v>
      </c>
      <c r="N1125" s="6" t="s">
        <v>2383</v>
      </c>
      <c r="O1125" s="566">
        <v>45868</v>
      </c>
      <c r="P1125" s="33" t="str">
        <f>HYPERLINK("https://my.zakupivli.pro/remote/dispatcher/state_purchase_view/61011379", "UA-2025-07-30-009195-a")</f>
        <v>UA-2025-07-30-009195-a</v>
      </c>
      <c r="Q1125" s="565">
        <v>82.390910000000005</v>
      </c>
      <c r="R1125" s="565">
        <v>1</v>
      </c>
      <c r="S1125" s="565">
        <v>82.390910000000005</v>
      </c>
      <c r="T1125" s="566">
        <v>45868</v>
      </c>
      <c r="U1125" s="523"/>
      <c r="V1125" s="565" t="s">
        <v>59</v>
      </c>
    </row>
    <row r="1126" spans="1:22" ht="62.4" x14ac:dyDescent="0.3">
      <c r="A1126" s="565">
        <v>1120</v>
      </c>
      <c r="B1126" s="523" t="s">
        <v>21</v>
      </c>
      <c r="C1126" s="523" t="s">
        <v>412</v>
      </c>
      <c r="D1126" s="523"/>
      <c r="E1126" s="565" t="s">
        <v>20</v>
      </c>
      <c r="F1126" s="523" t="s">
        <v>2381</v>
      </c>
      <c r="G1126" s="565" t="s">
        <v>21</v>
      </c>
      <c r="H1126" s="589"/>
      <c r="I1126" s="523">
        <v>10</v>
      </c>
      <c r="J1126" s="589">
        <v>71.656499999999994</v>
      </c>
      <c r="K1126" s="589"/>
      <c r="L1126" s="565">
        <v>10</v>
      </c>
      <c r="M1126" s="589">
        <v>71.656499999999994</v>
      </c>
      <c r="N1126" s="6" t="s">
        <v>2384</v>
      </c>
      <c r="O1126" s="568">
        <v>45868</v>
      </c>
      <c r="P1126" s="33" t="str">
        <f>HYPERLINK("https://my.zakupivli.pro/remote/dispatcher/state_purchase_view/60998951", "UA-2025-07-30-003593-a")</f>
        <v>UA-2025-07-30-003593-a</v>
      </c>
      <c r="Q1126" s="567"/>
      <c r="R1126" s="565">
        <v>10</v>
      </c>
      <c r="S1126" s="565">
        <v>71.656499999999994</v>
      </c>
      <c r="T1126" s="566">
        <v>45868</v>
      </c>
      <c r="U1126" s="523"/>
      <c r="V1126" s="565" t="s">
        <v>59</v>
      </c>
    </row>
    <row r="1127" spans="1:22" ht="62.4" x14ac:dyDescent="0.3">
      <c r="A1127" s="567">
        <v>1121</v>
      </c>
      <c r="B1127" s="567" t="s">
        <v>40</v>
      </c>
      <c r="C1127" s="523" t="s">
        <v>73</v>
      </c>
      <c r="D1127" s="523"/>
      <c r="E1127" s="567" t="s">
        <v>75</v>
      </c>
      <c r="F1127" s="523" t="s">
        <v>2385</v>
      </c>
      <c r="G1127" s="567" t="s">
        <v>40</v>
      </c>
      <c r="H1127" s="589">
        <v>249.3767</v>
      </c>
      <c r="I1127" s="567">
        <v>1</v>
      </c>
      <c r="J1127" s="589">
        <v>249.3767</v>
      </c>
      <c r="K1127" s="589">
        <v>249.3767</v>
      </c>
      <c r="L1127" s="523">
        <v>1</v>
      </c>
      <c r="M1127" s="589">
        <v>249.3767</v>
      </c>
      <c r="N1127" s="6" t="s">
        <v>2386</v>
      </c>
      <c r="O1127" s="570">
        <v>45869</v>
      </c>
      <c r="P1127" s="33" t="str">
        <f>HYPERLINK("https://my.zakupivli.pro/remote/dispatcher/state_purchase_view/61014811", "UA-2025-07-31-000211-a")</f>
        <v>UA-2025-07-31-000211-a</v>
      </c>
      <c r="Q1127" s="569">
        <v>249.3767</v>
      </c>
      <c r="R1127" s="567">
        <v>1</v>
      </c>
      <c r="S1127" s="567">
        <v>249.3767</v>
      </c>
      <c r="T1127" s="568">
        <v>45868</v>
      </c>
      <c r="U1127" s="523"/>
      <c r="V1127" s="567" t="s">
        <v>59</v>
      </c>
    </row>
    <row r="1128" spans="1:22" ht="62.4" x14ac:dyDescent="0.3">
      <c r="A1128" s="569">
        <v>1122</v>
      </c>
      <c r="B1128" s="569" t="s">
        <v>40</v>
      </c>
      <c r="C1128" s="569" t="s">
        <v>884</v>
      </c>
      <c r="D1128" s="523"/>
      <c r="E1128" s="569" t="s">
        <v>20</v>
      </c>
      <c r="F1128" s="523" t="s">
        <v>2387</v>
      </c>
      <c r="G1128" s="569" t="s">
        <v>40</v>
      </c>
      <c r="H1128" s="589">
        <v>692.43578000000002</v>
      </c>
      <c r="I1128" s="569">
        <v>1</v>
      </c>
      <c r="J1128" s="589">
        <v>692.43578000000002</v>
      </c>
      <c r="K1128" s="589">
        <v>692.43578000000002</v>
      </c>
      <c r="L1128" s="569">
        <v>1</v>
      </c>
      <c r="M1128" s="589">
        <v>692.43578000000002</v>
      </c>
      <c r="N1128" s="3" t="s">
        <v>2389</v>
      </c>
      <c r="O1128" s="574">
        <v>45870</v>
      </c>
      <c r="P1128" s="33" t="str">
        <f>HYPERLINK("https://my.zakupivli.pro/remote/dispatcher/state_purchase_view/61050178", "UA-2025-08-01-006413-a")</f>
        <v>UA-2025-08-01-006413-a</v>
      </c>
      <c r="Q1128" s="569">
        <v>692.43578000000002</v>
      </c>
      <c r="R1128" s="569">
        <v>1</v>
      </c>
      <c r="S1128" s="569">
        <v>692.43578000000002</v>
      </c>
      <c r="T1128" s="524">
        <v>45869</v>
      </c>
      <c r="U1128" s="523"/>
      <c r="V1128" s="569" t="s">
        <v>59</v>
      </c>
    </row>
    <row r="1129" spans="1:22" ht="62.4" x14ac:dyDescent="0.3">
      <c r="A1129" s="569">
        <v>1123</v>
      </c>
      <c r="B1129" s="569" t="s">
        <v>40</v>
      </c>
      <c r="C1129" s="569" t="s">
        <v>884</v>
      </c>
      <c r="D1129" s="523"/>
      <c r="E1129" s="569" t="s">
        <v>20</v>
      </c>
      <c r="F1129" s="523" t="s">
        <v>2388</v>
      </c>
      <c r="G1129" s="569" t="s">
        <v>40</v>
      </c>
      <c r="H1129" s="589">
        <v>74.417590000000004</v>
      </c>
      <c r="I1129" s="569">
        <v>1</v>
      </c>
      <c r="J1129" s="589">
        <v>74.417590000000004</v>
      </c>
      <c r="K1129" s="589">
        <v>74.417590000000004</v>
      </c>
      <c r="L1129" s="569">
        <v>1</v>
      </c>
      <c r="M1129" s="589">
        <v>74.417590000000004</v>
      </c>
      <c r="N1129" s="3" t="s">
        <v>2390</v>
      </c>
      <c r="O1129" s="574">
        <v>45870</v>
      </c>
      <c r="P1129" s="33" t="str">
        <f>HYPERLINK("https://my.zakupivli.pro/remote/dispatcher/state_purchase_view/61049183", "UA-2025-08-01-005922-a")</f>
        <v>UA-2025-08-01-005922-a</v>
      </c>
      <c r="Q1129" s="572">
        <v>74.417590000000004</v>
      </c>
      <c r="R1129" s="569">
        <v>1</v>
      </c>
      <c r="S1129" s="569">
        <v>74.417590000000004</v>
      </c>
      <c r="T1129" s="570">
        <v>45870</v>
      </c>
      <c r="U1129" s="523"/>
      <c r="V1129" s="569" t="s">
        <v>59</v>
      </c>
    </row>
    <row r="1130" spans="1:22" ht="62.4" x14ac:dyDescent="0.3">
      <c r="A1130" s="572">
        <v>1124</v>
      </c>
      <c r="B1130" s="572" t="s">
        <v>40</v>
      </c>
      <c r="C1130" s="572" t="s">
        <v>41</v>
      </c>
      <c r="D1130" s="523"/>
      <c r="E1130" s="572" t="s">
        <v>20</v>
      </c>
      <c r="F1130" s="523" t="s">
        <v>2391</v>
      </c>
      <c r="G1130" s="572" t="s">
        <v>40</v>
      </c>
      <c r="H1130" s="589">
        <v>376.76895000000002</v>
      </c>
      <c r="I1130" s="572">
        <v>1</v>
      </c>
      <c r="J1130" s="589">
        <v>376.76895000000002</v>
      </c>
      <c r="K1130" s="589">
        <v>376.76895000000002</v>
      </c>
      <c r="L1130" s="572">
        <v>1</v>
      </c>
      <c r="M1130" s="589">
        <v>376.76895000000002</v>
      </c>
      <c r="N1130" s="3" t="s">
        <v>2392</v>
      </c>
      <c r="O1130" s="574">
        <v>45873</v>
      </c>
      <c r="P1130" s="33" t="str">
        <f>HYPERLINK("https://my.zakupivli.pro/remote/dispatcher/state_purchase_view/61077928", "UA-2025-08-04-007795-a")</f>
        <v>UA-2025-08-04-007795-a</v>
      </c>
      <c r="Q1130" s="572">
        <v>376.76895000000002</v>
      </c>
      <c r="R1130" s="572">
        <v>1</v>
      </c>
      <c r="S1130" s="572">
        <v>376.76895000000002</v>
      </c>
      <c r="T1130" s="571">
        <v>45873</v>
      </c>
      <c r="U1130" s="523"/>
      <c r="V1130" s="572" t="s">
        <v>59</v>
      </c>
    </row>
    <row r="1131" spans="1:22" ht="62.4" x14ac:dyDescent="0.3">
      <c r="A1131" s="573">
        <v>1125</v>
      </c>
      <c r="B1131" s="573" t="s">
        <v>40</v>
      </c>
      <c r="C1131" s="573" t="s">
        <v>884</v>
      </c>
      <c r="D1131" s="523"/>
      <c r="E1131" s="573" t="s">
        <v>20</v>
      </c>
      <c r="F1131" s="523" t="s">
        <v>2393</v>
      </c>
      <c r="G1131" s="573" t="s">
        <v>40</v>
      </c>
      <c r="H1131" s="589">
        <v>313.09586999999999</v>
      </c>
      <c r="I1131" s="573">
        <v>1</v>
      </c>
      <c r="J1131" s="589">
        <v>313.09586999999999</v>
      </c>
      <c r="K1131" s="589">
        <v>313.09586999999999</v>
      </c>
      <c r="L1131" s="573">
        <v>1</v>
      </c>
      <c r="M1131" s="589">
        <v>313.09586999999999</v>
      </c>
      <c r="N1131" s="577" t="s">
        <v>2396</v>
      </c>
      <c r="O1131" s="574">
        <v>45875</v>
      </c>
      <c r="P1131" s="33" t="str">
        <f>HYPERLINK("https://my.zakupivli.pro/remote/dispatcher/state_purchase_view/61130931", "UA-2025-08-06-006869-a")</f>
        <v>UA-2025-08-06-006869-a</v>
      </c>
      <c r="Q1131" s="573">
        <v>313.09586999999999</v>
      </c>
      <c r="R1131" s="573">
        <v>1</v>
      </c>
      <c r="S1131" s="573">
        <v>313.09586999999999</v>
      </c>
      <c r="T1131" s="574">
        <v>45875</v>
      </c>
      <c r="U1131" s="523"/>
      <c r="V1131" s="573" t="s">
        <v>59</v>
      </c>
    </row>
    <row r="1132" spans="1:22" ht="62.4" x14ac:dyDescent="0.3">
      <c r="A1132" s="573">
        <v>1126</v>
      </c>
      <c r="B1132" s="573" t="s">
        <v>40</v>
      </c>
      <c r="C1132" s="573" t="s">
        <v>884</v>
      </c>
      <c r="D1132" s="523"/>
      <c r="E1132" s="573" t="s">
        <v>20</v>
      </c>
      <c r="F1132" s="523" t="s">
        <v>2394</v>
      </c>
      <c r="G1132" s="573" t="s">
        <v>40</v>
      </c>
      <c r="H1132" s="589">
        <v>136.65071</v>
      </c>
      <c r="I1132" s="573">
        <v>1</v>
      </c>
      <c r="J1132" s="589">
        <v>136.65071</v>
      </c>
      <c r="K1132" s="589">
        <v>136.65071</v>
      </c>
      <c r="L1132" s="573">
        <v>1</v>
      </c>
      <c r="M1132" s="589">
        <v>136.65071</v>
      </c>
      <c r="N1132" s="578" t="s">
        <v>2397</v>
      </c>
      <c r="O1132" s="574">
        <v>45875</v>
      </c>
      <c r="P1132" s="33" t="str">
        <f>HYPERLINK("https://my.zakupivli.pro/remote/dispatcher/state_purchase_view/61130826", "UA-2025-08-06-006805-a")</f>
        <v>UA-2025-08-06-006805-a</v>
      </c>
      <c r="Q1132" s="573">
        <v>136.65071</v>
      </c>
      <c r="R1132" s="573">
        <v>1</v>
      </c>
      <c r="S1132" s="573">
        <v>136.65071</v>
      </c>
      <c r="T1132" s="574">
        <v>45875</v>
      </c>
      <c r="U1132" s="523"/>
      <c r="V1132" s="573" t="s">
        <v>59</v>
      </c>
    </row>
    <row r="1133" spans="1:22" ht="62.4" x14ac:dyDescent="0.3">
      <c r="A1133" s="573">
        <v>1127</v>
      </c>
      <c r="B1133" s="573" t="s">
        <v>40</v>
      </c>
      <c r="C1133" s="573" t="s">
        <v>884</v>
      </c>
      <c r="D1133" s="523"/>
      <c r="E1133" s="573" t="s">
        <v>20</v>
      </c>
      <c r="F1133" s="523" t="s">
        <v>2395</v>
      </c>
      <c r="G1133" s="573" t="s">
        <v>40</v>
      </c>
      <c r="H1133" s="589">
        <v>197.73087000000001</v>
      </c>
      <c r="I1133" s="573">
        <v>1</v>
      </c>
      <c r="J1133" s="589">
        <v>197.73087000000001</v>
      </c>
      <c r="K1133" s="589">
        <v>197.73087000000001</v>
      </c>
      <c r="L1133" s="573">
        <v>1</v>
      </c>
      <c r="M1133" s="589">
        <v>197.73087000000001</v>
      </c>
      <c r="N1133" s="578" t="s">
        <v>2398</v>
      </c>
      <c r="O1133" s="576">
        <v>45875</v>
      </c>
      <c r="P1133" s="33" t="str">
        <f>HYPERLINK("https://my.zakupivli.pro/remote/dispatcher/state_purchase_view/61122012", "UA-2025-08-06-002944-a")</f>
        <v>UA-2025-08-06-002944-a</v>
      </c>
      <c r="Q1133" s="575">
        <v>197.73087000000001</v>
      </c>
      <c r="R1133" s="573">
        <v>1</v>
      </c>
      <c r="S1133" s="573">
        <v>197.73087000000001</v>
      </c>
      <c r="T1133" s="574">
        <v>45875</v>
      </c>
      <c r="U1133" s="523"/>
      <c r="V1133" s="573" t="s">
        <v>59</v>
      </c>
    </row>
    <row r="1134" spans="1:22" ht="62.4" x14ac:dyDescent="0.3">
      <c r="A1134" s="575">
        <v>1128</v>
      </c>
      <c r="B1134" s="575" t="s">
        <v>40</v>
      </c>
      <c r="C1134" s="523" t="s">
        <v>884</v>
      </c>
      <c r="D1134" s="523"/>
      <c r="E1134" s="575" t="s">
        <v>20</v>
      </c>
      <c r="F1134" s="523" t="s">
        <v>2399</v>
      </c>
      <c r="G1134" s="575" t="s">
        <v>40</v>
      </c>
      <c r="H1134" s="589">
        <v>189.1266</v>
      </c>
      <c r="I1134" s="575">
        <v>1</v>
      </c>
      <c r="J1134" s="589">
        <v>189.1266</v>
      </c>
      <c r="K1134" s="589">
        <v>189.1266</v>
      </c>
      <c r="L1134" s="575">
        <v>1</v>
      </c>
      <c r="M1134" s="589">
        <v>189.1266</v>
      </c>
      <c r="N1134" s="6" t="s">
        <v>2404</v>
      </c>
      <c r="O1134" s="576">
        <v>45876</v>
      </c>
      <c r="P1134" s="33" t="str">
        <f>HYPERLINK("https://my.zakupivli.pro/remote/dispatcher/state_purchase_view/61158555", "UA-2025-08-07-007040-a")</f>
        <v>UA-2025-08-07-007040-a</v>
      </c>
      <c r="Q1134" s="575">
        <v>189.1266</v>
      </c>
      <c r="R1134" s="575">
        <v>1</v>
      </c>
      <c r="S1134" s="575">
        <v>189.1266</v>
      </c>
      <c r="T1134" s="576">
        <v>45875</v>
      </c>
      <c r="U1134" s="523"/>
      <c r="V1134" s="575" t="s">
        <v>59</v>
      </c>
    </row>
    <row r="1135" spans="1:22" ht="62.4" x14ac:dyDescent="0.3">
      <c r="A1135" s="575">
        <v>1129</v>
      </c>
      <c r="B1135" s="575" t="s">
        <v>40</v>
      </c>
      <c r="C1135" s="523" t="s">
        <v>41</v>
      </c>
      <c r="D1135" s="523"/>
      <c r="E1135" s="575" t="s">
        <v>20</v>
      </c>
      <c r="F1135" s="523" t="s">
        <v>2400</v>
      </c>
      <c r="G1135" s="575" t="s">
        <v>40</v>
      </c>
      <c r="H1135" s="589">
        <v>185.38766000000001</v>
      </c>
      <c r="I1135" s="575">
        <v>1</v>
      </c>
      <c r="J1135" s="589">
        <v>185.38766000000001</v>
      </c>
      <c r="K1135" s="589">
        <v>185.38766000000001</v>
      </c>
      <c r="L1135" s="575">
        <v>1</v>
      </c>
      <c r="M1135" s="589">
        <v>185.38766000000001</v>
      </c>
      <c r="N1135" s="6" t="s">
        <v>2405</v>
      </c>
      <c r="O1135" s="576">
        <v>45876</v>
      </c>
      <c r="P1135" s="33" t="str">
        <f>HYPERLINK("https://my.zakupivli.pro/remote/dispatcher/state_purchase_view/61158360", "UA-2025-08-07-006917-a")</f>
        <v>UA-2025-08-07-006917-a</v>
      </c>
      <c r="Q1135" s="575">
        <v>185.38766000000001</v>
      </c>
      <c r="R1135" s="575">
        <v>1</v>
      </c>
      <c r="S1135" s="575">
        <v>185.38766000000001</v>
      </c>
      <c r="T1135" s="576">
        <v>45875</v>
      </c>
      <c r="U1135" s="523"/>
      <c r="V1135" s="575" t="s">
        <v>59</v>
      </c>
    </row>
    <row r="1136" spans="1:22" ht="62.4" x14ac:dyDescent="0.3">
      <c r="A1136" s="575">
        <v>1130</v>
      </c>
      <c r="B1136" s="575" t="s">
        <v>40</v>
      </c>
      <c r="C1136" s="575" t="s">
        <v>884</v>
      </c>
      <c r="D1136" s="523"/>
      <c r="E1136" s="575" t="s">
        <v>20</v>
      </c>
      <c r="F1136" s="523" t="s">
        <v>2401</v>
      </c>
      <c r="G1136" s="575" t="s">
        <v>40</v>
      </c>
      <c r="H1136" s="589">
        <v>246.82657</v>
      </c>
      <c r="I1136" s="575">
        <v>1</v>
      </c>
      <c r="J1136" s="589">
        <v>246.82657</v>
      </c>
      <c r="K1136" s="589">
        <v>246.82657</v>
      </c>
      <c r="L1136" s="575">
        <v>1</v>
      </c>
      <c r="M1136" s="589">
        <v>246.82657</v>
      </c>
      <c r="N1136" s="6" t="s">
        <v>2406</v>
      </c>
      <c r="O1136" s="576">
        <v>45876</v>
      </c>
      <c r="P1136" s="33" t="str">
        <f>HYPERLINK("https://my.zakupivli.pro/remote/dispatcher/state_purchase_view/61157905", "UA-2025-08-07-006729-a")</f>
        <v>UA-2025-08-07-006729-a</v>
      </c>
      <c r="Q1136" s="575">
        <v>246.82657</v>
      </c>
      <c r="R1136" s="575">
        <v>1</v>
      </c>
      <c r="S1136" s="575">
        <v>246.82657</v>
      </c>
      <c r="T1136" s="576">
        <v>45875</v>
      </c>
      <c r="U1136" s="523"/>
      <c r="V1136" s="575" t="s">
        <v>59</v>
      </c>
    </row>
    <row r="1137" spans="1:22" ht="93.6" x14ac:dyDescent="0.3">
      <c r="A1137" s="575">
        <v>1131</v>
      </c>
      <c r="B1137" s="575" t="s">
        <v>40</v>
      </c>
      <c r="C1137" s="575" t="s">
        <v>884</v>
      </c>
      <c r="D1137" s="523"/>
      <c r="E1137" s="575" t="s">
        <v>20</v>
      </c>
      <c r="F1137" s="523" t="s">
        <v>2402</v>
      </c>
      <c r="G1137" s="575" t="s">
        <v>40</v>
      </c>
      <c r="H1137" s="589">
        <v>1245.2857300000001</v>
      </c>
      <c r="I1137" s="575">
        <v>1</v>
      </c>
      <c r="J1137" s="589">
        <v>1245.2857300000001</v>
      </c>
      <c r="K1137" s="589">
        <v>1245.2857300000001</v>
      </c>
      <c r="L1137" s="575">
        <v>1</v>
      </c>
      <c r="M1137" s="589">
        <v>1245.2857300000001</v>
      </c>
      <c r="N1137" s="6" t="s">
        <v>2407</v>
      </c>
      <c r="O1137" s="576">
        <v>45876</v>
      </c>
      <c r="P1137" s="33" t="str">
        <f>HYPERLINK("https://my.zakupivli.pro/remote/dispatcher/state_purchase_view/61143988", "UA-2025-08-07-000717-a")</f>
        <v>UA-2025-08-07-000717-a</v>
      </c>
      <c r="Q1137" s="575">
        <v>1245.2857300000001</v>
      </c>
      <c r="R1137" s="575">
        <v>1</v>
      </c>
      <c r="S1137" s="575">
        <v>1245.2857300000001</v>
      </c>
      <c r="T1137" s="576">
        <v>45875</v>
      </c>
      <c r="U1137" s="523"/>
      <c r="V1137" s="575" t="s">
        <v>59</v>
      </c>
    </row>
    <row r="1138" spans="1:22" ht="93.6" x14ac:dyDescent="0.3">
      <c r="A1138" s="575">
        <v>1132</v>
      </c>
      <c r="B1138" s="575" t="s">
        <v>40</v>
      </c>
      <c r="C1138" s="575" t="s">
        <v>41</v>
      </c>
      <c r="D1138" s="523"/>
      <c r="E1138" s="575" t="s">
        <v>20</v>
      </c>
      <c r="F1138" s="523" t="s">
        <v>2403</v>
      </c>
      <c r="G1138" s="575" t="s">
        <v>40</v>
      </c>
      <c r="H1138" s="589">
        <v>67.448989999999995</v>
      </c>
      <c r="I1138" s="575">
        <v>1</v>
      </c>
      <c r="J1138" s="589">
        <v>67.448989999999995</v>
      </c>
      <c r="K1138" s="589">
        <v>67.448989999999995</v>
      </c>
      <c r="L1138" s="575">
        <v>1</v>
      </c>
      <c r="M1138" s="589">
        <v>67.448989999999995</v>
      </c>
      <c r="N1138" s="6" t="s">
        <v>2408</v>
      </c>
      <c r="O1138" s="580">
        <v>45876</v>
      </c>
      <c r="P1138" s="33" t="str">
        <f>HYPERLINK("https://my.zakupivli.pro/remote/dispatcher/state_purchase_view/61143872", "UA-2025-08-07-000635-a")</f>
        <v>UA-2025-08-07-000635-a</v>
      </c>
      <c r="Q1138" s="579">
        <v>67.448989999999995</v>
      </c>
      <c r="R1138" s="575">
        <v>1</v>
      </c>
      <c r="S1138" s="575">
        <v>67.448989999999995</v>
      </c>
      <c r="T1138" s="576">
        <v>45875</v>
      </c>
      <c r="U1138" s="523"/>
      <c r="V1138" s="575" t="s">
        <v>59</v>
      </c>
    </row>
    <row r="1139" spans="1:22" ht="62.4" x14ac:dyDescent="0.3">
      <c r="A1139" s="579">
        <v>1133</v>
      </c>
      <c r="B1139" s="579" t="s">
        <v>40</v>
      </c>
      <c r="C1139" s="579" t="s">
        <v>41</v>
      </c>
      <c r="D1139" s="523"/>
      <c r="E1139" s="579" t="s">
        <v>20</v>
      </c>
      <c r="F1139" s="523" t="s">
        <v>2409</v>
      </c>
      <c r="G1139" s="579" t="s">
        <v>40</v>
      </c>
      <c r="H1139" s="589">
        <v>162.08608000000001</v>
      </c>
      <c r="I1139" s="579">
        <v>1</v>
      </c>
      <c r="J1139" s="589">
        <v>162.08608000000001</v>
      </c>
      <c r="K1139" s="589">
        <v>162.08608000000001</v>
      </c>
      <c r="L1139" s="579">
        <v>1</v>
      </c>
      <c r="M1139" s="589">
        <v>162.08608000000001</v>
      </c>
      <c r="N1139" s="6" t="s">
        <v>2410</v>
      </c>
      <c r="O1139" s="582">
        <v>45881</v>
      </c>
      <c r="P1139" s="33" t="str">
        <f>HYPERLINK("https://my.zakupivli.pro/remote/dispatcher/state_purchase_view/61224916", "UA-2025-08-12-000427-a")</f>
        <v>UA-2025-08-12-000427-a</v>
      </c>
      <c r="Q1139" s="581">
        <v>162.08608000000001</v>
      </c>
      <c r="R1139" s="579">
        <v>1</v>
      </c>
      <c r="S1139" s="579">
        <v>162.08608000000001</v>
      </c>
      <c r="T1139" s="524">
        <v>45880</v>
      </c>
      <c r="U1139" s="523"/>
      <c r="V1139" s="579" t="s">
        <v>59</v>
      </c>
    </row>
    <row r="1140" spans="1:22" ht="78" x14ac:dyDescent="0.3">
      <c r="A1140" s="581">
        <v>1134</v>
      </c>
      <c r="B1140" s="581" t="s">
        <v>40</v>
      </c>
      <c r="C1140" s="523" t="s">
        <v>73</v>
      </c>
      <c r="D1140" s="523"/>
      <c r="E1140" s="581" t="s">
        <v>75</v>
      </c>
      <c r="F1140" s="581" t="s">
        <v>2411</v>
      </c>
      <c r="G1140" s="581" t="s">
        <v>40</v>
      </c>
      <c r="H1140" s="589">
        <v>600.84594000000004</v>
      </c>
      <c r="I1140" s="581">
        <v>1</v>
      </c>
      <c r="J1140" s="589">
        <v>600.84594000000004</v>
      </c>
      <c r="K1140" s="589">
        <v>600.84594000000004</v>
      </c>
      <c r="L1140" s="581">
        <v>1</v>
      </c>
      <c r="M1140" s="589">
        <v>600.84594000000004</v>
      </c>
      <c r="N1140" s="6" t="s">
        <v>2414</v>
      </c>
      <c r="O1140" s="582">
        <v>45882</v>
      </c>
      <c r="P1140" s="33" t="str">
        <f>HYPERLINK("https://my.zakupivli.pro/remote/dispatcher/state_purchase_view/61271746", "UA-2025-08-13-008530-a")</f>
        <v>UA-2025-08-13-008530-a</v>
      </c>
      <c r="Q1140" s="581">
        <v>600.84594000000004</v>
      </c>
      <c r="R1140" s="581">
        <v>1</v>
      </c>
      <c r="S1140" s="581">
        <v>600.84594000000004</v>
      </c>
      <c r="T1140" s="524">
        <v>45882</v>
      </c>
      <c r="U1140" s="523"/>
      <c r="V1140" s="581" t="s">
        <v>59</v>
      </c>
    </row>
    <row r="1141" spans="1:22" ht="78" x14ac:dyDescent="0.3">
      <c r="A1141" s="581">
        <v>1135</v>
      </c>
      <c r="B1141" s="581" t="s">
        <v>40</v>
      </c>
      <c r="C1141" s="581" t="s">
        <v>884</v>
      </c>
      <c r="D1141" s="523"/>
      <c r="E1141" s="581" t="s">
        <v>20</v>
      </c>
      <c r="F1141" s="523" t="s">
        <v>2412</v>
      </c>
      <c r="G1141" s="581" t="s">
        <v>40</v>
      </c>
      <c r="H1141" s="589">
        <v>428.56072999999998</v>
      </c>
      <c r="I1141" s="581">
        <v>1</v>
      </c>
      <c r="J1141" s="589">
        <v>428.56072999999998</v>
      </c>
      <c r="K1141" s="589">
        <v>428.56072999999998</v>
      </c>
      <c r="L1141" s="581">
        <v>1</v>
      </c>
      <c r="M1141" s="589">
        <v>428.56072999999998</v>
      </c>
      <c r="N1141" s="6" t="s">
        <v>2415</v>
      </c>
      <c r="O1141" s="582">
        <v>45882</v>
      </c>
      <c r="P1141" s="33" t="str">
        <f>HYPERLINK("https://my.zakupivli.pro/remote/dispatcher/state_purchase_view/61268878", "UA-2025-08-13-007291-a")</f>
        <v>UA-2025-08-13-007291-a</v>
      </c>
      <c r="Q1141" s="581">
        <v>428.56072999999998</v>
      </c>
      <c r="R1141" s="581">
        <v>1</v>
      </c>
      <c r="S1141" s="581">
        <v>428.56072999999998</v>
      </c>
      <c r="T1141" s="582">
        <v>45882</v>
      </c>
      <c r="U1141" s="523"/>
      <c r="V1141" s="581" t="s">
        <v>59</v>
      </c>
    </row>
    <row r="1142" spans="1:22" ht="62.4" x14ac:dyDescent="0.3">
      <c r="A1142" s="581">
        <v>1136</v>
      </c>
      <c r="B1142" s="581" t="s">
        <v>40</v>
      </c>
      <c r="C1142" s="581" t="s">
        <v>41</v>
      </c>
      <c r="D1142" s="523"/>
      <c r="E1142" s="581" t="s">
        <v>20</v>
      </c>
      <c r="F1142" s="523" t="s">
        <v>2413</v>
      </c>
      <c r="G1142" s="581" t="s">
        <v>40</v>
      </c>
      <c r="H1142" s="589">
        <v>79.076059999999998</v>
      </c>
      <c r="I1142" s="581">
        <v>1</v>
      </c>
      <c r="J1142" s="589">
        <v>79.076059999999998</v>
      </c>
      <c r="K1142" s="589">
        <v>79.076059999999998</v>
      </c>
      <c r="L1142" s="581">
        <v>1</v>
      </c>
      <c r="M1142" s="589">
        <v>79.076059999999998</v>
      </c>
      <c r="N1142" s="6" t="s">
        <v>2416</v>
      </c>
      <c r="O1142" s="584">
        <v>45882</v>
      </c>
      <c r="P1142" s="33" t="str">
        <f>HYPERLINK("https://my.zakupivli.pro/remote/dispatcher/state_purchase_view/61268850", "UA-2025-08-13-007263-a")</f>
        <v>UA-2025-08-13-007263-a</v>
      </c>
      <c r="Q1142" s="583">
        <v>79.076059999999998</v>
      </c>
      <c r="R1142" s="581">
        <v>1</v>
      </c>
      <c r="S1142" s="581">
        <v>79.076059999999998</v>
      </c>
      <c r="T1142" s="582">
        <v>45882</v>
      </c>
      <c r="U1142" s="523"/>
      <c r="V1142" s="581" t="s">
        <v>59</v>
      </c>
    </row>
    <row r="1143" spans="1:22" ht="78" x14ac:dyDescent="0.3">
      <c r="A1143" s="583">
        <v>1137</v>
      </c>
      <c r="B1143" s="583" t="s">
        <v>40</v>
      </c>
      <c r="C1143" s="583" t="s">
        <v>73</v>
      </c>
      <c r="D1143" s="523"/>
      <c r="E1143" s="583" t="s">
        <v>75</v>
      </c>
      <c r="F1143" s="523" t="s">
        <v>2417</v>
      </c>
      <c r="G1143" s="583" t="s">
        <v>40</v>
      </c>
      <c r="H1143" s="589">
        <v>208.28203999999999</v>
      </c>
      <c r="I1143" s="583">
        <v>1</v>
      </c>
      <c r="J1143" s="589">
        <v>208.28203999999999</v>
      </c>
      <c r="K1143" s="589">
        <v>208.28203999999999</v>
      </c>
      <c r="L1143" s="583">
        <v>1</v>
      </c>
      <c r="M1143" s="589">
        <v>208.28203999999999</v>
      </c>
      <c r="N1143" s="6" t="s">
        <v>2419</v>
      </c>
      <c r="O1143" s="584">
        <v>45883</v>
      </c>
      <c r="P1143" s="33" t="str">
        <f>HYPERLINK("https://my.zakupivli.pro/remote/dispatcher/state_purchase_view/61302632", "UA-2025-08-14-009960-a")</f>
        <v>UA-2025-08-14-009960-a</v>
      </c>
      <c r="Q1143" s="583">
        <v>208.28203999999999</v>
      </c>
      <c r="R1143" s="583">
        <v>1</v>
      </c>
      <c r="S1143" s="583">
        <v>208.28203999999999</v>
      </c>
      <c r="T1143" s="584">
        <v>45883</v>
      </c>
      <c r="U1143" s="523"/>
      <c r="V1143" s="583" t="s">
        <v>59</v>
      </c>
    </row>
    <row r="1144" spans="1:22" ht="62.4" x14ac:dyDescent="0.3">
      <c r="A1144" s="583">
        <v>1138</v>
      </c>
      <c r="B1144" s="583" t="s">
        <v>40</v>
      </c>
      <c r="C1144" s="583" t="s">
        <v>41</v>
      </c>
      <c r="D1144" s="523"/>
      <c r="E1144" s="583" t="s">
        <v>20</v>
      </c>
      <c r="F1144" s="523" t="s">
        <v>2418</v>
      </c>
      <c r="G1144" s="583" t="s">
        <v>40</v>
      </c>
      <c r="H1144" s="589">
        <v>114.00954</v>
      </c>
      <c r="I1144" s="583">
        <v>1</v>
      </c>
      <c r="J1144" s="589">
        <v>114.00954</v>
      </c>
      <c r="K1144" s="589">
        <v>114.00954</v>
      </c>
      <c r="L1144" s="583">
        <v>1</v>
      </c>
      <c r="M1144" s="589">
        <v>114.00954</v>
      </c>
      <c r="N1144" s="6" t="s">
        <v>2420</v>
      </c>
      <c r="O1144" s="584">
        <v>45883</v>
      </c>
      <c r="P1144" s="33" t="str">
        <f>HYPERLINK("https://my.zakupivli.pro/remote/dispatcher/state_purchase_view/61285293", "UA-2025-08-14-002001-a")</f>
        <v>UA-2025-08-14-002001-a</v>
      </c>
      <c r="Q1144" s="583">
        <v>114.00954</v>
      </c>
      <c r="R1144" s="583">
        <v>1</v>
      </c>
      <c r="S1144" s="583">
        <v>114.00954</v>
      </c>
      <c r="T1144" s="584">
        <v>45883</v>
      </c>
      <c r="U1144" s="523"/>
      <c r="V1144" s="583" t="s">
        <v>59</v>
      </c>
    </row>
    <row r="1145" spans="1:22" ht="62.4" x14ac:dyDescent="0.3">
      <c r="A1145" s="586">
        <v>1139</v>
      </c>
      <c r="B1145" s="523" t="s">
        <v>40</v>
      </c>
      <c r="C1145" s="523" t="s">
        <v>73</v>
      </c>
      <c r="D1145" s="523"/>
      <c r="E1145" s="523" t="s">
        <v>2426</v>
      </c>
      <c r="F1145" s="523" t="s">
        <v>2423</v>
      </c>
      <c r="G1145" s="586" t="s">
        <v>40</v>
      </c>
      <c r="H1145" s="589">
        <v>1303.1409166666667</v>
      </c>
      <c r="I1145" s="586">
        <v>1</v>
      </c>
      <c r="J1145" s="589">
        <v>1303.1409166666667</v>
      </c>
      <c r="K1145" s="589">
        <v>1303.1409166666667</v>
      </c>
      <c r="L1145" s="586">
        <v>1</v>
      </c>
      <c r="M1145" s="589">
        <v>1303.1409166666667</v>
      </c>
      <c r="N1145" s="6" t="s">
        <v>2427</v>
      </c>
      <c r="O1145" s="585">
        <v>45887</v>
      </c>
      <c r="P1145" s="33" t="str">
        <f>HYPERLINK("https://my.zakupivli.pro/remote/dispatcher/state_purchase_view/61349840", "UA-2025-08-18-006435-a")</f>
        <v>UA-2025-08-18-006435-a</v>
      </c>
      <c r="Q1145" s="589">
        <v>1303.1409166666667</v>
      </c>
      <c r="R1145" s="586">
        <v>1</v>
      </c>
      <c r="S1145" s="589">
        <v>1303.1409166666667</v>
      </c>
      <c r="T1145" s="524">
        <v>45887</v>
      </c>
      <c r="U1145" s="523"/>
      <c r="V1145" s="586" t="s">
        <v>59</v>
      </c>
    </row>
    <row r="1146" spans="1:22" ht="62.4" x14ac:dyDescent="0.3">
      <c r="A1146" s="586">
        <v>1140</v>
      </c>
      <c r="B1146" s="523" t="s">
        <v>40</v>
      </c>
      <c r="C1146" s="523" t="s">
        <v>73</v>
      </c>
      <c r="D1146" s="523"/>
      <c r="E1146" s="523" t="s">
        <v>2426</v>
      </c>
      <c r="F1146" s="523" t="s">
        <v>2424</v>
      </c>
      <c r="G1146" s="586" t="s">
        <v>40</v>
      </c>
      <c r="H1146" s="589">
        <v>1603.6755000000003</v>
      </c>
      <c r="I1146" s="586">
        <v>1</v>
      </c>
      <c r="J1146" s="589">
        <v>1603.6755000000003</v>
      </c>
      <c r="K1146" s="589">
        <v>1603.6755000000003</v>
      </c>
      <c r="L1146" s="586">
        <v>1</v>
      </c>
      <c r="M1146" s="589">
        <v>1603.6755000000003</v>
      </c>
      <c r="N1146" s="6" t="s">
        <v>2428</v>
      </c>
      <c r="O1146" s="585">
        <v>45887</v>
      </c>
      <c r="P1146" s="33" t="str">
        <f>HYPERLINK("https://my.zakupivli.pro/remote/dispatcher/state_purchase_view/61348521", "UA-2025-08-18-005825-a")</f>
        <v>UA-2025-08-18-005825-a</v>
      </c>
      <c r="Q1146" s="589">
        <v>1603.6755000000003</v>
      </c>
      <c r="R1146" s="586">
        <v>1</v>
      </c>
      <c r="S1146" s="589">
        <v>1603.6755000000003</v>
      </c>
      <c r="T1146" s="524">
        <v>45887</v>
      </c>
      <c r="U1146" s="523"/>
      <c r="V1146" s="586" t="s">
        <v>59</v>
      </c>
    </row>
    <row r="1147" spans="1:22" ht="62.4" x14ac:dyDescent="0.3">
      <c r="A1147" s="586">
        <v>1141</v>
      </c>
      <c r="B1147" s="523" t="s">
        <v>40</v>
      </c>
      <c r="C1147" s="523" t="s">
        <v>73</v>
      </c>
      <c r="D1147" s="523"/>
      <c r="E1147" s="523" t="s">
        <v>2426</v>
      </c>
      <c r="F1147" s="523" t="s">
        <v>2425</v>
      </c>
      <c r="G1147" s="586" t="s">
        <v>40</v>
      </c>
      <c r="H1147" s="589">
        <v>2430.2316666666666</v>
      </c>
      <c r="I1147" s="586">
        <v>1</v>
      </c>
      <c r="J1147" s="589">
        <v>2430.2316666666666</v>
      </c>
      <c r="K1147" s="589">
        <v>2430.2316666666666</v>
      </c>
      <c r="L1147" s="586">
        <v>1</v>
      </c>
      <c r="M1147" s="589">
        <v>2430.2316666666666</v>
      </c>
      <c r="N1147" s="6" t="s">
        <v>2429</v>
      </c>
      <c r="O1147" s="585">
        <v>45887</v>
      </c>
      <c r="P1147" s="33" t="str">
        <f>HYPERLINK("https://my.zakupivli.pro/remote/dispatcher/state_purchase_view/61345643", "UA-2025-08-18-004442-a")</f>
        <v>UA-2025-08-18-004442-a</v>
      </c>
      <c r="Q1147" s="589">
        <v>2430.2316666666666</v>
      </c>
      <c r="R1147" s="586">
        <v>1</v>
      </c>
      <c r="S1147" s="589">
        <v>2430.2316666666666</v>
      </c>
      <c r="T1147" s="524">
        <v>45887</v>
      </c>
      <c r="U1147" s="523"/>
      <c r="V1147" s="586" t="s">
        <v>59</v>
      </c>
    </row>
    <row r="1148" spans="1:22" ht="62.4" x14ac:dyDescent="0.3">
      <c r="A1148" s="586">
        <v>1142</v>
      </c>
      <c r="B1148" s="523" t="s">
        <v>40</v>
      </c>
      <c r="C1148" s="523" t="s">
        <v>41</v>
      </c>
      <c r="D1148" s="523"/>
      <c r="E1148" s="586" t="s">
        <v>20</v>
      </c>
      <c r="F1148" s="523" t="s">
        <v>2421</v>
      </c>
      <c r="G1148" s="586" t="s">
        <v>40</v>
      </c>
      <c r="H1148" s="589">
        <v>4475.6973333333335</v>
      </c>
      <c r="I1148" s="586">
        <v>1</v>
      </c>
      <c r="J1148" s="589">
        <v>4475.6973333333335</v>
      </c>
      <c r="K1148" s="589">
        <v>4475.6973333333335</v>
      </c>
      <c r="L1148" s="586">
        <v>1</v>
      </c>
      <c r="M1148" s="589">
        <v>4475.6973333333335</v>
      </c>
      <c r="N1148" s="6" t="s">
        <v>2430</v>
      </c>
      <c r="O1148" s="585">
        <v>45890</v>
      </c>
      <c r="P1148" s="33" t="str">
        <f>HYPERLINK("https://my.zakupivli.pro/remote/dispatcher/state_purchase_view/61470402", "UA-2025-08-22-009012-a")</f>
        <v>UA-2025-08-22-009012-a</v>
      </c>
      <c r="Q1148" s="589">
        <v>4475.6973333333335</v>
      </c>
      <c r="R1148" s="586">
        <v>1</v>
      </c>
      <c r="S1148" s="589">
        <v>4475.6973333333335</v>
      </c>
      <c r="T1148" s="524">
        <v>45890</v>
      </c>
      <c r="U1148" s="523"/>
      <c r="V1148" s="586" t="s">
        <v>59</v>
      </c>
    </row>
    <row r="1149" spans="1:22" ht="78" x14ac:dyDescent="0.3">
      <c r="A1149" s="586">
        <v>1143</v>
      </c>
      <c r="B1149" s="523" t="s">
        <v>40</v>
      </c>
      <c r="C1149" s="523" t="s">
        <v>884</v>
      </c>
      <c r="D1149" s="523"/>
      <c r="E1149" s="586" t="s">
        <v>20</v>
      </c>
      <c r="F1149" s="523" t="s">
        <v>2422</v>
      </c>
      <c r="G1149" s="586" t="s">
        <v>40</v>
      </c>
      <c r="H1149" s="589">
        <v>3507.0559166666667</v>
      </c>
      <c r="I1149" s="586">
        <v>1</v>
      </c>
      <c r="J1149" s="589">
        <v>3507.0559166666667</v>
      </c>
      <c r="K1149" s="589">
        <v>3507.0559166666667</v>
      </c>
      <c r="L1149" s="586">
        <v>1</v>
      </c>
      <c r="M1149" s="589">
        <v>3507.0559166666667</v>
      </c>
      <c r="N1149" s="6" t="s">
        <v>2431</v>
      </c>
      <c r="O1149" s="585">
        <v>45890</v>
      </c>
      <c r="P1149" s="33" t="str">
        <f>HYPERLINK("https://my.zakupivli.pro/remote/dispatcher/state_purchase_view/61469452", "UA-2025-08-22-008690-a")</f>
        <v>UA-2025-08-22-008690-a</v>
      </c>
      <c r="Q1149" s="589">
        <v>3507.0559166666667</v>
      </c>
      <c r="R1149" s="586">
        <v>1</v>
      </c>
      <c r="S1149" s="589">
        <v>3507.0559166666667</v>
      </c>
      <c r="T1149" s="524">
        <v>45890</v>
      </c>
      <c r="U1149" s="523"/>
      <c r="V1149" s="586" t="s">
        <v>59</v>
      </c>
    </row>
    <row r="1150" spans="1:22" ht="62.4" x14ac:dyDescent="0.3">
      <c r="A1150" s="587">
        <v>1144</v>
      </c>
      <c r="B1150" s="523" t="s">
        <v>40</v>
      </c>
      <c r="C1150" s="523" t="s">
        <v>73</v>
      </c>
      <c r="D1150" s="523"/>
      <c r="E1150" s="523" t="s">
        <v>2426</v>
      </c>
      <c r="F1150" s="523" t="s">
        <v>2433</v>
      </c>
      <c r="G1150" s="523" t="s">
        <v>184</v>
      </c>
      <c r="H1150" s="589">
        <v>250.15988333333334</v>
      </c>
      <c r="I1150" s="523">
        <v>1</v>
      </c>
      <c r="J1150" s="589">
        <v>250.15988333333334</v>
      </c>
      <c r="K1150" s="589">
        <v>250.15988333333334</v>
      </c>
      <c r="L1150" s="587">
        <v>1</v>
      </c>
      <c r="M1150" s="589">
        <v>250.15988333333334</v>
      </c>
      <c r="N1150" s="6" t="s">
        <v>2434</v>
      </c>
      <c r="O1150" s="588">
        <v>45895.614469219778</v>
      </c>
      <c r="P1150" s="33" t="str">
        <f>HYPERLINK("https://my.zakupivli.pro/remote/dispatcher/state_purchase_view/61525821", "UA-2025-08-26-008283-a")</f>
        <v>UA-2025-08-26-008283-a</v>
      </c>
      <c r="Q1150" s="589">
        <v>250.15988333333334</v>
      </c>
      <c r="R1150" s="587">
        <v>1</v>
      </c>
      <c r="S1150" s="589">
        <v>250.15988333333334</v>
      </c>
      <c r="T1150" s="524">
        <v>45826</v>
      </c>
      <c r="U1150" s="523"/>
      <c r="V1150" s="587" t="s">
        <v>59</v>
      </c>
    </row>
    <row r="1151" spans="1:22" ht="78" x14ac:dyDescent="0.3">
      <c r="A1151" s="587">
        <v>1145</v>
      </c>
      <c r="B1151" s="523" t="s">
        <v>40</v>
      </c>
      <c r="C1151" s="523" t="s">
        <v>884</v>
      </c>
      <c r="D1151" s="523"/>
      <c r="E1151" s="587" t="s">
        <v>20</v>
      </c>
      <c r="F1151" s="523" t="s">
        <v>2432</v>
      </c>
      <c r="G1151" s="523" t="s">
        <v>184</v>
      </c>
      <c r="H1151" s="589">
        <v>61.564308333333337</v>
      </c>
      <c r="I1151" s="523">
        <v>1</v>
      </c>
      <c r="J1151" s="589">
        <v>61.564308333333337</v>
      </c>
      <c r="K1151" s="589">
        <v>61.564308333333337</v>
      </c>
      <c r="L1151" s="587">
        <v>1</v>
      </c>
      <c r="M1151" s="589">
        <v>61.564308333333337</v>
      </c>
      <c r="N1151" s="6" t="s">
        <v>2435</v>
      </c>
      <c r="O1151" s="599">
        <v>45897.340322058284</v>
      </c>
      <c r="P1151" s="33" t="str">
        <f>HYPERLINK("https://my.zakupivli.pro/remote/dispatcher/state_purchase_view/61566886", "UA-2025-08-28-000093-a")</f>
        <v>UA-2025-08-28-000093-a</v>
      </c>
      <c r="Q1151" s="589">
        <v>61.564308333333337</v>
      </c>
      <c r="R1151" s="587">
        <v>1</v>
      </c>
      <c r="S1151" s="589">
        <v>61.564308333333337</v>
      </c>
      <c r="T1151" s="524">
        <v>45896</v>
      </c>
      <c r="U1151" s="523"/>
      <c r="V1151" s="587" t="s">
        <v>59</v>
      </c>
    </row>
    <row r="1152" spans="1:22" ht="62.4" x14ac:dyDescent="0.3">
      <c r="A1152" s="598">
        <v>1146</v>
      </c>
      <c r="B1152" s="598" t="s">
        <v>21</v>
      </c>
      <c r="C1152" s="523" t="s">
        <v>412</v>
      </c>
      <c r="D1152" s="523"/>
      <c r="E1152" s="598" t="s">
        <v>20</v>
      </c>
      <c r="F1152" s="523" t="s">
        <v>2436</v>
      </c>
      <c r="G1152" s="523" t="s">
        <v>185</v>
      </c>
      <c r="H1152" s="589"/>
      <c r="I1152" s="523">
        <v>10</v>
      </c>
      <c r="J1152" s="589">
        <v>71.656499999999994</v>
      </c>
      <c r="K1152" s="589"/>
      <c r="L1152" s="523">
        <v>10</v>
      </c>
      <c r="M1152" s="589">
        <v>71.656499999999994</v>
      </c>
      <c r="N1152" s="6" t="s">
        <v>2437</v>
      </c>
      <c r="O1152" s="601">
        <v>45901</v>
      </c>
      <c r="P1152" s="33" t="str">
        <f>HYPERLINK("https://my.zakupivli.pro/remote/dispatcher/state_purchase_view/61620347", "UA-2025-09-01-001565-a")</f>
        <v>UA-2025-09-01-001565-a</v>
      </c>
      <c r="Q1152" s="600"/>
      <c r="R1152" s="523">
        <v>10</v>
      </c>
      <c r="S1152" s="589">
        <v>71.656499999999994</v>
      </c>
      <c r="T1152" s="599">
        <v>45901</v>
      </c>
      <c r="U1152" s="523"/>
      <c r="V1152" s="598" t="s">
        <v>59</v>
      </c>
    </row>
    <row r="1153" spans="1:22" ht="62.4" x14ac:dyDescent="0.3">
      <c r="A1153" s="600">
        <v>1147</v>
      </c>
      <c r="B1153" s="600" t="s">
        <v>40</v>
      </c>
      <c r="C1153" s="523" t="s">
        <v>884</v>
      </c>
      <c r="D1153" s="523"/>
      <c r="E1153" s="600" t="s">
        <v>20</v>
      </c>
      <c r="F1153" s="523" t="s">
        <v>2438</v>
      </c>
      <c r="G1153" s="600" t="s">
        <v>184</v>
      </c>
      <c r="H1153" s="589">
        <v>157.26320999999999</v>
      </c>
      <c r="I1153" s="523">
        <v>1</v>
      </c>
      <c r="J1153" s="589">
        <v>157.26320999999999</v>
      </c>
      <c r="K1153" s="589">
        <v>157.26320999999999</v>
      </c>
      <c r="L1153" s="600">
        <v>1</v>
      </c>
      <c r="M1153" s="589">
        <v>157.26320999999999</v>
      </c>
      <c r="N1153" s="6" t="s">
        <v>2442</v>
      </c>
      <c r="O1153" s="601">
        <v>45903</v>
      </c>
      <c r="P1153" s="33" t="str">
        <f>HYPERLINK("https://my.zakupivli.pro/remote/dispatcher/state_purchase_view/61685372", "UA-2025-09-03-007395-a")</f>
        <v>UA-2025-09-03-007395-a</v>
      </c>
      <c r="Q1153" s="589">
        <v>157.26320999999999</v>
      </c>
      <c r="R1153" s="600">
        <v>1</v>
      </c>
      <c r="S1153" s="589">
        <v>157.26320999999999</v>
      </c>
      <c r="T1153" s="601">
        <v>45901</v>
      </c>
      <c r="U1153" s="523"/>
      <c r="V1153" s="600" t="s">
        <v>59</v>
      </c>
    </row>
    <row r="1154" spans="1:22" ht="78" x14ac:dyDescent="0.3">
      <c r="A1154" s="600">
        <v>1148</v>
      </c>
      <c r="B1154" s="600" t="s">
        <v>40</v>
      </c>
      <c r="C1154" s="523" t="s">
        <v>41</v>
      </c>
      <c r="D1154" s="523"/>
      <c r="E1154" s="523" t="s">
        <v>88</v>
      </c>
      <c r="F1154" s="523" t="s">
        <v>2439</v>
      </c>
      <c r="G1154" s="600" t="s">
        <v>184</v>
      </c>
      <c r="H1154" s="589">
        <v>890.91827000000001</v>
      </c>
      <c r="I1154" s="600">
        <v>1</v>
      </c>
      <c r="J1154" s="589">
        <v>890.91827000000001</v>
      </c>
      <c r="K1154" s="589">
        <v>890.91827000000001</v>
      </c>
      <c r="L1154" s="600">
        <v>1</v>
      </c>
      <c r="M1154" s="589">
        <v>890.91827000000001</v>
      </c>
      <c r="N1154" s="6" t="s">
        <v>2443</v>
      </c>
      <c r="O1154" s="601">
        <v>45903</v>
      </c>
      <c r="P1154" s="33" t="str">
        <f>HYPERLINK("https://my.zakupivli.pro/remote/dispatcher/state_purchase_view/61671235", "UA-2025-09-03-000974-a")</f>
        <v>UA-2025-09-03-000974-a</v>
      </c>
      <c r="Q1154" s="589">
        <v>890.91827000000001</v>
      </c>
      <c r="R1154" s="600">
        <v>1</v>
      </c>
      <c r="S1154" s="589">
        <v>890.91827000000001</v>
      </c>
      <c r="T1154" s="524">
        <v>45902</v>
      </c>
      <c r="U1154" s="523"/>
      <c r="V1154" s="600" t="s">
        <v>59</v>
      </c>
    </row>
    <row r="1155" spans="1:22" ht="62.4" x14ac:dyDescent="0.3">
      <c r="A1155" s="600">
        <v>1149</v>
      </c>
      <c r="B1155" s="600" t="s">
        <v>40</v>
      </c>
      <c r="C1155" s="600" t="s">
        <v>41</v>
      </c>
      <c r="D1155" s="523"/>
      <c r="E1155" s="600" t="s">
        <v>20</v>
      </c>
      <c r="F1155" s="523" t="s">
        <v>2440</v>
      </c>
      <c r="G1155" s="600" t="s">
        <v>184</v>
      </c>
      <c r="H1155" s="589">
        <v>200.22985</v>
      </c>
      <c r="I1155" s="600">
        <v>1</v>
      </c>
      <c r="J1155" s="589">
        <v>200.22985</v>
      </c>
      <c r="K1155" s="589">
        <v>200.22985</v>
      </c>
      <c r="L1155" s="600">
        <v>1</v>
      </c>
      <c r="M1155" s="589">
        <v>200.22985</v>
      </c>
      <c r="N1155" s="6" t="s">
        <v>2444</v>
      </c>
      <c r="O1155" s="601">
        <v>45903</v>
      </c>
      <c r="P1155" s="33" t="str">
        <f>HYPERLINK("https://my.zakupivli.pro/remote/dispatcher/state_purchase_view/61670233", "UA-2025-09-03-000549-a")</f>
        <v>UA-2025-09-03-000549-a</v>
      </c>
      <c r="Q1155" s="589">
        <v>200.22985</v>
      </c>
      <c r="R1155" s="600">
        <v>1</v>
      </c>
      <c r="S1155" s="589">
        <v>200.22985</v>
      </c>
      <c r="T1155" s="601">
        <v>45902</v>
      </c>
      <c r="U1155" s="523"/>
      <c r="V1155" s="600" t="s">
        <v>59</v>
      </c>
    </row>
    <row r="1156" spans="1:22" ht="78" x14ac:dyDescent="0.3">
      <c r="A1156" s="600">
        <v>1150</v>
      </c>
      <c r="B1156" s="600" t="s">
        <v>40</v>
      </c>
      <c r="C1156" s="600" t="s">
        <v>41</v>
      </c>
      <c r="D1156" s="523"/>
      <c r="E1156" s="600" t="s">
        <v>88</v>
      </c>
      <c r="F1156" s="523" t="s">
        <v>2441</v>
      </c>
      <c r="G1156" s="600" t="s">
        <v>184</v>
      </c>
      <c r="H1156" s="589">
        <v>697.25147000000004</v>
      </c>
      <c r="I1156" s="600">
        <v>1</v>
      </c>
      <c r="J1156" s="589">
        <v>697.25147000000004</v>
      </c>
      <c r="K1156" s="589">
        <v>697.25147000000004</v>
      </c>
      <c r="L1156" s="600">
        <v>1</v>
      </c>
      <c r="M1156" s="589">
        <v>697.25147000000004</v>
      </c>
      <c r="N1156" s="6" t="s">
        <v>2445</v>
      </c>
      <c r="O1156" s="603">
        <v>45903</v>
      </c>
      <c r="P1156" s="33" t="str">
        <f>HYPERLINK("https://my.zakupivli.pro/remote/dispatcher/state_purchase_view/61669257", "UA-2025-09-03-000098-a")</f>
        <v>UA-2025-09-03-000098-a</v>
      </c>
      <c r="Q1156" s="589">
        <v>697.25147000000004</v>
      </c>
      <c r="R1156" s="600">
        <v>1</v>
      </c>
      <c r="S1156" s="589">
        <v>697.25147000000004</v>
      </c>
      <c r="T1156" s="601">
        <v>45902</v>
      </c>
      <c r="U1156" s="523"/>
      <c r="V1156" s="600" t="s">
        <v>59</v>
      </c>
    </row>
    <row r="1157" spans="1:22" ht="62.4" x14ac:dyDescent="0.3">
      <c r="A1157" s="602">
        <v>1151</v>
      </c>
      <c r="B1157" s="602" t="s">
        <v>40</v>
      </c>
      <c r="C1157" s="523" t="s">
        <v>884</v>
      </c>
      <c r="D1157" s="523"/>
      <c r="E1157" s="602" t="s">
        <v>20</v>
      </c>
      <c r="F1157" s="523" t="s">
        <v>2447</v>
      </c>
      <c r="G1157" s="602" t="s">
        <v>40</v>
      </c>
      <c r="H1157" s="589">
        <v>402.32924000000003</v>
      </c>
      <c r="I1157" s="523">
        <v>1</v>
      </c>
      <c r="J1157" s="589">
        <v>402.32924000000003</v>
      </c>
      <c r="K1157" s="589">
        <v>402.32924000000003</v>
      </c>
      <c r="L1157" s="523">
        <v>1</v>
      </c>
      <c r="M1157" s="589">
        <v>402.32924000000003</v>
      </c>
      <c r="N1157" s="6" t="s">
        <v>2446</v>
      </c>
      <c r="O1157" s="605">
        <v>45904</v>
      </c>
      <c r="P1157" s="33" t="str">
        <f>HYPERLINK("https://my.zakupivli.pro/remote/dispatcher/state_purchase_view/61710895", "UA-2025-09-04-004543-a")</f>
        <v>UA-2025-09-04-004543-a</v>
      </c>
      <c r="Q1157" s="589">
        <v>402.32924000000003</v>
      </c>
      <c r="R1157" s="523">
        <v>1</v>
      </c>
      <c r="S1157" s="589">
        <v>402.32924000000003</v>
      </c>
      <c r="T1157" s="603">
        <v>45904</v>
      </c>
      <c r="U1157" s="523"/>
      <c r="V1157" s="602" t="s">
        <v>59</v>
      </c>
    </row>
    <row r="1158" spans="1:22" ht="62.4" x14ac:dyDescent="0.3">
      <c r="A1158" s="604">
        <v>1152</v>
      </c>
      <c r="B1158" s="604" t="s">
        <v>40</v>
      </c>
      <c r="C1158" s="604" t="s">
        <v>884</v>
      </c>
      <c r="D1158" s="523"/>
      <c r="E1158" s="604" t="s">
        <v>20</v>
      </c>
      <c r="F1158" s="523" t="s">
        <v>2448</v>
      </c>
      <c r="G1158" s="604" t="s">
        <v>40</v>
      </c>
      <c r="H1158" s="589">
        <v>77.586640000000003</v>
      </c>
      <c r="I1158" s="604">
        <v>1</v>
      </c>
      <c r="J1158" s="589">
        <v>77.586640000000003</v>
      </c>
      <c r="K1158" s="589">
        <v>77.586640000000003</v>
      </c>
      <c r="L1158" s="604">
        <v>1</v>
      </c>
      <c r="M1158" s="589">
        <v>77.586640000000003</v>
      </c>
      <c r="N1158" s="6" t="s">
        <v>2450</v>
      </c>
      <c r="O1158" s="605">
        <v>45908</v>
      </c>
      <c r="P1158" s="33" t="str">
        <f>HYPERLINK("https://my.zakupivli.pro/remote/dispatcher/state_purchase_view/61768919", "UA-2025-09-08-001258-a")</f>
        <v>UA-2025-09-08-001258-a</v>
      </c>
      <c r="Q1158" s="589">
        <v>77.586640000000003</v>
      </c>
      <c r="R1158" s="604">
        <v>1</v>
      </c>
      <c r="S1158" s="589">
        <v>77.586640000000003</v>
      </c>
      <c r="T1158" s="524">
        <v>45905</v>
      </c>
      <c r="U1158" s="523"/>
      <c r="V1158" s="604" t="s">
        <v>59</v>
      </c>
    </row>
    <row r="1159" spans="1:22" ht="62.4" x14ac:dyDescent="0.3">
      <c r="A1159" s="604">
        <v>1153</v>
      </c>
      <c r="B1159" s="604" t="s">
        <v>40</v>
      </c>
      <c r="C1159" s="604" t="s">
        <v>884</v>
      </c>
      <c r="D1159" s="523"/>
      <c r="E1159" s="604" t="s">
        <v>20</v>
      </c>
      <c r="F1159" s="523" t="s">
        <v>2449</v>
      </c>
      <c r="G1159" s="604" t="s">
        <v>40</v>
      </c>
      <c r="H1159" s="589">
        <v>83.502030000000005</v>
      </c>
      <c r="I1159" s="604">
        <v>1</v>
      </c>
      <c r="J1159" s="589">
        <v>83.502030000000005</v>
      </c>
      <c r="K1159" s="589">
        <v>83.502030000000005</v>
      </c>
      <c r="L1159" s="604">
        <v>1</v>
      </c>
      <c r="M1159" s="589">
        <v>83.502030000000005</v>
      </c>
      <c r="N1159" s="6" t="s">
        <v>2451</v>
      </c>
      <c r="O1159" s="606">
        <v>45908</v>
      </c>
      <c r="P1159" s="33" t="str">
        <f>HYPERLINK("https://my.zakupivli.pro/remote/dispatcher/state_purchase_view/61767574", "UA-2025-09-08-000644-a")</f>
        <v>UA-2025-09-08-000644-a</v>
      </c>
      <c r="Q1159" s="589">
        <v>83.502030000000005</v>
      </c>
      <c r="R1159" s="604">
        <v>1</v>
      </c>
      <c r="S1159" s="589">
        <v>83.502030000000005</v>
      </c>
      <c r="T1159" s="605">
        <v>45905</v>
      </c>
      <c r="U1159" s="523"/>
      <c r="V1159" s="604" t="s">
        <v>59</v>
      </c>
    </row>
    <row r="1160" spans="1:22" ht="62.4" x14ac:dyDescent="0.3">
      <c r="A1160" s="607">
        <v>1154</v>
      </c>
      <c r="B1160" s="607" t="s">
        <v>40</v>
      </c>
      <c r="C1160" s="607" t="s">
        <v>884</v>
      </c>
      <c r="D1160" s="523"/>
      <c r="E1160" s="607" t="s">
        <v>20</v>
      </c>
      <c r="F1160" s="523" t="s">
        <v>2452</v>
      </c>
      <c r="G1160" s="607" t="s">
        <v>40</v>
      </c>
      <c r="H1160" s="589">
        <v>305.48763000000002</v>
      </c>
      <c r="I1160" s="607">
        <v>1</v>
      </c>
      <c r="J1160" s="589">
        <v>305.48763000000002</v>
      </c>
      <c r="K1160" s="589">
        <v>305.48763000000002</v>
      </c>
      <c r="L1160" s="607">
        <v>1</v>
      </c>
      <c r="M1160" s="589">
        <v>305.48763000000002</v>
      </c>
      <c r="N1160" s="6" t="s">
        <v>2454</v>
      </c>
      <c r="O1160" s="606">
        <v>45909</v>
      </c>
      <c r="P1160" s="33" t="str">
        <f>HYPERLINK("https://my.zakupivli.pro/remote/dispatcher/state_purchase_view/61819547", "UA-2025-09-09-009870-a")</f>
        <v>UA-2025-09-09-009870-a</v>
      </c>
      <c r="Q1160" s="589">
        <v>305.48763000000002</v>
      </c>
      <c r="R1160" s="607">
        <v>1</v>
      </c>
      <c r="S1160" s="589">
        <v>305.48763000000002</v>
      </c>
      <c r="T1160" s="524">
        <v>45909</v>
      </c>
      <c r="U1160" s="523"/>
      <c r="V1160" s="607" t="s">
        <v>59</v>
      </c>
    </row>
    <row r="1161" spans="1:22" ht="62.4" x14ac:dyDescent="0.3">
      <c r="A1161" s="607">
        <v>1155</v>
      </c>
      <c r="B1161" s="607" t="s">
        <v>40</v>
      </c>
      <c r="C1161" s="607" t="s">
        <v>41</v>
      </c>
      <c r="D1161" s="523"/>
      <c r="E1161" s="607" t="s">
        <v>20</v>
      </c>
      <c r="F1161" s="523" t="s">
        <v>2453</v>
      </c>
      <c r="G1161" s="607" t="s">
        <v>40</v>
      </c>
      <c r="H1161" s="589">
        <v>107.08702</v>
      </c>
      <c r="I1161" s="607">
        <v>1</v>
      </c>
      <c r="J1161" s="589">
        <v>107.08702</v>
      </c>
      <c r="K1161" s="589">
        <v>107.08702</v>
      </c>
      <c r="L1161" s="607">
        <v>1</v>
      </c>
      <c r="M1161" s="589">
        <v>107.08702</v>
      </c>
      <c r="N1161" s="6" t="s">
        <v>2455</v>
      </c>
      <c r="O1161" s="609">
        <v>45909</v>
      </c>
      <c r="P1161" s="33" t="str">
        <f>HYPERLINK("https://my.zakupivli.pro/remote/dispatcher/state_purchase_view/61819431", "UA-2025-09-09-009803-a")</f>
        <v>UA-2025-09-09-009803-a</v>
      </c>
      <c r="Q1161" s="589">
        <v>107.08702</v>
      </c>
      <c r="R1161" s="607">
        <v>1</v>
      </c>
      <c r="S1161" s="589">
        <v>107.08702</v>
      </c>
      <c r="T1161" s="606">
        <v>45909</v>
      </c>
      <c r="U1161" s="523"/>
      <c r="V1161" s="607" t="s">
        <v>59</v>
      </c>
    </row>
    <row r="1162" spans="1:22" ht="62.4" x14ac:dyDescent="0.3">
      <c r="A1162" s="608">
        <v>1156</v>
      </c>
      <c r="B1162" s="608" t="s">
        <v>40</v>
      </c>
      <c r="C1162" s="523" t="s">
        <v>73</v>
      </c>
      <c r="D1162" s="523"/>
      <c r="E1162" s="608" t="s">
        <v>75</v>
      </c>
      <c r="F1162" s="523" t="s">
        <v>2456</v>
      </c>
      <c r="G1162" s="608" t="s">
        <v>40</v>
      </c>
      <c r="H1162" s="589">
        <v>132.79675</v>
      </c>
      <c r="I1162" s="608">
        <v>1</v>
      </c>
      <c r="J1162" s="589">
        <v>132.79675</v>
      </c>
      <c r="K1162" s="589">
        <v>132.79675</v>
      </c>
      <c r="L1162" s="608">
        <v>1</v>
      </c>
      <c r="M1162" s="589">
        <v>132.79675</v>
      </c>
      <c r="N1162" s="6" t="s">
        <v>2458</v>
      </c>
      <c r="O1162" s="609">
        <v>45910</v>
      </c>
      <c r="P1162" s="33" t="str">
        <f>HYPERLINK("https://my.zakupivli.pro/remote/dispatcher/state_purchase_view/61839031", "UA-2025-09-10-003722-a")</f>
        <v>UA-2025-09-10-003722-a</v>
      </c>
      <c r="Q1162" s="589">
        <v>132.79675</v>
      </c>
      <c r="R1162" s="608">
        <v>1</v>
      </c>
      <c r="S1162" s="589">
        <v>132.79675</v>
      </c>
      <c r="T1162" s="609">
        <v>45909</v>
      </c>
      <c r="U1162" s="523"/>
      <c r="V1162" s="608" t="s">
        <v>59</v>
      </c>
    </row>
    <row r="1163" spans="1:22" ht="62.4" x14ac:dyDescent="0.3">
      <c r="A1163" s="608">
        <v>1157</v>
      </c>
      <c r="B1163" s="608" t="s">
        <v>40</v>
      </c>
      <c r="C1163" s="523" t="s">
        <v>73</v>
      </c>
      <c r="D1163" s="523"/>
      <c r="E1163" s="608" t="s">
        <v>75</v>
      </c>
      <c r="F1163" s="523" t="s">
        <v>2457</v>
      </c>
      <c r="G1163" s="608" t="s">
        <v>40</v>
      </c>
      <c r="H1163" s="589">
        <v>221.47837000000001</v>
      </c>
      <c r="I1163" s="608">
        <v>1</v>
      </c>
      <c r="J1163" s="589">
        <v>221.47837000000001</v>
      </c>
      <c r="K1163" s="589">
        <v>221.47837000000001</v>
      </c>
      <c r="L1163" s="608">
        <v>1</v>
      </c>
      <c r="M1163" s="589">
        <v>221.47837000000001</v>
      </c>
      <c r="N1163" s="6" t="s">
        <v>2459</v>
      </c>
      <c r="O1163" s="611">
        <v>45910</v>
      </c>
      <c r="P1163" s="33" t="str">
        <f>HYPERLINK("https://my.zakupivli.pro/remote/dispatcher/state_purchase_view/61838634", "UA-2025-09-10-003620-a")</f>
        <v>UA-2025-09-10-003620-a</v>
      </c>
      <c r="Q1163" s="589">
        <v>221.47837000000001</v>
      </c>
      <c r="R1163" s="608">
        <v>1</v>
      </c>
      <c r="S1163" s="589">
        <v>221.47837000000001</v>
      </c>
      <c r="T1163" s="609">
        <v>45909</v>
      </c>
      <c r="U1163" s="523"/>
      <c r="V1163" s="608" t="s">
        <v>59</v>
      </c>
    </row>
    <row r="1164" spans="1:22" ht="62.4" x14ac:dyDescent="0.3">
      <c r="A1164" s="608">
        <v>1158</v>
      </c>
      <c r="B1164" s="610" t="s">
        <v>40</v>
      </c>
      <c r="C1164" s="610" t="s">
        <v>73</v>
      </c>
      <c r="D1164" s="523"/>
      <c r="E1164" s="610" t="s">
        <v>75</v>
      </c>
      <c r="F1164" s="523" t="s">
        <v>2460</v>
      </c>
      <c r="G1164" s="610" t="s">
        <v>40</v>
      </c>
      <c r="H1164" s="589">
        <v>136.55692999999999</v>
      </c>
      <c r="I1164" s="523">
        <v>1</v>
      </c>
      <c r="J1164" s="589">
        <v>136.55692999999999</v>
      </c>
      <c r="K1164" s="589">
        <v>136.55692999999999</v>
      </c>
      <c r="L1164" s="523">
        <v>1</v>
      </c>
      <c r="M1164" s="589">
        <v>136.55692999999999</v>
      </c>
      <c r="N1164" s="6" t="s">
        <v>2461</v>
      </c>
      <c r="O1164" s="613">
        <v>45912</v>
      </c>
      <c r="P1164" s="33" t="str">
        <f>HYPERLINK("https://my.zakupivli.pro/remote/dispatcher/state_purchase_view/61902847", "UA-2025-09-12-003243-a")</f>
        <v>UA-2025-09-12-003243-a</v>
      </c>
      <c r="Q1164" s="589">
        <v>136.55692999999999</v>
      </c>
      <c r="R1164" s="523">
        <v>1</v>
      </c>
      <c r="S1164" s="589">
        <v>136.55692999999999</v>
      </c>
      <c r="T1164" s="524">
        <v>45835</v>
      </c>
      <c r="U1164" s="523"/>
      <c r="V1164" s="610" t="s">
        <v>59</v>
      </c>
    </row>
    <row r="1165" spans="1:22" ht="62.4" x14ac:dyDescent="0.3">
      <c r="A1165" s="612">
        <v>1159</v>
      </c>
      <c r="B1165" s="612" t="s">
        <v>40</v>
      </c>
      <c r="C1165" s="523" t="s">
        <v>884</v>
      </c>
      <c r="D1165" s="523"/>
      <c r="E1165" s="612" t="s">
        <v>20</v>
      </c>
      <c r="F1165" s="523" t="s">
        <v>2463</v>
      </c>
      <c r="G1165" s="612" t="s">
        <v>40</v>
      </c>
      <c r="H1165" s="589">
        <v>517.19159999999999</v>
      </c>
      <c r="I1165" s="523">
        <v>1</v>
      </c>
      <c r="J1165" s="589">
        <v>517.19159999999999</v>
      </c>
      <c r="K1165" s="589">
        <v>517.19159999999999</v>
      </c>
      <c r="L1165" s="523">
        <v>1</v>
      </c>
      <c r="M1165" s="589">
        <v>517.19159999999999</v>
      </c>
      <c r="N1165" s="6" t="s">
        <v>2462</v>
      </c>
      <c r="O1165" s="615">
        <v>45912</v>
      </c>
      <c r="P1165" s="33" t="str">
        <f>HYPERLINK("https://my.zakupivli.pro/remote/dispatcher/state_purchase_view/61920548", "UA-2025-09-12-011145-a")</f>
        <v>UA-2025-09-12-011145-a</v>
      </c>
      <c r="Q1165" s="589">
        <v>517.19159999999999</v>
      </c>
      <c r="R1165" s="523">
        <v>1</v>
      </c>
      <c r="S1165" s="589">
        <v>517.19159999999999</v>
      </c>
      <c r="T1165" s="613">
        <v>45912</v>
      </c>
      <c r="U1165" s="523"/>
      <c r="V1165" s="612" t="s">
        <v>59</v>
      </c>
    </row>
    <row r="1166" spans="1:22" ht="62.4" x14ac:dyDescent="0.3">
      <c r="A1166" s="614">
        <v>1160</v>
      </c>
      <c r="B1166" s="614" t="s">
        <v>40</v>
      </c>
      <c r="C1166" s="614" t="s">
        <v>884</v>
      </c>
      <c r="D1166" s="523"/>
      <c r="E1166" s="614" t="s">
        <v>20</v>
      </c>
      <c r="F1166" s="523" t="s">
        <v>2467</v>
      </c>
      <c r="G1166" s="614" t="s">
        <v>40</v>
      </c>
      <c r="H1166" s="589">
        <v>112.55153</v>
      </c>
      <c r="I1166" s="614">
        <v>1</v>
      </c>
      <c r="J1166" s="589">
        <v>112.55153</v>
      </c>
      <c r="K1166" s="589">
        <v>112.55153</v>
      </c>
      <c r="L1166" s="614">
        <v>1</v>
      </c>
      <c r="M1166" s="589">
        <v>112.55153</v>
      </c>
      <c r="N1166" s="6" t="s">
        <v>2464</v>
      </c>
      <c r="O1166" s="615">
        <v>45916</v>
      </c>
      <c r="P1166" s="33" t="str">
        <f>HYPERLINK("https://my.zakupivli.pro/remote/dispatcher/state_purchase_view/61992375", "UA-2025-09-16-013900-a")</f>
        <v>UA-2025-09-16-013900-a</v>
      </c>
      <c r="Q1166" s="589">
        <v>112.55153</v>
      </c>
      <c r="R1166" s="614">
        <v>1</v>
      </c>
      <c r="S1166" s="589">
        <v>112.55153</v>
      </c>
      <c r="T1166" s="524">
        <v>45916</v>
      </c>
      <c r="U1166" s="523"/>
      <c r="V1166" s="614" t="s">
        <v>59</v>
      </c>
    </row>
    <row r="1167" spans="1:22" ht="62.4" x14ac:dyDescent="0.3">
      <c r="A1167" s="614">
        <v>1161</v>
      </c>
      <c r="B1167" s="614" t="s">
        <v>40</v>
      </c>
      <c r="C1167" s="614" t="s">
        <v>884</v>
      </c>
      <c r="D1167" s="523"/>
      <c r="E1167" s="614" t="s">
        <v>20</v>
      </c>
      <c r="F1167" s="523" t="s">
        <v>2468</v>
      </c>
      <c r="G1167" s="614" t="s">
        <v>40</v>
      </c>
      <c r="H1167" s="589">
        <v>200.22985</v>
      </c>
      <c r="I1167" s="614">
        <v>1</v>
      </c>
      <c r="J1167" s="589">
        <v>200.22985</v>
      </c>
      <c r="K1167" s="589">
        <v>200.22985</v>
      </c>
      <c r="L1167" s="614">
        <v>1</v>
      </c>
      <c r="M1167" s="589">
        <v>200.22985</v>
      </c>
      <c r="N1167" s="6" t="s">
        <v>2465</v>
      </c>
      <c r="O1167" s="615">
        <v>45916</v>
      </c>
      <c r="P1167" s="33" t="str">
        <f>HYPERLINK("https://my.zakupivli.pro/remote/dispatcher/state_purchase_view/61992341", "UA-2025-09-16-013874-a")</f>
        <v>UA-2025-09-16-013874-a</v>
      </c>
      <c r="Q1167" s="589">
        <v>200.22985</v>
      </c>
      <c r="R1167" s="614">
        <v>1</v>
      </c>
      <c r="S1167" s="589">
        <v>200.22985</v>
      </c>
      <c r="T1167" s="615">
        <v>45916</v>
      </c>
      <c r="U1167" s="523"/>
      <c r="V1167" s="614" t="s">
        <v>59</v>
      </c>
    </row>
    <row r="1168" spans="1:22" ht="62.4" x14ac:dyDescent="0.3">
      <c r="A1168" s="614">
        <v>1162</v>
      </c>
      <c r="B1168" s="614" t="s">
        <v>21</v>
      </c>
      <c r="C1168" s="523" t="s">
        <v>30</v>
      </c>
      <c r="D1168" s="523"/>
      <c r="E1168" s="614" t="s">
        <v>20</v>
      </c>
      <c r="F1168" s="523" t="s">
        <v>2469</v>
      </c>
      <c r="G1168" s="523" t="s">
        <v>186</v>
      </c>
      <c r="H1168" s="589"/>
      <c r="I1168" s="523">
        <v>2</v>
      </c>
      <c r="J1168" s="589">
        <v>80.852599999999995</v>
      </c>
      <c r="K1168" s="589"/>
      <c r="L1168" s="614">
        <v>2</v>
      </c>
      <c r="M1168" s="589">
        <v>80.852599999999995</v>
      </c>
      <c r="N1168" s="6" t="s">
        <v>2466</v>
      </c>
      <c r="O1168" s="617">
        <v>45916</v>
      </c>
      <c r="P1168" s="33" t="str">
        <f>HYPERLINK("https://my.zakupivli.pro/remote/dispatcher/state_purchase_view/61971794", "UA-2025-09-16-004591-a")</f>
        <v>UA-2025-09-16-004591-a</v>
      </c>
      <c r="Q1168" s="616"/>
      <c r="R1168" s="614">
        <v>2</v>
      </c>
      <c r="S1168" s="589">
        <v>80.852599999999995</v>
      </c>
      <c r="T1168" s="615">
        <v>45916</v>
      </c>
      <c r="U1168" s="523"/>
      <c r="V1168" s="614" t="s">
        <v>59</v>
      </c>
    </row>
    <row r="1169" spans="1:22" ht="78" x14ac:dyDescent="0.3">
      <c r="A1169" s="616">
        <v>1163</v>
      </c>
      <c r="B1169" s="616" t="s">
        <v>40</v>
      </c>
      <c r="C1169" s="616" t="s">
        <v>884</v>
      </c>
      <c r="D1169" s="523"/>
      <c r="E1169" s="616" t="s">
        <v>20</v>
      </c>
      <c r="F1169" s="523" t="s">
        <v>2470</v>
      </c>
      <c r="G1169" s="616" t="s">
        <v>40</v>
      </c>
      <c r="H1169" s="589">
        <v>51.645899999999997</v>
      </c>
      <c r="I1169" s="616">
        <v>1</v>
      </c>
      <c r="J1169" s="589">
        <v>51.645899999999997</v>
      </c>
      <c r="K1169" s="589">
        <v>51.645899999999997</v>
      </c>
      <c r="L1169" s="616">
        <v>1</v>
      </c>
      <c r="M1169" s="589">
        <v>51.645899999999997</v>
      </c>
      <c r="N1169" s="6" t="s">
        <v>2474</v>
      </c>
      <c r="O1169" s="617">
        <v>45917</v>
      </c>
      <c r="P1169" s="33" t="str">
        <f>HYPERLINK("https://my.zakupivli.pro/remote/dispatcher/state_purchase_view/62023792", "UA-2025-09-17-012496-a")</f>
        <v>UA-2025-09-17-012496-a</v>
      </c>
      <c r="Q1169" s="589">
        <v>51.645899999999997</v>
      </c>
      <c r="R1169" s="616">
        <v>1</v>
      </c>
      <c r="S1169" s="589">
        <v>51.645899999999997</v>
      </c>
      <c r="T1169" s="617">
        <v>45917</v>
      </c>
      <c r="U1169" s="523"/>
      <c r="V1169" s="616" t="s">
        <v>59</v>
      </c>
    </row>
    <row r="1170" spans="1:22" ht="109.2" x14ac:dyDescent="0.3">
      <c r="A1170" s="616">
        <v>1164</v>
      </c>
      <c r="B1170" s="616" t="s">
        <v>40</v>
      </c>
      <c r="C1170" s="616" t="s">
        <v>884</v>
      </c>
      <c r="D1170" s="523"/>
      <c r="E1170" s="616" t="s">
        <v>20</v>
      </c>
      <c r="F1170" s="523" t="s">
        <v>2471</v>
      </c>
      <c r="G1170" s="616" t="s">
        <v>40</v>
      </c>
      <c r="H1170" s="589">
        <v>44.975679999999997</v>
      </c>
      <c r="I1170" s="616">
        <v>1</v>
      </c>
      <c r="J1170" s="589">
        <v>44.975679999999997</v>
      </c>
      <c r="K1170" s="589">
        <v>44.975679999999997</v>
      </c>
      <c r="L1170" s="616">
        <v>1</v>
      </c>
      <c r="M1170" s="589">
        <v>44.975679999999997</v>
      </c>
      <c r="N1170" s="6" t="s">
        <v>2475</v>
      </c>
      <c r="O1170" s="617">
        <v>45917</v>
      </c>
      <c r="P1170" s="33" t="str">
        <f>HYPERLINK("https://my.zakupivli.pro/remote/dispatcher/state_purchase_view/62023755", "UA-2025-09-17-012478-a")</f>
        <v>UA-2025-09-17-012478-a</v>
      </c>
      <c r="Q1170" s="589">
        <v>44.975679999999997</v>
      </c>
      <c r="R1170" s="616">
        <v>1</v>
      </c>
      <c r="S1170" s="589">
        <v>44.975679999999997</v>
      </c>
      <c r="T1170" s="617">
        <v>45917</v>
      </c>
      <c r="U1170" s="523"/>
      <c r="V1170" s="616" t="s">
        <v>59</v>
      </c>
    </row>
    <row r="1171" spans="1:22" ht="62.4" x14ac:dyDescent="0.3">
      <c r="A1171" s="616">
        <v>1165</v>
      </c>
      <c r="B1171" s="616" t="s">
        <v>40</v>
      </c>
      <c r="C1171" s="616" t="s">
        <v>884</v>
      </c>
      <c r="D1171" s="523"/>
      <c r="E1171" s="616" t="s">
        <v>20</v>
      </c>
      <c r="F1171" s="523" t="s">
        <v>2472</v>
      </c>
      <c r="G1171" s="616" t="s">
        <v>40</v>
      </c>
      <c r="H1171" s="589">
        <v>344.83305000000001</v>
      </c>
      <c r="I1171" s="616">
        <v>1</v>
      </c>
      <c r="J1171" s="589">
        <v>344.83305000000001</v>
      </c>
      <c r="K1171" s="589">
        <v>344.83305000000001</v>
      </c>
      <c r="L1171" s="616">
        <v>1</v>
      </c>
      <c r="M1171" s="589">
        <v>344.83305000000001</v>
      </c>
      <c r="N1171" s="6" t="s">
        <v>2476</v>
      </c>
      <c r="O1171" s="617">
        <v>45917</v>
      </c>
      <c r="P1171" s="33" t="str">
        <f>HYPERLINK("https://my.zakupivli.pro/remote/dispatcher/state_purchase_view/62023572", "UA-2025-09-17-012374-a")</f>
        <v>UA-2025-09-17-012374-a</v>
      </c>
      <c r="Q1171" s="589">
        <v>344.83305000000001</v>
      </c>
      <c r="R1171" s="616">
        <v>1</v>
      </c>
      <c r="S1171" s="589">
        <v>344.83305000000001</v>
      </c>
      <c r="T1171" s="617">
        <v>45917</v>
      </c>
      <c r="U1171" s="523"/>
      <c r="V1171" s="616" t="s">
        <v>59</v>
      </c>
    </row>
    <row r="1172" spans="1:22" ht="62.4" x14ac:dyDescent="0.3">
      <c r="A1172" s="616">
        <v>1166</v>
      </c>
      <c r="B1172" s="616" t="s">
        <v>40</v>
      </c>
      <c r="C1172" s="616" t="s">
        <v>884</v>
      </c>
      <c r="D1172" s="523"/>
      <c r="E1172" s="616" t="s">
        <v>20</v>
      </c>
      <c r="F1172" s="523" t="s">
        <v>2473</v>
      </c>
      <c r="G1172" s="616" t="s">
        <v>40</v>
      </c>
      <c r="H1172" s="589">
        <v>199.96618000000001</v>
      </c>
      <c r="I1172" s="616">
        <v>1</v>
      </c>
      <c r="J1172" s="589">
        <v>199.96618000000001</v>
      </c>
      <c r="K1172" s="589">
        <v>199.96618000000001</v>
      </c>
      <c r="L1172" s="616">
        <v>1</v>
      </c>
      <c r="M1172" s="589">
        <v>199.96618000000001</v>
      </c>
      <c r="N1172" s="6" t="s">
        <v>2477</v>
      </c>
      <c r="O1172" s="618">
        <v>45917</v>
      </c>
      <c r="P1172" s="33" t="str">
        <f>HYPERLINK("https://my.zakupivli.pro/remote/dispatcher/state_purchase_view/62023565", "UA-2025-09-17-012368-a")</f>
        <v>UA-2025-09-17-012368-a</v>
      </c>
      <c r="Q1172" s="589">
        <v>199.96618000000001</v>
      </c>
      <c r="R1172" s="616">
        <v>1</v>
      </c>
      <c r="S1172" s="589">
        <v>199.96618000000001</v>
      </c>
      <c r="T1172" s="617">
        <v>45917</v>
      </c>
      <c r="U1172" s="523"/>
      <c r="V1172" s="616" t="s">
        <v>59</v>
      </c>
    </row>
    <row r="1173" spans="1:22" ht="62.4" x14ac:dyDescent="0.3">
      <c r="A1173" s="619">
        <v>1167</v>
      </c>
      <c r="B1173" s="619" t="s">
        <v>40</v>
      </c>
      <c r="C1173" s="619" t="s">
        <v>884</v>
      </c>
      <c r="D1173" s="523"/>
      <c r="E1173" s="619" t="s">
        <v>20</v>
      </c>
      <c r="F1173" s="523" t="s">
        <v>2478</v>
      </c>
      <c r="G1173" s="619" t="s">
        <v>40</v>
      </c>
      <c r="H1173" s="619">
        <v>353.33193</v>
      </c>
      <c r="I1173" s="619">
        <v>1</v>
      </c>
      <c r="J1173" s="619">
        <v>353.33193</v>
      </c>
      <c r="K1173" s="619">
        <v>353.33193</v>
      </c>
      <c r="L1173" s="619">
        <v>1</v>
      </c>
      <c r="M1173" s="619">
        <v>353.33193</v>
      </c>
      <c r="N1173" s="6" t="s">
        <v>2482</v>
      </c>
      <c r="O1173" s="618">
        <v>45923</v>
      </c>
      <c r="P1173" s="33" t="str">
        <f>HYPERLINK("https://my.zakupivli.pro/remote/dispatcher/state_purchase_view/62162482", "UA-2025-09-23-014253-a")</f>
        <v>UA-2025-09-23-014253-a</v>
      </c>
      <c r="Q1173" s="619">
        <v>353.33193</v>
      </c>
      <c r="R1173" s="619">
        <v>1</v>
      </c>
      <c r="S1173" s="523">
        <v>353.33193</v>
      </c>
      <c r="T1173" s="524">
        <v>45923</v>
      </c>
      <c r="U1173" s="523"/>
      <c r="V1173" s="619" t="s">
        <v>59</v>
      </c>
    </row>
    <row r="1174" spans="1:22" ht="62.4" x14ac:dyDescent="0.3">
      <c r="A1174" s="619">
        <v>1168</v>
      </c>
      <c r="B1174" s="619" t="s">
        <v>40</v>
      </c>
      <c r="C1174" s="523" t="s">
        <v>41</v>
      </c>
      <c r="D1174" s="523"/>
      <c r="E1174" s="619" t="s">
        <v>20</v>
      </c>
      <c r="F1174" s="523" t="s">
        <v>2479</v>
      </c>
      <c r="G1174" s="619" t="s">
        <v>40</v>
      </c>
      <c r="H1174" s="619">
        <v>56.185949999999998</v>
      </c>
      <c r="I1174" s="619">
        <v>1</v>
      </c>
      <c r="J1174" s="619">
        <v>56.185949999999998</v>
      </c>
      <c r="K1174" s="619">
        <v>56.185949999999998</v>
      </c>
      <c r="L1174" s="619">
        <v>1</v>
      </c>
      <c r="M1174" s="619">
        <v>56.185949999999998</v>
      </c>
      <c r="N1174" s="6" t="s">
        <v>2483</v>
      </c>
      <c r="O1174" s="618">
        <v>45923</v>
      </c>
      <c r="P1174" s="33" t="str">
        <f>HYPERLINK("https://my.zakupivli.pro/remote/dispatcher/state_purchase_view/62161705", "UA-2025-09-23-013853-a")</f>
        <v>UA-2025-09-23-013853-a</v>
      </c>
      <c r="Q1174" s="619">
        <v>56.185949999999998</v>
      </c>
      <c r="R1174" s="619">
        <v>1</v>
      </c>
      <c r="S1174" s="523">
        <v>56.185949999999998</v>
      </c>
      <c r="T1174" s="618">
        <v>45923</v>
      </c>
      <c r="U1174" s="523"/>
      <c r="V1174" s="619" t="s">
        <v>59</v>
      </c>
    </row>
    <row r="1175" spans="1:22" ht="62.4" x14ac:dyDescent="0.3">
      <c r="A1175" s="619">
        <v>1169</v>
      </c>
      <c r="B1175" s="619" t="s">
        <v>40</v>
      </c>
      <c r="C1175" s="523" t="s">
        <v>73</v>
      </c>
      <c r="D1175" s="523"/>
      <c r="E1175" s="619" t="s">
        <v>75</v>
      </c>
      <c r="F1175" s="523" t="s">
        <v>2480</v>
      </c>
      <c r="G1175" s="619" t="s">
        <v>40</v>
      </c>
      <c r="H1175" s="619">
        <v>204.14713</v>
      </c>
      <c r="I1175" s="619">
        <v>1</v>
      </c>
      <c r="J1175" s="619">
        <v>204.14713</v>
      </c>
      <c r="K1175" s="619">
        <v>204.14713</v>
      </c>
      <c r="L1175" s="619">
        <v>1</v>
      </c>
      <c r="M1175" s="619">
        <v>204.14713</v>
      </c>
      <c r="N1175" s="6" t="s">
        <v>2484</v>
      </c>
      <c r="O1175" s="618">
        <v>45923</v>
      </c>
      <c r="P1175" s="33" t="str">
        <f>HYPERLINK("https://my.zakupivli.pro/remote/dispatcher/state_purchase_view/62151427", "UA-2025-09-23-009253-a")</f>
        <v>UA-2025-09-23-009253-a</v>
      </c>
      <c r="Q1175" s="619">
        <v>204.14713</v>
      </c>
      <c r="R1175" s="619">
        <v>1</v>
      </c>
      <c r="S1175" s="523">
        <v>204.14713</v>
      </c>
      <c r="T1175" s="524">
        <v>45922</v>
      </c>
      <c r="U1175" s="523"/>
      <c r="V1175" s="619" t="s">
        <v>59</v>
      </c>
    </row>
    <row r="1176" spans="1:22" ht="62.4" x14ac:dyDescent="0.3">
      <c r="A1176" s="619">
        <v>1170</v>
      </c>
      <c r="B1176" s="619" t="s">
        <v>40</v>
      </c>
      <c r="C1176" s="523" t="s">
        <v>73</v>
      </c>
      <c r="D1176" s="523"/>
      <c r="E1176" s="619" t="s">
        <v>75</v>
      </c>
      <c r="F1176" s="523" t="s">
        <v>2481</v>
      </c>
      <c r="G1176" s="619" t="s">
        <v>40</v>
      </c>
      <c r="H1176" s="619">
        <v>189.74340000000001</v>
      </c>
      <c r="I1176" s="619">
        <v>1</v>
      </c>
      <c r="J1176" s="619">
        <v>189.74340000000001</v>
      </c>
      <c r="K1176" s="619">
        <v>189.74340000000001</v>
      </c>
      <c r="L1176" s="619">
        <v>1</v>
      </c>
      <c r="M1176" s="619">
        <v>189.74340000000001</v>
      </c>
      <c r="N1176" s="6" t="s">
        <v>2485</v>
      </c>
      <c r="O1176" s="621">
        <v>45923</v>
      </c>
      <c r="P1176" s="33" t="str">
        <f>HYPERLINK("https://my.zakupivli.pro/remote/dispatcher/state_purchase_view/62151404", "UA-2025-09-23-009236-a")</f>
        <v>UA-2025-09-23-009236-a</v>
      </c>
      <c r="Q1176" s="620">
        <v>189.74340000000001</v>
      </c>
      <c r="R1176" s="619">
        <v>1</v>
      </c>
      <c r="S1176" s="523">
        <v>189.74340000000001</v>
      </c>
      <c r="T1176" s="618">
        <v>45922</v>
      </c>
      <c r="U1176" s="523"/>
      <c r="V1176" s="619" t="s">
        <v>59</v>
      </c>
    </row>
    <row r="1177" spans="1:22" ht="78" x14ac:dyDescent="0.3">
      <c r="A1177" s="620">
        <v>1171</v>
      </c>
      <c r="B1177" s="620" t="s">
        <v>40</v>
      </c>
      <c r="C1177" s="523" t="s">
        <v>884</v>
      </c>
      <c r="D1177" s="523"/>
      <c r="E1177" s="620" t="s">
        <v>20</v>
      </c>
      <c r="F1177" s="523" t="s">
        <v>2486</v>
      </c>
      <c r="G1177" s="620" t="s">
        <v>40</v>
      </c>
      <c r="H1177" s="589">
        <v>64.042370000000005</v>
      </c>
      <c r="I1177" s="620">
        <v>1</v>
      </c>
      <c r="J1177" s="589">
        <v>64.042370000000005</v>
      </c>
      <c r="K1177" s="589">
        <v>64.042370000000005</v>
      </c>
      <c r="L1177" s="620">
        <v>1</v>
      </c>
      <c r="M1177" s="589">
        <v>64.042370000000005</v>
      </c>
      <c r="N1177" s="6" t="s">
        <v>2489</v>
      </c>
      <c r="O1177" s="621">
        <v>45925</v>
      </c>
      <c r="P1177" s="33" t="str">
        <f>HYPERLINK("https://my.zakupivli.pro/remote/dispatcher/state_purchase_view/62233171", "UA-2025-09-25-013964-a")</f>
        <v>UA-2025-09-25-013964-a</v>
      </c>
      <c r="Q1177" s="589">
        <v>64.042370000000005</v>
      </c>
      <c r="R1177" s="620">
        <v>1</v>
      </c>
      <c r="S1177" s="589">
        <v>64.042370000000005</v>
      </c>
      <c r="T1177" s="524">
        <v>45925</v>
      </c>
      <c r="U1177" s="523"/>
      <c r="V1177" s="620" t="s">
        <v>59</v>
      </c>
    </row>
    <row r="1178" spans="1:22" ht="78" x14ac:dyDescent="0.3">
      <c r="A1178" s="620">
        <v>1172</v>
      </c>
      <c r="B1178" s="620" t="s">
        <v>40</v>
      </c>
      <c r="C1178" s="523" t="s">
        <v>884</v>
      </c>
      <c r="D1178" s="523"/>
      <c r="E1178" s="620" t="s">
        <v>20</v>
      </c>
      <c r="F1178" s="523" t="s">
        <v>2487</v>
      </c>
      <c r="G1178" s="620" t="s">
        <v>40</v>
      </c>
      <c r="H1178" s="589">
        <v>286.94889999999998</v>
      </c>
      <c r="I1178" s="620">
        <v>1</v>
      </c>
      <c r="J1178" s="589">
        <v>286.94889999999998</v>
      </c>
      <c r="K1178" s="589">
        <v>286.94889999999998</v>
      </c>
      <c r="L1178" s="620">
        <v>1</v>
      </c>
      <c r="M1178" s="589">
        <v>286.94889999999998</v>
      </c>
      <c r="N1178" s="6" t="s">
        <v>2490</v>
      </c>
      <c r="O1178" s="621">
        <v>45925</v>
      </c>
      <c r="P1178" s="33" t="str">
        <f>HYPERLINK("https://my.zakupivli.pro/remote/dispatcher/state_purchase_view/62233167", "UA-2025-09-25-013959-a")</f>
        <v>UA-2025-09-25-013959-a</v>
      </c>
      <c r="Q1178" s="589">
        <v>286.94889999999998</v>
      </c>
      <c r="R1178" s="620">
        <v>1</v>
      </c>
      <c r="S1178" s="589">
        <v>286.94889999999998</v>
      </c>
      <c r="T1178" s="621">
        <v>45925</v>
      </c>
      <c r="U1178" s="523"/>
      <c r="V1178" s="620" t="s">
        <v>59</v>
      </c>
    </row>
    <row r="1179" spans="1:22" ht="78" x14ac:dyDescent="0.3">
      <c r="A1179" s="620">
        <v>1173</v>
      </c>
      <c r="B1179" s="620" t="s">
        <v>40</v>
      </c>
      <c r="C1179" s="620" t="s">
        <v>41</v>
      </c>
      <c r="D1179" s="523"/>
      <c r="E1179" s="620" t="s">
        <v>20</v>
      </c>
      <c r="F1179" s="523" t="s">
        <v>2488</v>
      </c>
      <c r="G1179" s="620" t="s">
        <v>40</v>
      </c>
      <c r="H1179" s="589">
        <v>703.02101000000005</v>
      </c>
      <c r="I1179" s="620">
        <v>1</v>
      </c>
      <c r="J1179" s="589">
        <v>703.02101000000005</v>
      </c>
      <c r="K1179" s="589">
        <v>703.02101000000005</v>
      </c>
      <c r="L1179" s="620">
        <v>1</v>
      </c>
      <c r="M1179" s="589">
        <v>703.02101000000005</v>
      </c>
      <c r="N1179" s="6" t="s">
        <v>2491</v>
      </c>
      <c r="O1179" s="623">
        <v>45925</v>
      </c>
      <c r="P1179" s="33" t="str">
        <f>HYPERLINK("https://my.zakupivli.pro/remote/dispatcher/state_purchase_view/62218308", "UA-2025-09-25-007455-a")</f>
        <v>UA-2025-09-25-007455-a</v>
      </c>
      <c r="Q1179" s="589">
        <v>703.02101000000005</v>
      </c>
      <c r="R1179" s="620">
        <v>1</v>
      </c>
      <c r="S1179" s="589">
        <v>703.02101000000005</v>
      </c>
      <c r="T1179" s="621">
        <v>45925</v>
      </c>
      <c r="U1179" s="523"/>
      <c r="V1179" s="620" t="s">
        <v>59</v>
      </c>
    </row>
    <row r="1180" spans="1:22" ht="62.4" x14ac:dyDescent="0.3">
      <c r="A1180" s="622">
        <v>1174</v>
      </c>
      <c r="B1180" s="622" t="s">
        <v>40</v>
      </c>
      <c r="C1180" s="622" t="s">
        <v>41</v>
      </c>
      <c r="D1180" s="523"/>
      <c r="E1180" s="622" t="s">
        <v>20</v>
      </c>
      <c r="F1180" s="523" t="s">
        <v>2492</v>
      </c>
      <c r="G1180" s="622" t="s">
        <v>40</v>
      </c>
      <c r="H1180" s="589">
        <v>206.07568000000001</v>
      </c>
      <c r="I1180" s="622">
        <v>1</v>
      </c>
      <c r="J1180" s="589">
        <v>206.07568000000001</v>
      </c>
      <c r="K1180" s="589">
        <v>206.07568000000001</v>
      </c>
      <c r="L1180" s="622">
        <v>1</v>
      </c>
      <c r="M1180" s="589">
        <v>206.07568000000001</v>
      </c>
      <c r="N1180" s="6" t="s">
        <v>2494</v>
      </c>
      <c r="O1180" s="623">
        <v>45926</v>
      </c>
      <c r="P1180" s="33" t="str">
        <f>HYPERLINK("https://my.zakupivli.pro/remote/dispatcher/state_purchase_view/62255275", "UA-2025-09-26-008089-a")</f>
        <v>UA-2025-09-26-008089-a</v>
      </c>
      <c r="Q1180" s="589">
        <v>206.07568000000001</v>
      </c>
      <c r="R1180" s="622">
        <v>1</v>
      </c>
      <c r="S1180" s="589">
        <v>206.07568000000001</v>
      </c>
      <c r="T1180" s="623">
        <v>45925</v>
      </c>
      <c r="U1180" s="523"/>
      <c r="V1180" s="622" t="s">
        <v>59</v>
      </c>
    </row>
    <row r="1181" spans="1:22" ht="62.4" x14ac:dyDescent="0.3">
      <c r="A1181" s="622">
        <v>1175</v>
      </c>
      <c r="B1181" s="622" t="s">
        <v>40</v>
      </c>
      <c r="C1181" s="523" t="s">
        <v>73</v>
      </c>
      <c r="D1181" s="523"/>
      <c r="E1181" s="523" t="s">
        <v>2426</v>
      </c>
      <c r="F1181" s="523" t="s">
        <v>2493</v>
      </c>
      <c r="G1181" s="622" t="s">
        <v>40</v>
      </c>
      <c r="H1181" s="589">
        <v>69.811329999999998</v>
      </c>
      <c r="I1181" s="622">
        <v>1</v>
      </c>
      <c r="J1181" s="589">
        <v>69.811329999999998</v>
      </c>
      <c r="K1181" s="589">
        <v>69.811329999999998</v>
      </c>
      <c r="L1181" s="622">
        <v>1</v>
      </c>
      <c r="M1181" s="589">
        <v>69.811329999999998</v>
      </c>
      <c r="N1181" s="6" t="s">
        <v>2495</v>
      </c>
      <c r="O1181" s="625">
        <v>45926</v>
      </c>
      <c r="P1181" s="33" t="str">
        <f>HYPERLINK("https://my.zakupivli.pro/remote/dispatcher/state_purchase_view/62254986", "UA-2025-09-26-008009-a")</f>
        <v>UA-2025-09-26-008009-a</v>
      </c>
      <c r="Q1181" s="589">
        <v>69.811329999999998</v>
      </c>
      <c r="R1181" s="622">
        <v>1</v>
      </c>
      <c r="S1181" s="589">
        <v>69.811329999999998</v>
      </c>
      <c r="T1181" s="623">
        <v>45925</v>
      </c>
      <c r="U1181" s="523"/>
      <c r="V1181" s="622" t="s">
        <v>59</v>
      </c>
    </row>
    <row r="1182" spans="1:22" ht="93.6" x14ac:dyDescent="0.3">
      <c r="A1182" s="624">
        <v>1176</v>
      </c>
      <c r="B1182" s="624" t="s">
        <v>40</v>
      </c>
      <c r="C1182" s="624" t="s">
        <v>884</v>
      </c>
      <c r="D1182" s="523"/>
      <c r="E1182" s="624" t="s">
        <v>20</v>
      </c>
      <c r="F1182" s="523" t="s">
        <v>2496</v>
      </c>
      <c r="G1182" s="624" t="s">
        <v>40</v>
      </c>
      <c r="H1182" s="589">
        <v>150.8143</v>
      </c>
      <c r="I1182" s="624">
        <v>1</v>
      </c>
      <c r="J1182" s="589">
        <v>150.8143</v>
      </c>
      <c r="K1182" s="589">
        <v>150.8143</v>
      </c>
      <c r="L1182" s="624">
        <v>1</v>
      </c>
      <c r="M1182" s="589">
        <v>150.8143</v>
      </c>
      <c r="N1182" s="6" t="s">
        <v>2499</v>
      </c>
      <c r="O1182" s="625">
        <v>45929</v>
      </c>
      <c r="P1182" s="33" t="str">
        <f>HYPERLINK("https://my.zakupivli.pro/remote/dispatcher/state_purchase_view/62294874", "UA-2025-09-29-011586-a")</f>
        <v>UA-2025-09-29-011586-a</v>
      </c>
      <c r="Q1182" s="589">
        <v>150.8143</v>
      </c>
      <c r="R1182" s="624">
        <v>1</v>
      </c>
      <c r="S1182" s="589">
        <v>150.8143</v>
      </c>
      <c r="T1182" s="524">
        <v>45929</v>
      </c>
      <c r="U1182" s="523"/>
      <c r="V1182" s="624" t="s">
        <v>59</v>
      </c>
    </row>
    <row r="1183" spans="1:22" ht="78" x14ac:dyDescent="0.3">
      <c r="A1183" s="624">
        <v>1177</v>
      </c>
      <c r="B1183" s="624" t="s">
        <v>40</v>
      </c>
      <c r="C1183" s="624" t="s">
        <v>884</v>
      </c>
      <c r="D1183" s="523"/>
      <c r="E1183" s="624" t="s">
        <v>20</v>
      </c>
      <c r="F1183" s="523" t="s">
        <v>2497</v>
      </c>
      <c r="G1183" s="624" t="s">
        <v>40</v>
      </c>
      <c r="H1183" s="589">
        <v>127.34014000000001</v>
      </c>
      <c r="I1183" s="624">
        <v>1</v>
      </c>
      <c r="J1183" s="589">
        <v>127.34014000000001</v>
      </c>
      <c r="K1183" s="589">
        <v>127.34014000000001</v>
      </c>
      <c r="L1183" s="624">
        <v>1</v>
      </c>
      <c r="M1183" s="589">
        <v>127.34014000000001</v>
      </c>
      <c r="N1183" s="6" t="s">
        <v>2500</v>
      </c>
      <c r="O1183" s="625">
        <v>45929</v>
      </c>
      <c r="P1183" s="33" t="str">
        <f>HYPERLINK("https://my.zakupivli.pro/remote/dispatcher/state_purchase_view/62293226", "UA-2025-09-29-010879-a")</f>
        <v>UA-2025-09-29-010879-a</v>
      </c>
      <c r="Q1183" s="589">
        <v>127.34014000000001</v>
      </c>
      <c r="R1183" s="624">
        <v>1</v>
      </c>
      <c r="S1183" s="589">
        <v>127.34014000000001</v>
      </c>
      <c r="T1183" s="625">
        <v>45929</v>
      </c>
      <c r="U1183" s="523"/>
      <c r="V1183" s="624" t="s">
        <v>59</v>
      </c>
    </row>
    <row r="1184" spans="1:22" ht="62.4" x14ac:dyDescent="0.3">
      <c r="A1184" s="624">
        <v>1178</v>
      </c>
      <c r="B1184" s="624" t="s">
        <v>40</v>
      </c>
      <c r="C1184" s="624" t="s">
        <v>884</v>
      </c>
      <c r="D1184" s="523"/>
      <c r="E1184" s="624" t="s">
        <v>20</v>
      </c>
      <c r="F1184" s="523" t="s">
        <v>2498</v>
      </c>
      <c r="G1184" s="624" t="s">
        <v>40</v>
      </c>
      <c r="H1184" s="589">
        <v>300.67975999999999</v>
      </c>
      <c r="I1184" s="624">
        <v>1</v>
      </c>
      <c r="J1184" s="589">
        <v>300.67975999999999</v>
      </c>
      <c r="K1184" s="589">
        <v>300.67975999999999</v>
      </c>
      <c r="L1184" s="624">
        <v>1</v>
      </c>
      <c r="M1184" s="589">
        <v>300.67975999999999</v>
      </c>
      <c r="N1184" s="6" t="s">
        <v>2501</v>
      </c>
      <c r="O1184" s="627">
        <v>45929</v>
      </c>
      <c r="P1184" s="33" t="str">
        <f>HYPERLINK("https://my.zakupivli.pro/remote/dispatcher/state_purchase_view/62282984", "UA-2025-09-29-006196-a")</f>
        <v>UA-2025-09-29-006196-a</v>
      </c>
      <c r="Q1184" s="589">
        <v>300.67975999999999</v>
      </c>
      <c r="R1184" s="624">
        <v>1</v>
      </c>
      <c r="S1184" s="589">
        <v>300.67975999999999</v>
      </c>
      <c r="T1184" s="625">
        <v>45929</v>
      </c>
      <c r="U1184" s="523"/>
      <c r="V1184" s="624" t="s">
        <v>59</v>
      </c>
    </row>
    <row r="1185" spans="1:22" ht="62.4" x14ac:dyDescent="0.3">
      <c r="A1185" s="626">
        <v>1179</v>
      </c>
      <c r="B1185" s="626" t="s">
        <v>40</v>
      </c>
      <c r="C1185" s="626" t="s">
        <v>884</v>
      </c>
      <c r="D1185" s="523"/>
      <c r="E1185" s="626" t="s">
        <v>20</v>
      </c>
      <c r="F1185" s="523" t="s">
        <v>2503</v>
      </c>
      <c r="G1185" s="626" t="s">
        <v>40</v>
      </c>
      <c r="H1185" s="589">
        <v>196.01874000000001</v>
      </c>
      <c r="I1185" s="523">
        <v>1</v>
      </c>
      <c r="J1185" s="589">
        <v>196.01874000000001</v>
      </c>
      <c r="K1185" s="589">
        <v>196.01874000000001</v>
      </c>
      <c r="L1185" s="523">
        <v>1</v>
      </c>
      <c r="M1185" s="589">
        <v>196.01874000000001</v>
      </c>
      <c r="N1185" s="6" t="s">
        <v>2502</v>
      </c>
      <c r="O1185" s="629">
        <v>45931</v>
      </c>
      <c r="P1185" s="33" t="str">
        <f>HYPERLINK("https://my.zakupivli.pro/remote/dispatcher/state_purchase_view/62325380", "UA-2025-10-01-000433-a")</f>
        <v>UA-2025-10-01-000433-a</v>
      </c>
      <c r="Q1185" s="589">
        <v>196.01874000000001</v>
      </c>
      <c r="R1185" s="523">
        <v>1</v>
      </c>
      <c r="S1185" s="589">
        <v>196.01874000000001</v>
      </c>
      <c r="T1185" s="524">
        <v>45930</v>
      </c>
      <c r="U1185" s="523"/>
      <c r="V1185" s="626" t="s">
        <v>59</v>
      </c>
    </row>
    <row r="1186" spans="1:22" ht="78" x14ac:dyDescent="0.3">
      <c r="A1186" s="628">
        <v>1180</v>
      </c>
      <c r="B1186" s="628" t="s">
        <v>40</v>
      </c>
      <c r="C1186" s="628" t="s">
        <v>884</v>
      </c>
      <c r="D1186" s="523"/>
      <c r="E1186" s="628" t="s">
        <v>20</v>
      </c>
      <c r="F1186" s="523" t="s">
        <v>2504</v>
      </c>
      <c r="G1186" s="628" t="s">
        <v>40</v>
      </c>
      <c r="H1186" s="589">
        <v>289.27274999999997</v>
      </c>
      <c r="I1186" s="628">
        <v>1</v>
      </c>
      <c r="J1186" s="589">
        <v>289.27274999999997</v>
      </c>
      <c r="K1186" s="589">
        <v>289.27274999999997</v>
      </c>
      <c r="L1186" s="628">
        <v>1</v>
      </c>
      <c r="M1186" s="589">
        <v>289.27274999999997</v>
      </c>
      <c r="N1186" s="6" t="s">
        <v>2509</v>
      </c>
      <c r="O1186" s="629">
        <v>45932</v>
      </c>
      <c r="P1186" s="33" t="str">
        <f>HYPERLINK("https://my.zakupivli.pro/remote/dispatcher/state_purchase_view/62380160", "UA-2025-10-02-012266-a")</f>
        <v>UA-2025-10-02-012266-a</v>
      </c>
      <c r="Q1186" s="589">
        <v>289.27274999999997</v>
      </c>
      <c r="R1186" s="628">
        <v>1</v>
      </c>
      <c r="S1186" s="589">
        <v>289.27274999999997</v>
      </c>
      <c r="T1186" s="524">
        <v>45932</v>
      </c>
      <c r="U1186" s="523"/>
      <c r="V1186" s="628" t="s">
        <v>59</v>
      </c>
    </row>
    <row r="1187" spans="1:22" ht="78" x14ac:dyDescent="0.3">
      <c r="A1187" s="628">
        <v>1181</v>
      </c>
      <c r="B1187" s="628" t="s">
        <v>40</v>
      </c>
      <c r="C1187" s="628" t="s">
        <v>884</v>
      </c>
      <c r="D1187" s="523"/>
      <c r="E1187" s="628" t="s">
        <v>20</v>
      </c>
      <c r="F1187" s="523" t="s">
        <v>2505</v>
      </c>
      <c r="G1187" s="628" t="s">
        <v>40</v>
      </c>
      <c r="H1187" s="589">
        <v>232.21097</v>
      </c>
      <c r="I1187" s="628">
        <v>1</v>
      </c>
      <c r="J1187" s="589">
        <v>232.21097</v>
      </c>
      <c r="K1187" s="589">
        <v>232.21097</v>
      </c>
      <c r="L1187" s="628">
        <v>1</v>
      </c>
      <c r="M1187" s="589">
        <v>232.21097</v>
      </c>
      <c r="N1187" s="6" t="s">
        <v>2510</v>
      </c>
      <c r="O1187" s="629">
        <v>45932</v>
      </c>
      <c r="P1187" s="33" t="str">
        <f>HYPERLINK("https://my.zakupivli.pro/remote/dispatcher/state_purchase_view/62379747", "UA-2025-10-02-012092-a")</f>
        <v>UA-2025-10-02-012092-a</v>
      </c>
      <c r="Q1187" s="589">
        <v>232.21097</v>
      </c>
      <c r="R1187" s="628">
        <v>1</v>
      </c>
      <c r="S1187" s="589">
        <v>232.21097</v>
      </c>
      <c r="T1187" s="629">
        <v>45932</v>
      </c>
      <c r="U1187" s="523"/>
      <c r="V1187" s="628" t="s">
        <v>59</v>
      </c>
    </row>
    <row r="1188" spans="1:22" ht="78" x14ac:dyDescent="0.3">
      <c r="A1188" s="628">
        <v>1182</v>
      </c>
      <c r="B1188" s="628" t="s">
        <v>40</v>
      </c>
      <c r="C1188" s="628" t="s">
        <v>884</v>
      </c>
      <c r="D1188" s="523"/>
      <c r="E1188" s="628" t="s">
        <v>20</v>
      </c>
      <c r="F1188" s="523" t="s">
        <v>2506</v>
      </c>
      <c r="G1188" s="628" t="s">
        <v>40</v>
      </c>
      <c r="H1188" s="589">
        <v>300.22568999999999</v>
      </c>
      <c r="I1188" s="628">
        <v>1</v>
      </c>
      <c r="J1188" s="589">
        <v>300.22568999999999</v>
      </c>
      <c r="K1188" s="589">
        <v>300.22568999999999</v>
      </c>
      <c r="L1188" s="628">
        <v>1</v>
      </c>
      <c r="M1188" s="589">
        <v>300.22568999999999</v>
      </c>
      <c r="N1188" s="6" t="s">
        <v>2511</v>
      </c>
      <c r="O1188" s="629">
        <v>45932</v>
      </c>
      <c r="P1188" s="33" t="str">
        <f>HYPERLINK("https://my.zakupivli.pro/remote/dispatcher/state_purchase_view/62379482", "UA-2025-10-02-011920-a")</f>
        <v>UA-2025-10-02-011920-a</v>
      </c>
      <c r="Q1188" s="589">
        <v>300.22568999999999</v>
      </c>
      <c r="R1188" s="628">
        <v>1</v>
      </c>
      <c r="S1188" s="589">
        <v>300.22568999999999</v>
      </c>
      <c r="T1188" s="629">
        <v>45932</v>
      </c>
      <c r="U1188" s="523"/>
      <c r="V1188" s="628" t="s">
        <v>59</v>
      </c>
    </row>
    <row r="1189" spans="1:22" ht="78" x14ac:dyDescent="0.3">
      <c r="A1189" s="628">
        <v>1183</v>
      </c>
      <c r="B1189" s="628" t="s">
        <v>40</v>
      </c>
      <c r="C1189" s="628" t="s">
        <v>884</v>
      </c>
      <c r="D1189" s="523"/>
      <c r="E1189" s="628" t="s">
        <v>20</v>
      </c>
      <c r="F1189" s="523" t="s">
        <v>2507</v>
      </c>
      <c r="G1189" s="628" t="s">
        <v>40</v>
      </c>
      <c r="H1189" s="589">
        <v>114.11897999999999</v>
      </c>
      <c r="I1189" s="628">
        <v>1</v>
      </c>
      <c r="J1189" s="589">
        <v>114.11897999999999</v>
      </c>
      <c r="K1189" s="589">
        <v>114.11897999999999</v>
      </c>
      <c r="L1189" s="628">
        <v>1</v>
      </c>
      <c r="M1189" s="589">
        <v>114.11897999999999</v>
      </c>
      <c r="N1189" s="6" t="s">
        <v>2512</v>
      </c>
      <c r="O1189" s="629">
        <v>45932</v>
      </c>
      <c r="P1189" s="33" t="str">
        <f>HYPERLINK("https://my.zakupivli.pro/remote/dispatcher/state_purchase_view/62379146", "UA-2025-10-02-011794-a")</f>
        <v>UA-2025-10-02-011794-a</v>
      </c>
      <c r="Q1189" s="589">
        <v>114.11897999999999</v>
      </c>
      <c r="R1189" s="628">
        <v>1</v>
      </c>
      <c r="S1189" s="589">
        <v>114.11897999999999</v>
      </c>
      <c r="T1189" s="629">
        <v>45932</v>
      </c>
      <c r="U1189" s="523"/>
      <c r="V1189" s="628" t="s">
        <v>59</v>
      </c>
    </row>
    <row r="1190" spans="1:22" ht="62.4" x14ac:dyDescent="0.3">
      <c r="A1190" s="628">
        <v>1184</v>
      </c>
      <c r="B1190" s="628" t="s">
        <v>40</v>
      </c>
      <c r="C1190" s="628" t="s">
        <v>884</v>
      </c>
      <c r="D1190" s="523"/>
      <c r="E1190" s="628" t="s">
        <v>20</v>
      </c>
      <c r="F1190" s="523" t="s">
        <v>2508</v>
      </c>
      <c r="G1190" s="628" t="s">
        <v>40</v>
      </c>
      <c r="H1190" s="589">
        <v>89.433049999999994</v>
      </c>
      <c r="I1190" s="628">
        <v>1</v>
      </c>
      <c r="J1190" s="589">
        <v>89.433049999999994</v>
      </c>
      <c r="K1190" s="589">
        <v>89.433049999999994</v>
      </c>
      <c r="L1190" s="628">
        <v>1</v>
      </c>
      <c r="M1190" s="589">
        <v>89.433049999999994</v>
      </c>
      <c r="N1190" s="6" t="s">
        <v>2513</v>
      </c>
      <c r="O1190" s="630">
        <v>45932</v>
      </c>
      <c r="P1190" s="33" t="str">
        <f>HYPERLINK("https://my.zakupivli.pro/remote/dispatcher/state_purchase_view/62378982", "UA-2025-10-02-011693-a")</f>
        <v>UA-2025-10-02-011693-a</v>
      </c>
      <c r="Q1190" s="589">
        <v>89.433049999999994</v>
      </c>
      <c r="R1190" s="628">
        <v>1</v>
      </c>
      <c r="S1190" s="589">
        <v>89.433049999999994</v>
      </c>
      <c r="T1190" s="629">
        <v>45932</v>
      </c>
      <c r="U1190" s="523"/>
      <c r="V1190" s="628" t="s">
        <v>59</v>
      </c>
    </row>
    <row r="1191" spans="1:22" ht="62.4" x14ac:dyDescent="0.3">
      <c r="A1191" s="631">
        <v>1185</v>
      </c>
      <c r="B1191" s="632" t="s">
        <v>40</v>
      </c>
      <c r="C1191" s="631" t="s">
        <v>884</v>
      </c>
      <c r="D1191" s="523"/>
      <c r="E1191" s="631" t="s">
        <v>20</v>
      </c>
      <c r="F1191" s="523" t="s">
        <v>2514</v>
      </c>
      <c r="G1191" s="631" t="s">
        <v>40</v>
      </c>
      <c r="H1191" s="589">
        <v>297.62227999999999</v>
      </c>
      <c r="I1191" s="631">
        <v>1</v>
      </c>
      <c r="J1191" s="589">
        <v>297.62227999999999</v>
      </c>
      <c r="K1191" s="589">
        <v>297.62227999999999</v>
      </c>
      <c r="L1191" s="631">
        <v>1</v>
      </c>
      <c r="M1191" s="589">
        <v>297.62227999999999</v>
      </c>
      <c r="N1191" s="6" t="s">
        <v>2517</v>
      </c>
      <c r="O1191" s="630">
        <v>45933</v>
      </c>
      <c r="P1191" s="33" t="str">
        <f>HYPERLINK("https://my.zakupivli.pro/remote/dispatcher/state_purchase_view/62400402", "UA-2025-10-03-007273-a")</f>
        <v>UA-2025-10-03-007273-a</v>
      </c>
      <c r="Q1191" s="589">
        <v>297.62227999999999</v>
      </c>
      <c r="R1191" s="631">
        <v>1</v>
      </c>
      <c r="S1191" s="589">
        <v>297.62227999999999</v>
      </c>
      <c r="T1191" s="630">
        <v>45933</v>
      </c>
      <c r="U1191" s="523"/>
      <c r="V1191" s="631" t="s">
        <v>59</v>
      </c>
    </row>
    <row r="1192" spans="1:22" ht="62.4" x14ac:dyDescent="0.3">
      <c r="A1192" s="631">
        <v>1186</v>
      </c>
      <c r="B1192" s="632" t="s">
        <v>40</v>
      </c>
      <c r="C1192" s="523" t="s">
        <v>41</v>
      </c>
      <c r="D1192" s="523"/>
      <c r="E1192" s="631" t="s">
        <v>20</v>
      </c>
      <c r="F1192" s="523" t="s">
        <v>2515</v>
      </c>
      <c r="G1192" s="631" t="s">
        <v>40</v>
      </c>
      <c r="H1192" s="589">
        <v>100.76331999999999</v>
      </c>
      <c r="I1192" s="631">
        <v>1</v>
      </c>
      <c r="J1192" s="589">
        <v>100.76331999999999</v>
      </c>
      <c r="K1192" s="589">
        <v>100.76331999999999</v>
      </c>
      <c r="L1192" s="631">
        <v>1</v>
      </c>
      <c r="M1192" s="589">
        <v>100.76331999999999</v>
      </c>
      <c r="N1192" s="6" t="s">
        <v>2518</v>
      </c>
      <c r="O1192" s="630">
        <v>45933</v>
      </c>
      <c r="P1192" s="33" t="str">
        <f>HYPERLINK("https://my.zakupivli.pro/remote/dispatcher/state_purchase_view/62399381", "UA-2025-10-03-006798-a")</f>
        <v>UA-2025-10-03-006798-a</v>
      </c>
      <c r="Q1192" s="589">
        <v>100.76331999999999</v>
      </c>
      <c r="R1192" s="631">
        <v>1</v>
      </c>
      <c r="S1192" s="589">
        <v>100.76331999999999</v>
      </c>
      <c r="T1192" s="630">
        <v>45933</v>
      </c>
      <c r="U1192" s="523"/>
      <c r="V1192" s="631" t="s">
        <v>59</v>
      </c>
    </row>
    <row r="1193" spans="1:22" ht="62.4" x14ac:dyDescent="0.3">
      <c r="A1193" s="631">
        <v>1187</v>
      </c>
      <c r="B1193" s="632" t="s">
        <v>40</v>
      </c>
      <c r="C1193" s="631" t="s">
        <v>41</v>
      </c>
      <c r="D1193" s="523"/>
      <c r="E1193" s="631" t="s">
        <v>20</v>
      </c>
      <c r="F1193" s="523" t="s">
        <v>2516</v>
      </c>
      <c r="G1193" s="631" t="s">
        <v>40</v>
      </c>
      <c r="H1193" s="589">
        <v>91.054239999999993</v>
      </c>
      <c r="I1193" s="631">
        <v>1</v>
      </c>
      <c r="J1193" s="589">
        <v>91.054239999999993</v>
      </c>
      <c r="K1193" s="589">
        <v>91.054239999999993</v>
      </c>
      <c r="L1193" s="631">
        <v>1</v>
      </c>
      <c r="M1193" s="589">
        <v>91.054239999999993</v>
      </c>
      <c r="N1193" s="6" t="s">
        <v>2519</v>
      </c>
      <c r="O1193" s="633">
        <v>45933</v>
      </c>
      <c r="P1193" s="33" t="str">
        <f>HYPERLINK("https://my.zakupivli.pro/remote/dispatcher/state_purchase_view/62399033", "UA-2025-10-03-006676-a")</f>
        <v>UA-2025-10-03-006676-a</v>
      </c>
      <c r="Q1193" s="589">
        <v>91.054239999999993</v>
      </c>
      <c r="R1193" s="631">
        <v>1</v>
      </c>
      <c r="S1193" s="589">
        <v>91.054239999999993</v>
      </c>
      <c r="T1193" s="630">
        <v>45933</v>
      </c>
      <c r="U1193" s="523"/>
      <c r="V1193" s="631" t="s">
        <v>59</v>
      </c>
    </row>
    <row r="1194" spans="1:22" ht="62.4" x14ac:dyDescent="0.3">
      <c r="A1194" s="632">
        <v>1188</v>
      </c>
      <c r="B1194" s="632" t="s">
        <v>40</v>
      </c>
      <c r="C1194" s="632" t="s">
        <v>884</v>
      </c>
      <c r="D1194" s="523"/>
      <c r="E1194" s="632" t="s">
        <v>20</v>
      </c>
      <c r="F1194" s="523" t="s">
        <v>2520</v>
      </c>
      <c r="G1194" s="632" t="s">
        <v>40</v>
      </c>
      <c r="H1194" s="589">
        <v>63.978230000000003</v>
      </c>
      <c r="I1194" s="632">
        <v>1</v>
      </c>
      <c r="J1194" s="589">
        <v>63.978230000000003</v>
      </c>
      <c r="K1194" s="589">
        <v>63.978230000000003</v>
      </c>
      <c r="L1194" s="632">
        <v>1</v>
      </c>
      <c r="M1194" s="589">
        <v>63.978230000000003</v>
      </c>
      <c r="N1194" s="6" t="s">
        <v>2521</v>
      </c>
      <c r="O1194" s="635">
        <v>45937</v>
      </c>
      <c r="P1194" s="33" t="str">
        <f>HYPERLINK("https://my.zakupivli.pro/remote/dispatcher/state_purchase_view/62449848", "UA-2025-10-07-000600-a")</f>
        <v>UA-2025-10-07-000600-a</v>
      </c>
      <c r="Q1194" s="589">
        <v>63.978230000000003</v>
      </c>
      <c r="R1194" s="632">
        <v>1</v>
      </c>
      <c r="S1194" s="589">
        <v>63.978230000000003</v>
      </c>
      <c r="T1194" s="524">
        <v>45936</v>
      </c>
      <c r="U1194" s="523"/>
      <c r="V1194" s="632" t="s">
        <v>59</v>
      </c>
    </row>
    <row r="1195" spans="1:22" ht="78" x14ac:dyDescent="0.3">
      <c r="A1195" s="634">
        <v>1189</v>
      </c>
      <c r="B1195" s="634" t="s">
        <v>40</v>
      </c>
      <c r="C1195" s="634" t="s">
        <v>884</v>
      </c>
      <c r="D1195" s="523"/>
      <c r="E1195" s="634" t="s">
        <v>20</v>
      </c>
      <c r="F1195" s="523" t="s">
        <v>2522</v>
      </c>
      <c r="G1195" s="634" t="s">
        <v>40</v>
      </c>
      <c r="H1195" s="589">
        <v>941.39183000000003</v>
      </c>
      <c r="I1195" s="523">
        <v>1</v>
      </c>
      <c r="J1195" s="589">
        <v>941.39183000000003</v>
      </c>
      <c r="K1195" s="589">
        <v>941.39183000000003</v>
      </c>
      <c r="L1195" s="523">
        <v>1</v>
      </c>
      <c r="M1195" s="589">
        <v>941.39183000000003</v>
      </c>
      <c r="N1195" s="6" t="s">
        <v>2523</v>
      </c>
      <c r="O1195" s="637">
        <v>45939</v>
      </c>
      <c r="P1195" s="33" t="str">
        <f>HYPERLINK("https://my.zakupivli.pro/remote/dispatcher/state_purchase_view/62549013", "UA-2025-10-09-013818-a")</f>
        <v>UA-2025-10-09-013818-a</v>
      </c>
      <c r="Q1195" s="589">
        <v>941.39183000000003</v>
      </c>
      <c r="R1195" s="523">
        <v>1</v>
      </c>
      <c r="S1195" s="589">
        <v>941.39183000000003</v>
      </c>
      <c r="T1195" s="524">
        <v>45939</v>
      </c>
      <c r="U1195" s="523"/>
      <c r="V1195" s="634" t="s">
        <v>59</v>
      </c>
    </row>
    <row r="1196" spans="1:22" ht="62.4" x14ac:dyDescent="0.3">
      <c r="A1196" s="636">
        <v>1190</v>
      </c>
      <c r="B1196" s="523" t="s">
        <v>21</v>
      </c>
      <c r="C1196" s="523" t="s">
        <v>30</v>
      </c>
      <c r="D1196" s="523"/>
      <c r="E1196" s="636" t="s">
        <v>20</v>
      </c>
      <c r="F1196" s="523" t="s">
        <v>2469</v>
      </c>
      <c r="G1196" s="523" t="s">
        <v>185</v>
      </c>
      <c r="H1196" s="589"/>
      <c r="I1196" s="523">
        <v>500</v>
      </c>
      <c r="J1196" s="589">
        <v>77.900000000000006</v>
      </c>
      <c r="K1196" s="589"/>
      <c r="L1196" s="636">
        <v>500</v>
      </c>
      <c r="M1196" s="589">
        <v>77.900000000000006</v>
      </c>
      <c r="N1196" s="6" t="s">
        <v>2524</v>
      </c>
      <c r="O1196" s="639">
        <v>45944</v>
      </c>
      <c r="P1196" s="33" t="str">
        <f>HYPERLINK("https://my.zakupivli.pro/remote/dispatcher/state_purchase_view/62631986", "UA-2025-10-14-003114-a")</f>
        <v>UA-2025-10-14-003114-a</v>
      </c>
      <c r="Q1196" s="638"/>
      <c r="R1196" s="636">
        <v>500</v>
      </c>
      <c r="S1196" s="589">
        <v>77.900000000000006</v>
      </c>
      <c r="T1196" s="524">
        <v>45944</v>
      </c>
      <c r="U1196" s="523"/>
      <c r="V1196" s="636" t="s">
        <v>59</v>
      </c>
    </row>
    <row r="1197" spans="1:22" ht="62.4" x14ac:dyDescent="0.3">
      <c r="A1197" s="638">
        <v>1191</v>
      </c>
      <c r="B1197" s="638" t="s">
        <v>40</v>
      </c>
      <c r="C1197" s="638" t="s">
        <v>884</v>
      </c>
      <c r="D1197" s="523"/>
      <c r="E1197" s="638" t="s">
        <v>20</v>
      </c>
      <c r="F1197" s="523" t="s">
        <v>2528</v>
      </c>
      <c r="G1197" s="638" t="s">
        <v>40</v>
      </c>
      <c r="H1197" s="589">
        <v>273.90044</v>
      </c>
      <c r="I1197" s="638">
        <v>1</v>
      </c>
      <c r="J1197" s="589">
        <v>273.90044</v>
      </c>
      <c r="K1197" s="589">
        <v>273.90044</v>
      </c>
      <c r="L1197" s="523">
        <v>1</v>
      </c>
      <c r="M1197" s="589">
        <v>273.90044</v>
      </c>
      <c r="N1197" s="6" t="s">
        <v>2525</v>
      </c>
      <c r="O1197" s="639">
        <v>45947</v>
      </c>
      <c r="P1197" s="33" t="str">
        <f>HYPERLINK("https://my.zakupivli.pro/remote/dispatcher/state_purchase_view/62766493", "UA-2025-10-17-012814-a")</f>
        <v>UA-2025-10-17-012814-a</v>
      </c>
      <c r="Q1197" s="589">
        <v>273.90044</v>
      </c>
      <c r="R1197" s="523">
        <v>1</v>
      </c>
      <c r="S1197" s="589">
        <v>273.90044</v>
      </c>
      <c r="T1197" s="639">
        <v>45947</v>
      </c>
      <c r="U1197" s="523"/>
      <c r="V1197" s="638" t="s">
        <v>59</v>
      </c>
    </row>
    <row r="1198" spans="1:22" ht="62.4" x14ac:dyDescent="0.3">
      <c r="A1198" s="638">
        <v>1192</v>
      </c>
      <c r="B1198" s="638" t="s">
        <v>40</v>
      </c>
      <c r="C1198" s="638" t="s">
        <v>884</v>
      </c>
      <c r="D1198" s="523"/>
      <c r="E1198" s="638" t="s">
        <v>20</v>
      </c>
      <c r="F1198" s="523" t="s">
        <v>2529</v>
      </c>
      <c r="G1198" s="638" t="s">
        <v>40</v>
      </c>
      <c r="H1198" s="589">
        <v>307.51330999999999</v>
      </c>
      <c r="I1198" s="638">
        <v>1</v>
      </c>
      <c r="J1198" s="589">
        <v>307.51330999999999</v>
      </c>
      <c r="K1198" s="589">
        <v>307.51330999999999</v>
      </c>
      <c r="L1198" s="523">
        <v>1</v>
      </c>
      <c r="M1198" s="589">
        <v>307.51330999999999</v>
      </c>
      <c r="N1198" s="6" t="s">
        <v>2526</v>
      </c>
      <c r="O1198" s="639">
        <v>45947</v>
      </c>
      <c r="P1198" s="33" t="str">
        <f>HYPERLINK("https://my.zakupivli.pro/remote/dispatcher/state_purchase_view/62764998", "UA-2025-10-17-012120-a")</f>
        <v>UA-2025-10-17-012120-a</v>
      </c>
      <c r="Q1198" s="589">
        <v>307.51330999999999</v>
      </c>
      <c r="R1198" s="523">
        <v>1</v>
      </c>
      <c r="S1198" s="589">
        <v>307.51330999999999</v>
      </c>
      <c r="T1198" s="639">
        <v>45947</v>
      </c>
      <c r="U1198" s="523"/>
      <c r="V1198" s="638" t="s">
        <v>59</v>
      </c>
    </row>
    <row r="1199" spans="1:22" ht="78" x14ac:dyDescent="0.3">
      <c r="A1199" s="638">
        <v>1193</v>
      </c>
      <c r="B1199" s="638" t="s">
        <v>40</v>
      </c>
      <c r="C1199" s="638" t="s">
        <v>884</v>
      </c>
      <c r="D1199" s="523"/>
      <c r="E1199" s="638" t="s">
        <v>20</v>
      </c>
      <c r="F1199" s="523" t="s">
        <v>2530</v>
      </c>
      <c r="G1199" s="638" t="s">
        <v>40</v>
      </c>
      <c r="H1199" s="589">
        <v>2734.3674999999998</v>
      </c>
      <c r="I1199" s="638">
        <v>1</v>
      </c>
      <c r="J1199" s="589">
        <v>2734.3674999999998</v>
      </c>
      <c r="K1199" s="589">
        <v>2734.3674999999998</v>
      </c>
      <c r="L1199" s="523">
        <v>1</v>
      </c>
      <c r="M1199" s="589">
        <v>2734.3674999999998</v>
      </c>
      <c r="N1199" s="6" t="s">
        <v>2527</v>
      </c>
      <c r="O1199" s="641">
        <v>45947</v>
      </c>
      <c r="P1199" s="438" t="str">
        <f>HYPERLINK("https://my.zakupivli.pro/remote/dispatcher/state_purchase_view/62761705", "UA-2025-10-17-010591-a")</f>
        <v>UA-2025-10-17-010591-a</v>
      </c>
      <c r="Q1199" s="668">
        <v>2734.3672900000001</v>
      </c>
      <c r="R1199" s="668">
        <v>1</v>
      </c>
      <c r="S1199" s="668">
        <v>2734.3672900000001</v>
      </c>
      <c r="T1199" s="669">
        <v>45981</v>
      </c>
      <c r="U1199" s="523"/>
      <c r="V1199" s="523"/>
    </row>
    <row r="1200" spans="1:22" ht="62.4" x14ac:dyDescent="0.3">
      <c r="A1200" s="640">
        <v>1194</v>
      </c>
      <c r="B1200" s="640" t="s">
        <v>40</v>
      </c>
      <c r="C1200" s="523" t="s">
        <v>41</v>
      </c>
      <c r="D1200" s="523"/>
      <c r="E1200" s="640" t="s">
        <v>20</v>
      </c>
      <c r="F1200" s="523" t="s">
        <v>2531</v>
      </c>
      <c r="G1200" s="640" t="s">
        <v>40</v>
      </c>
      <c r="H1200" s="589">
        <v>239.54088999999999</v>
      </c>
      <c r="I1200" s="640">
        <v>1</v>
      </c>
      <c r="J1200" s="589">
        <v>239.54088999999999</v>
      </c>
      <c r="K1200" s="589">
        <v>239.54088999999999</v>
      </c>
      <c r="L1200" s="640">
        <v>1</v>
      </c>
      <c r="M1200" s="589">
        <v>239.54088999999999</v>
      </c>
      <c r="N1200" s="6" t="s">
        <v>2534</v>
      </c>
      <c r="O1200" s="641">
        <v>45951</v>
      </c>
      <c r="P1200" s="33" t="str">
        <f>HYPERLINK("https://my.zakupivli.pro/remote/dispatcher/state_purchase_view/62834469", "UA-2025-10-21-010143-a")</f>
        <v>UA-2025-10-21-010143-a</v>
      </c>
      <c r="Q1200" s="589">
        <v>239.54088999999999</v>
      </c>
      <c r="R1200" s="640">
        <v>1</v>
      </c>
      <c r="S1200" s="589">
        <v>239.54088999999999</v>
      </c>
      <c r="T1200" s="524">
        <v>45950</v>
      </c>
      <c r="U1200" s="523"/>
      <c r="V1200" s="640" t="s">
        <v>59</v>
      </c>
    </row>
    <row r="1201" spans="1:22" ht="62.4" x14ac:dyDescent="0.3">
      <c r="A1201" s="640">
        <v>1195</v>
      </c>
      <c r="B1201" s="640" t="s">
        <v>40</v>
      </c>
      <c r="C1201" s="640" t="s">
        <v>884</v>
      </c>
      <c r="D1201" s="523"/>
      <c r="E1201" s="640" t="s">
        <v>20</v>
      </c>
      <c r="F1201" s="523" t="s">
        <v>2532</v>
      </c>
      <c r="G1201" s="640" t="s">
        <v>40</v>
      </c>
      <c r="H1201" s="589">
        <v>262.12977000000001</v>
      </c>
      <c r="I1201" s="640">
        <v>1</v>
      </c>
      <c r="J1201" s="589">
        <v>262.12977000000001</v>
      </c>
      <c r="K1201" s="589">
        <v>262.12977000000001</v>
      </c>
      <c r="L1201" s="640">
        <v>1</v>
      </c>
      <c r="M1201" s="589">
        <v>262.12977000000001</v>
      </c>
      <c r="N1201" s="6" t="s">
        <v>2535</v>
      </c>
      <c r="O1201" s="641">
        <v>45951</v>
      </c>
      <c r="P1201" s="33" t="str">
        <f>HYPERLINK("https://my.zakupivli.pro/remote/dispatcher/state_purchase_view/62833061", "UA-2025-10-21-009498-a")</f>
        <v>UA-2025-10-21-009498-a</v>
      </c>
      <c r="Q1201" s="589">
        <v>262.12977000000001</v>
      </c>
      <c r="R1201" s="640">
        <v>1</v>
      </c>
      <c r="S1201" s="589">
        <v>262.12977000000001</v>
      </c>
      <c r="T1201" s="641">
        <v>45950</v>
      </c>
      <c r="U1201" s="523"/>
      <c r="V1201" s="640" t="s">
        <v>59</v>
      </c>
    </row>
    <row r="1202" spans="1:22" ht="62.4" x14ac:dyDescent="0.3">
      <c r="A1202" s="640">
        <v>1196</v>
      </c>
      <c r="B1202" s="640" t="s">
        <v>40</v>
      </c>
      <c r="C1202" s="640" t="s">
        <v>884</v>
      </c>
      <c r="D1202" s="523"/>
      <c r="E1202" s="640" t="s">
        <v>20</v>
      </c>
      <c r="F1202" s="523" t="s">
        <v>2533</v>
      </c>
      <c r="G1202" s="640" t="s">
        <v>40</v>
      </c>
      <c r="H1202" s="589">
        <v>192.58998</v>
      </c>
      <c r="I1202" s="640">
        <v>1</v>
      </c>
      <c r="J1202" s="589">
        <v>192.58998</v>
      </c>
      <c r="K1202" s="589">
        <v>192.58998</v>
      </c>
      <c r="L1202" s="640">
        <v>1</v>
      </c>
      <c r="M1202" s="589">
        <v>192.58998</v>
      </c>
      <c r="N1202" s="6" t="s">
        <v>2536</v>
      </c>
      <c r="O1202" s="642">
        <v>45951</v>
      </c>
      <c r="P1202" s="33" t="str">
        <f>HYPERLINK("https://my.zakupivli.pro/remote/dispatcher/state_purchase_view/62831582", "UA-2025-10-21-008894-a")</f>
        <v>UA-2025-10-21-008894-a</v>
      </c>
      <c r="Q1202" s="589">
        <v>192.58998</v>
      </c>
      <c r="R1202" s="640">
        <v>1</v>
      </c>
      <c r="S1202" s="589">
        <v>192.58998</v>
      </c>
      <c r="T1202" s="641">
        <v>45950</v>
      </c>
      <c r="U1202" s="523"/>
      <c r="V1202" s="640" t="s">
        <v>59</v>
      </c>
    </row>
    <row r="1203" spans="1:22" ht="62.4" x14ac:dyDescent="0.3">
      <c r="A1203" s="643">
        <v>1197</v>
      </c>
      <c r="B1203" s="643" t="s">
        <v>40</v>
      </c>
      <c r="C1203" s="523" t="s">
        <v>41</v>
      </c>
      <c r="D1203" s="523"/>
      <c r="E1203" s="643" t="s">
        <v>20</v>
      </c>
      <c r="F1203" s="523" t="s">
        <v>2537</v>
      </c>
      <c r="G1203" s="643" t="s">
        <v>40</v>
      </c>
      <c r="H1203" s="589">
        <v>96.178970000000007</v>
      </c>
      <c r="I1203" s="643">
        <v>1</v>
      </c>
      <c r="J1203" s="589">
        <v>96.178970000000007</v>
      </c>
      <c r="K1203" s="589">
        <v>96.178970000000007</v>
      </c>
      <c r="L1203" s="643">
        <v>1</v>
      </c>
      <c r="M1203" s="589">
        <v>96.178970000000007</v>
      </c>
      <c r="N1203" s="6" t="s">
        <v>2546</v>
      </c>
      <c r="O1203" s="642">
        <v>45952</v>
      </c>
      <c r="P1203" s="33" t="str">
        <f>HYPERLINK("https://my.zakupivli.pro/remote/dispatcher/state_purchase_view/62863987", "UA-2025-10-22-005511-a")</f>
        <v>UA-2025-10-22-005511-a</v>
      </c>
      <c r="Q1203" s="589">
        <v>96.178970000000007</v>
      </c>
      <c r="R1203" s="643">
        <v>1</v>
      </c>
      <c r="S1203" s="589">
        <v>96.178970000000007</v>
      </c>
      <c r="T1203" s="642">
        <v>45952</v>
      </c>
      <c r="U1203" s="523"/>
      <c r="V1203" s="643" t="s">
        <v>59</v>
      </c>
    </row>
    <row r="1204" spans="1:22" ht="62.4" x14ac:dyDescent="0.3">
      <c r="A1204" s="643">
        <v>1198</v>
      </c>
      <c r="B1204" s="643" t="s">
        <v>40</v>
      </c>
      <c r="C1204" s="643" t="s">
        <v>884</v>
      </c>
      <c r="D1204" s="523"/>
      <c r="E1204" s="643" t="s">
        <v>20</v>
      </c>
      <c r="F1204" s="523" t="s">
        <v>2538</v>
      </c>
      <c r="G1204" s="643" t="s">
        <v>40</v>
      </c>
      <c r="H1204" s="589">
        <v>274.23442</v>
      </c>
      <c r="I1204" s="643">
        <v>1</v>
      </c>
      <c r="J1204" s="589">
        <v>274.23442</v>
      </c>
      <c r="K1204" s="589">
        <v>274.23442</v>
      </c>
      <c r="L1204" s="643">
        <v>1</v>
      </c>
      <c r="M1204" s="589">
        <v>274.23442</v>
      </c>
      <c r="N1204" s="6" t="s">
        <v>2547</v>
      </c>
      <c r="O1204" s="642">
        <v>45952</v>
      </c>
      <c r="P1204" s="33" t="str">
        <f>HYPERLINK("https://my.zakupivli.pro/remote/dispatcher/state_purchase_view/62863476", "UA-2025-10-22-005340-a")</f>
        <v>UA-2025-10-22-005340-a</v>
      </c>
      <c r="Q1204" s="589">
        <v>274.23442</v>
      </c>
      <c r="R1204" s="643">
        <v>1</v>
      </c>
      <c r="S1204" s="589">
        <v>274.23442</v>
      </c>
      <c r="T1204" s="642">
        <v>45952</v>
      </c>
      <c r="U1204" s="523"/>
      <c r="V1204" s="643" t="s">
        <v>59</v>
      </c>
    </row>
    <row r="1205" spans="1:22" ht="93.6" x14ac:dyDescent="0.3">
      <c r="A1205" s="643">
        <v>1199</v>
      </c>
      <c r="B1205" s="643" t="s">
        <v>40</v>
      </c>
      <c r="C1205" s="643" t="s">
        <v>41</v>
      </c>
      <c r="D1205" s="523"/>
      <c r="E1205" s="643" t="s">
        <v>20</v>
      </c>
      <c r="F1205" s="523" t="s">
        <v>2539</v>
      </c>
      <c r="G1205" s="643" t="s">
        <v>40</v>
      </c>
      <c r="H1205" s="589">
        <v>100.5658</v>
      </c>
      <c r="I1205" s="643">
        <v>1</v>
      </c>
      <c r="J1205" s="589">
        <v>100.5658</v>
      </c>
      <c r="K1205" s="589">
        <v>100.5658</v>
      </c>
      <c r="L1205" s="643">
        <v>1</v>
      </c>
      <c r="M1205" s="589">
        <v>100.5658</v>
      </c>
      <c r="N1205" s="6" t="s">
        <v>2548</v>
      </c>
      <c r="O1205" s="642">
        <v>45952</v>
      </c>
      <c r="P1205" s="33" t="str">
        <f>HYPERLINK("https://my.zakupivli.pro/remote/dispatcher/state_purchase_view/62863079", "UA-2025-10-22-005105-a")</f>
        <v>UA-2025-10-22-005105-a</v>
      </c>
      <c r="Q1205" s="589">
        <v>100.5658</v>
      </c>
      <c r="R1205" s="643">
        <v>1</v>
      </c>
      <c r="S1205" s="589">
        <v>100.5658</v>
      </c>
      <c r="T1205" s="642">
        <v>45952</v>
      </c>
      <c r="U1205" s="523"/>
      <c r="V1205" s="643" t="s">
        <v>59</v>
      </c>
    </row>
    <row r="1206" spans="1:22" ht="78" x14ac:dyDescent="0.3">
      <c r="A1206" s="643">
        <v>1200</v>
      </c>
      <c r="B1206" s="643" t="s">
        <v>40</v>
      </c>
      <c r="C1206" s="643" t="s">
        <v>884</v>
      </c>
      <c r="D1206" s="523"/>
      <c r="E1206" s="643" t="s">
        <v>20</v>
      </c>
      <c r="F1206" s="523" t="s">
        <v>2540</v>
      </c>
      <c r="G1206" s="643" t="s">
        <v>40</v>
      </c>
      <c r="H1206" s="589">
        <v>180.4316</v>
      </c>
      <c r="I1206" s="643">
        <v>1</v>
      </c>
      <c r="J1206" s="589">
        <v>180.4316</v>
      </c>
      <c r="K1206" s="589">
        <v>180.4316</v>
      </c>
      <c r="L1206" s="643">
        <v>1</v>
      </c>
      <c r="M1206" s="589">
        <v>180.4316</v>
      </c>
      <c r="N1206" s="6" t="s">
        <v>2549</v>
      </c>
      <c r="O1206" s="642">
        <v>45952</v>
      </c>
      <c r="P1206" s="33" t="str">
        <f>HYPERLINK("https://my.zakupivli.pro/remote/dispatcher/state_purchase_view/62862549", "UA-2025-10-22-004902-a")</f>
        <v>UA-2025-10-22-004902-a</v>
      </c>
      <c r="Q1206" s="589">
        <v>180.4316</v>
      </c>
      <c r="R1206" s="643">
        <v>1</v>
      </c>
      <c r="S1206" s="589">
        <v>180.4316</v>
      </c>
      <c r="T1206" s="642">
        <v>45951</v>
      </c>
      <c r="U1206" s="523"/>
      <c r="V1206" s="643" t="s">
        <v>59</v>
      </c>
    </row>
    <row r="1207" spans="1:22" ht="62.4" x14ac:dyDescent="0.3">
      <c r="A1207" s="643">
        <v>1201</v>
      </c>
      <c r="B1207" s="643" t="s">
        <v>40</v>
      </c>
      <c r="C1207" s="643" t="s">
        <v>884</v>
      </c>
      <c r="D1207" s="523"/>
      <c r="E1207" s="643" t="s">
        <v>20</v>
      </c>
      <c r="F1207" s="523" t="s">
        <v>2541</v>
      </c>
      <c r="G1207" s="643" t="s">
        <v>40</v>
      </c>
      <c r="H1207" s="589">
        <v>741.39971000000003</v>
      </c>
      <c r="I1207" s="643">
        <v>1</v>
      </c>
      <c r="J1207" s="589">
        <v>741.39971000000003</v>
      </c>
      <c r="K1207" s="589">
        <v>741.39971000000003</v>
      </c>
      <c r="L1207" s="643">
        <v>1</v>
      </c>
      <c r="M1207" s="589">
        <v>741.39971000000003</v>
      </c>
      <c r="N1207" s="6" t="s">
        <v>2550</v>
      </c>
      <c r="O1207" s="642">
        <v>45952</v>
      </c>
      <c r="P1207" s="33" t="str">
        <f>HYPERLINK("https://my.zakupivli.pro/remote/dispatcher/state_purchase_view/62855820", "UA-2025-10-22-001821-a")</f>
        <v>UA-2025-10-22-001821-a</v>
      </c>
      <c r="Q1207" s="589">
        <v>741.39971000000003</v>
      </c>
      <c r="R1207" s="643">
        <v>1</v>
      </c>
      <c r="S1207" s="589">
        <v>741.39971000000003</v>
      </c>
      <c r="T1207" s="642">
        <v>45951</v>
      </c>
      <c r="U1207" s="523"/>
      <c r="V1207" s="643" t="s">
        <v>59</v>
      </c>
    </row>
    <row r="1208" spans="1:22" ht="62.4" x14ac:dyDescent="0.3">
      <c r="A1208" s="643">
        <v>1202</v>
      </c>
      <c r="B1208" s="643" t="s">
        <v>40</v>
      </c>
      <c r="C1208" s="643" t="s">
        <v>884</v>
      </c>
      <c r="D1208" s="523"/>
      <c r="E1208" s="643" t="s">
        <v>20</v>
      </c>
      <c r="F1208" s="523" t="s">
        <v>2542</v>
      </c>
      <c r="G1208" s="643" t="s">
        <v>40</v>
      </c>
      <c r="H1208" s="589">
        <v>477.04847999999998</v>
      </c>
      <c r="I1208" s="643">
        <v>1</v>
      </c>
      <c r="J1208" s="589">
        <v>477.04847999999998</v>
      </c>
      <c r="K1208" s="589">
        <v>477.04847999999998</v>
      </c>
      <c r="L1208" s="643">
        <v>1</v>
      </c>
      <c r="M1208" s="589">
        <v>477.04847999999998</v>
      </c>
      <c r="N1208" s="6" t="s">
        <v>2551</v>
      </c>
      <c r="O1208" s="642">
        <v>45952</v>
      </c>
      <c r="P1208" s="33" t="str">
        <f>HYPERLINK("https://my.zakupivli.pro/remote/dispatcher/state_purchase_view/62855366", "UA-2025-10-22-001628-a")</f>
        <v>UA-2025-10-22-001628-a</v>
      </c>
      <c r="Q1208" s="589">
        <v>477.04847999999998</v>
      </c>
      <c r="R1208" s="643">
        <v>1</v>
      </c>
      <c r="S1208" s="589">
        <v>477.04847999999998</v>
      </c>
      <c r="T1208" s="642">
        <v>45951</v>
      </c>
      <c r="U1208" s="523"/>
      <c r="V1208" s="643" t="s">
        <v>59</v>
      </c>
    </row>
    <row r="1209" spans="1:22" ht="78" x14ac:dyDescent="0.3">
      <c r="A1209" s="643">
        <v>1203</v>
      </c>
      <c r="B1209" s="643" t="s">
        <v>40</v>
      </c>
      <c r="C1209" s="643" t="s">
        <v>884</v>
      </c>
      <c r="D1209" s="523"/>
      <c r="E1209" s="643" t="s">
        <v>20</v>
      </c>
      <c r="F1209" s="523" t="s">
        <v>2543</v>
      </c>
      <c r="G1209" s="643" t="s">
        <v>40</v>
      </c>
      <c r="H1209" s="589">
        <v>828.88908000000004</v>
      </c>
      <c r="I1209" s="643">
        <v>1</v>
      </c>
      <c r="J1209" s="589">
        <v>828.88908000000004</v>
      </c>
      <c r="K1209" s="589">
        <v>828.88908000000004</v>
      </c>
      <c r="L1209" s="643">
        <v>1</v>
      </c>
      <c r="M1209" s="589">
        <v>828.88908000000004</v>
      </c>
      <c r="N1209" s="6" t="s">
        <v>2552</v>
      </c>
      <c r="O1209" s="642">
        <v>45952</v>
      </c>
      <c r="P1209" s="33" t="str">
        <f>HYPERLINK("https://my.zakupivli.pro/remote/dispatcher/state_purchase_view/62853645", "UA-2025-10-22-000889-a")</f>
        <v>UA-2025-10-22-000889-a</v>
      </c>
      <c r="Q1209" s="589">
        <v>828.88908000000004</v>
      </c>
      <c r="R1209" s="643">
        <v>1</v>
      </c>
      <c r="S1209" s="589">
        <v>828.88908000000004</v>
      </c>
      <c r="T1209" s="642">
        <v>45951</v>
      </c>
      <c r="U1209" s="523"/>
      <c r="V1209" s="643" t="s">
        <v>59</v>
      </c>
    </row>
    <row r="1210" spans="1:22" ht="78" x14ac:dyDescent="0.3">
      <c r="A1210" s="643">
        <v>1204</v>
      </c>
      <c r="B1210" s="643" t="s">
        <v>40</v>
      </c>
      <c r="C1210" s="643" t="s">
        <v>884</v>
      </c>
      <c r="D1210" s="523"/>
      <c r="E1210" s="643" t="s">
        <v>20</v>
      </c>
      <c r="F1210" s="523" t="s">
        <v>2544</v>
      </c>
      <c r="G1210" s="643" t="s">
        <v>40</v>
      </c>
      <c r="H1210" s="589">
        <v>791.60505999999998</v>
      </c>
      <c r="I1210" s="643">
        <v>1</v>
      </c>
      <c r="J1210" s="589">
        <v>791.60505999999998</v>
      </c>
      <c r="K1210" s="589">
        <v>791.60505999999998</v>
      </c>
      <c r="L1210" s="643">
        <v>1</v>
      </c>
      <c r="M1210" s="589">
        <v>791.60505999999998</v>
      </c>
      <c r="N1210" s="6" t="s">
        <v>2553</v>
      </c>
      <c r="O1210" s="642">
        <v>45952</v>
      </c>
      <c r="P1210" s="33" t="str">
        <f>HYPERLINK("https://my.zakupivli.pro/remote/dispatcher/state_purchase_view/62853247", "UA-2025-10-22-000692-a")</f>
        <v>UA-2025-10-22-000692-a</v>
      </c>
      <c r="Q1210" s="589">
        <v>791.60505999999998</v>
      </c>
      <c r="R1210" s="643">
        <v>1</v>
      </c>
      <c r="S1210" s="589">
        <v>791.60505999999998</v>
      </c>
      <c r="T1210" s="642">
        <v>45951</v>
      </c>
      <c r="U1210" s="523"/>
      <c r="V1210" s="643" t="s">
        <v>59</v>
      </c>
    </row>
    <row r="1211" spans="1:22" ht="62.4" x14ac:dyDescent="0.3">
      <c r="A1211" s="643">
        <v>1205</v>
      </c>
      <c r="B1211" s="643" t="s">
        <v>40</v>
      </c>
      <c r="C1211" s="643" t="s">
        <v>884</v>
      </c>
      <c r="D1211" s="523"/>
      <c r="E1211" s="643" t="s">
        <v>20</v>
      </c>
      <c r="F1211" s="523" t="s">
        <v>2545</v>
      </c>
      <c r="G1211" s="643" t="s">
        <v>40</v>
      </c>
      <c r="H1211" s="589">
        <v>905.60672999999997</v>
      </c>
      <c r="I1211" s="643">
        <v>1</v>
      </c>
      <c r="J1211" s="589">
        <v>905.60672999999997</v>
      </c>
      <c r="K1211" s="589">
        <v>905.60672999999997</v>
      </c>
      <c r="L1211" s="643">
        <v>1</v>
      </c>
      <c r="M1211" s="589">
        <v>905.60672999999997</v>
      </c>
      <c r="N1211" s="6" t="s">
        <v>2554</v>
      </c>
      <c r="O1211" s="645">
        <v>45952</v>
      </c>
      <c r="P1211" s="33" t="str">
        <f>HYPERLINK("https://my.zakupivli.pro/remote/dispatcher/state_purchase_view/62852695", "UA-2025-10-22-000442-a")</f>
        <v>UA-2025-10-22-000442-a</v>
      </c>
      <c r="Q1211" s="589">
        <v>905.60672999999997</v>
      </c>
      <c r="R1211" s="643">
        <v>1</v>
      </c>
      <c r="S1211" s="589">
        <v>905.60672999999997</v>
      </c>
      <c r="T1211" s="642">
        <v>45951</v>
      </c>
      <c r="U1211" s="523"/>
      <c r="V1211" s="643" t="s">
        <v>59</v>
      </c>
    </row>
    <row r="1212" spans="1:22" ht="78" x14ac:dyDescent="0.3">
      <c r="A1212" s="644">
        <v>1206</v>
      </c>
      <c r="B1212" s="644" t="s">
        <v>40</v>
      </c>
      <c r="C1212" s="644" t="s">
        <v>884</v>
      </c>
      <c r="D1212" s="523"/>
      <c r="E1212" s="644" t="s">
        <v>20</v>
      </c>
      <c r="F1212" s="523" t="s">
        <v>2555</v>
      </c>
      <c r="G1212" s="644" t="s">
        <v>40</v>
      </c>
      <c r="H1212" s="589">
        <v>124.27714</v>
      </c>
      <c r="I1212" s="644">
        <v>1</v>
      </c>
      <c r="J1212" s="589">
        <v>124.27714</v>
      </c>
      <c r="K1212" s="589">
        <v>124.27714</v>
      </c>
      <c r="L1212" s="644">
        <v>1</v>
      </c>
      <c r="M1212" s="589">
        <v>124.27714</v>
      </c>
      <c r="N1212" s="6" t="s">
        <v>2558</v>
      </c>
      <c r="O1212" s="645">
        <v>45953</v>
      </c>
      <c r="P1212" s="33" t="str">
        <f>HYPERLINK("https://my.zakupivli.pro/remote/dispatcher/state_purchase_view/62909383", "UA-2025-10-23-009386-a")</f>
        <v>UA-2025-10-23-009386-a</v>
      </c>
      <c r="Q1212" s="589">
        <v>124.27714</v>
      </c>
      <c r="R1212" s="644">
        <v>1</v>
      </c>
      <c r="S1212" s="589">
        <v>124.27714</v>
      </c>
      <c r="T1212" s="645">
        <v>45952</v>
      </c>
      <c r="U1212" s="523"/>
      <c r="V1212" s="644" t="s">
        <v>59</v>
      </c>
    </row>
    <row r="1213" spans="1:22" ht="62.4" x14ac:dyDescent="0.3">
      <c r="A1213" s="644">
        <v>1207</v>
      </c>
      <c r="B1213" s="644" t="s">
        <v>40</v>
      </c>
      <c r="C1213" s="644" t="s">
        <v>884</v>
      </c>
      <c r="D1213" s="523"/>
      <c r="E1213" s="644" t="s">
        <v>20</v>
      </c>
      <c r="F1213" s="523" t="s">
        <v>2556</v>
      </c>
      <c r="G1213" s="644" t="s">
        <v>40</v>
      </c>
      <c r="H1213" s="589">
        <v>321.56641999999999</v>
      </c>
      <c r="I1213" s="644">
        <v>1</v>
      </c>
      <c r="J1213" s="589">
        <v>321.56641999999999</v>
      </c>
      <c r="K1213" s="589">
        <v>321.56641999999999</v>
      </c>
      <c r="L1213" s="644">
        <v>1</v>
      </c>
      <c r="M1213" s="589">
        <v>321.56641999999999</v>
      </c>
      <c r="N1213" s="6" t="s">
        <v>2559</v>
      </c>
      <c r="O1213" s="645">
        <v>45953</v>
      </c>
      <c r="P1213" s="33" t="str">
        <f>HYPERLINK("https://my.zakupivli.pro/remote/dispatcher/state_purchase_view/62909010", "UA-2025-10-23-009263-a")</f>
        <v>UA-2025-10-23-009263-a</v>
      </c>
      <c r="Q1213" s="589">
        <v>321.56641999999999</v>
      </c>
      <c r="R1213" s="644">
        <v>1</v>
      </c>
      <c r="S1213" s="589">
        <v>321.56641999999999</v>
      </c>
      <c r="T1213" s="645">
        <v>45952</v>
      </c>
      <c r="U1213" s="523"/>
      <c r="V1213" s="644" t="s">
        <v>59</v>
      </c>
    </row>
    <row r="1214" spans="1:22" ht="62.4" x14ac:dyDescent="0.3">
      <c r="A1214" s="644">
        <v>1208</v>
      </c>
      <c r="B1214" s="644" t="s">
        <v>40</v>
      </c>
      <c r="C1214" s="644" t="s">
        <v>884</v>
      </c>
      <c r="D1214" s="523"/>
      <c r="E1214" s="644" t="s">
        <v>20</v>
      </c>
      <c r="F1214" s="523" t="s">
        <v>2557</v>
      </c>
      <c r="G1214" s="644" t="s">
        <v>40</v>
      </c>
      <c r="H1214" s="589">
        <v>258.05671000000001</v>
      </c>
      <c r="I1214" s="644">
        <v>1</v>
      </c>
      <c r="J1214" s="589">
        <v>258.05671000000001</v>
      </c>
      <c r="K1214" s="589">
        <v>258.05671000000001</v>
      </c>
      <c r="L1214" s="644">
        <v>1</v>
      </c>
      <c r="M1214" s="589">
        <v>258.05671000000001</v>
      </c>
      <c r="N1214" s="6" t="s">
        <v>2560</v>
      </c>
      <c r="O1214" s="647">
        <v>45953</v>
      </c>
      <c r="P1214" s="33" t="str">
        <f>HYPERLINK("https://my.zakupivli.pro/remote/dispatcher/state_purchase_view/62906389", "UA-2025-10-23-008056-a")</f>
        <v>UA-2025-10-23-008056-a</v>
      </c>
      <c r="Q1214" s="589">
        <v>258.05671000000001</v>
      </c>
      <c r="R1214" s="644">
        <v>1</v>
      </c>
      <c r="S1214" s="589">
        <v>258.05671000000001</v>
      </c>
      <c r="T1214" s="645">
        <v>45952</v>
      </c>
      <c r="U1214" s="523"/>
      <c r="V1214" s="644" t="s">
        <v>59</v>
      </c>
    </row>
    <row r="1215" spans="1:22" ht="93.6" x14ac:dyDescent="0.3">
      <c r="A1215" s="646">
        <v>1209</v>
      </c>
      <c r="B1215" s="646" t="s">
        <v>40</v>
      </c>
      <c r="C1215" s="646" t="s">
        <v>884</v>
      </c>
      <c r="D1215" s="523"/>
      <c r="E1215" s="646" t="s">
        <v>20</v>
      </c>
      <c r="F1215" s="523" t="s">
        <v>2561</v>
      </c>
      <c r="G1215" s="646" t="s">
        <v>40</v>
      </c>
      <c r="H1215" s="589">
        <v>835.78556000000003</v>
      </c>
      <c r="I1215" s="646">
        <v>1</v>
      </c>
      <c r="J1215" s="589">
        <v>835.78556000000003</v>
      </c>
      <c r="K1215" s="589">
        <v>835.78556000000003</v>
      </c>
      <c r="L1215" s="646">
        <v>1</v>
      </c>
      <c r="M1215" s="589">
        <v>835.78556000000003</v>
      </c>
      <c r="N1215" s="6" t="s">
        <v>2563</v>
      </c>
      <c r="O1215" s="647">
        <v>45954</v>
      </c>
      <c r="P1215" s="33" t="str">
        <f>HYPERLINK("https://my.zakupivli.pro/remote/dispatcher/state_purchase_view/62935235", "UA-2025-10-24-004314-a")</f>
        <v>UA-2025-10-24-004314-a</v>
      </c>
      <c r="Q1215" s="589">
        <v>835.78556000000003</v>
      </c>
      <c r="R1215" s="646">
        <v>1</v>
      </c>
      <c r="S1215" s="589">
        <v>835.78556000000003</v>
      </c>
      <c r="T1215" s="524">
        <v>45953</v>
      </c>
      <c r="U1215" s="523"/>
      <c r="V1215" s="646" t="s">
        <v>59</v>
      </c>
    </row>
    <row r="1216" spans="1:22" ht="93.6" x14ac:dyDescent="0.3">
      <c r="A1216" s="646">
        <v>1210</v>
      </c>
      <c r="B1216" s="646" t="s">
        <v>40</v>
      </c>
      <c r="C1216" s="523" t="s">
        <v>41</v>
      </c>
      <c r="D1216" s="523"/>
      <c r="E1216" s="646" t="s">
        <v>20</v>
      </c>
      <c r="F1216" s="523" t="s">
        <v>2562</v>
      </c>
      <c r="G1216" s="646" t="s">
        <v>40</v>
      </c>
      <c r="H1216" s="589">
        <v>54.49877</v>
      </c>
      <c r="I1216" s="646">
        <v>1</v>
      </c>
      <c r="J1216" s="589">
        <v>54.49877</v>
      </c>
      <c r="K1216" s="589">
        <v>54.49877</v>
      </c>
      <c r="L1216" s="646">
        <v>1</v>
      </c>
      <c r="M1216" s="589">
        <v>54.49877</v>
      </c>
      <c r="N1216" s="6" t="s">
        <v>2564</v>
      </c>
      <c r="O1216" s="649">
        <v>45954</v>
      </c>
      <c r="P1216" s="33" t="str">
        <f>HYPERLINK("https://my.zakupivli.pro/remote/dispatcher/state_purchase_view/62935086", "UA-2025-10-24-004217-a")</f>
        <v>UA-2025-10-24-004217-a</v>
      </c>
      <c r="Q1216" s="589">
        <v>54.49877</v>
      </c>
      <c r="R1216" s="646">
        <v>1</v>
      </c>
      <c r="S1216" s="589">
        <v>54.49877</v>
      </c>
      <c r="T1216" s="647">
        <v>45953</v>
      </c>
      <c r="U1216" s="523"/>
      <c r="V1216" s="646" t="s">
        <v>59</v>
      </c>
    </row>
    <row r="1217" spans="1:22" ht="62.4" x14ac:dyDescent="0.3">
      <c r="A1217" s="648">
        <v>1211</v>
      </c>
      <c r="B1217" s="523" t="s">
        <v>21</v>
      </c>
      <c r="C1217" s="523" t="s">
        <v>412</v>
      </c>
      <c r="D1217" s="523"/>
      <c r="E1217" s="648" t="s">
        <v>20</v>
      </c>
      <c r="F1217" s="523" t="s">
        <v>2565</v>
      </c>
      <c r="G1217" s="523" t="s">
        <v>185</v>
      </c>
      <c r="H1217" s="589"/>
      <c r="I1217" s="523">
        <v>530</v>
      </c>
      <c r="J1217" s="589">
        <v>1383.3333299999999</v>
      </c>
      <c r="K1217" s="589"/>
      <c r="L1217" s="648">
        <v>530</v>
      </c>
      <c r="M1217" s="589">
        <v>1383.3333299999999</v>
      </c>
      <c r="N1217" s="6" t="s">
        <v>2566</v>
      </c>
      <c r="O1217" s="651">
        <v>45958</v>
      </c>
      <c r="P1217" s="33" t="str">
        <f>HYPERLINK("https://my.zakupivli.pro/remote/dispatcher/state_purchase_view/63012648", "UA-2025-10-28-005437-a")</f>
        <v>UA-2025-10-28-005437-a</v>
      </c>
      <c r="Q1217" s="660"/>
      <c r="R1217" s="660">
        <v>530</v>
      </c>
      <c r="S1217" s="660">
        <v>1374.3420000000001</v>
      </c>
      <c r="T1217" s="661">
        <v>45974</v>
      </c>
      <c r="U1217" s="660"/>
      <c r="V1217" s="660"/>
    </row>
    <row r="1218" spans="1:22" ht="78" x14ac:dyDescent="0.3">
      <c r="A1218" s="650">
        <v>1212</v>
      </c>
      <c r="B1218" s="650" t="s">
        <v>40</v>
      </c>
      <c r="C1218" s="650" t="s">
        <v>884</v>
      </c>
      <c r="D1218" s="523"/>
      <c r="E1218" s="650" t="s">
        <v>20</v>
      </c>
      <c r="F1218" s="523" t="s">
        <v>2567</v>
      </c>
      <c r="G1218" s="650" t="s">
        <v>40</v>
      </c>
      <c r="H1218" s="589">
        <v>212.78030000000001</v>
      </c>
      <c r="I1218" s="523">
        <v>1</v>
      </c>
      <c r="J1218" s="589">
        <v>212.78030000000001</v>
      </c>
      <c r="K1218" s="589">
        <v>212.78030000000001</v>
      </c>
      <c r="L1218" s="650">
        <v>1</v>
      </c>
      <c r="M1218" s="589">
        <v>212.78030000000001</v>
      </c>
      <c r="N1218" s="6" t="s">
        <v>2572</v>
      </c>
      <c r="O1218" s="651">
        <v>45960</v>
      </c>
      <c r="P1218" s="33" t="str">
        <f>HYPERLINK("https://my.zakupivli.pro/remote/dispatcher/state_purchase_view/63098968", "UA-2025-10-30-012032-a")</f>
        <v>UA-2025-10-30-012032-a</v>
      </c>
      <c r="Q1218" s="589">
        <v>212.78030000000001</v>
      </c>
      <c r="R1218" s="650">
        <v>1</v>
      </c>
      <c r="S1218" s="589">
        <v>212.78030000000001</v>
      </c>
      <c r="T1218" s="524">
        <v>45960</v>
      </c>
      <c r="U1218" s="523"/>
      <c r="V1218" s="650" t="s">
        <v>59</v>
      </c>
    </row>
    <row r="1219" spans="1:22" ht="93.6" x14ac:dyDescent="0.3">
      <c r="A1219" s="650">
        <v>1213</v>
      </c>
      <c r="B1219" s="650" t="s">
        <v>40</v>
      </c>
      <c r="C1219" s="650" t="s">
        <v>884</v>
      </c>
      <c r="D1219" s="523"/>
      <c r="E1219" s="650" t="s">
        <v>20</v>
      </c>
      <c r="F1219" s="523" t="s">
        <v>2568</v>
      </c>
      <c r="G1219" s="650" t="s">
        <v>40</v>
      </c>
      <c r="H1219" s="589">
        <v>258.98640999999998</v>
      </c>
      <c r="I1219" s="523">
        <v>1</v>
      </c>
      <c r="J1219" s="589">
        <v>258.98640999999998</v>
      </c>
      <c r="K1219" s="589">
        <v>258.98640999999998</v>
      </c>
      <c r="L1219" s="650">
        <v>1</v>
      </c>
      <c r="M1219" s="589">
        <v>258.98640999999998</v>
      </c>
      <c r="N1219" s="6" t="s">
        <v>2573</v>
      </c>
      <c r="O1219" s="651">
        <v>45960</v>
      </c>
      <c r="P1219" s="33" t="str">
        <f>HYPERLINK("https://my.zakupivli.pro/remote/dispatcher/state_purchase_view/63074278", "UA-2025-10-30-000711-a")</f>
        <v>UA-2025-10-30-000711-a</v>
      </c>
      <c r="Q1219" s="589">
        <v>258.98640999999998</v>
      </c>
      <c r="R1219" s="650">
        <v>1</v>
      </c>
      <c r="S1219" s="589">
        <v>258.98640999999998</v>
      </c>
      <c r="T1219" s="524">
        <v>45959</v>
      </c>
      <c r="U1219" s="523"/>
      <c r="V1219" s="650" t="s">
        <v>59</v>
      </c>
    </row>
    <row r="1220" spans="1:22" ht="93.6" x14ac:dyDescent="0.3">
      <c r="A1220" s="650">
        <v>1214</v>
      </c>
      <c r="B1220" s="650" t="s">
        <v>40</v>
      </c>
      <c r="C1220" s="650" t="s">
        <v>41</v>
      </c>
      <c r="D1220" s="523"/>
      <c r="E1220" s="650" t="s">
        <v>20</v>
      </c>
      <c r="F1220" s="523" t="s">
        <v>2569</v>
      </c>
      <c r="G1220" s="650" t="s">
        <v>40</v>
      </c>
      <c r="H1220" s="589">
        <v>353.05095999999998</v>
      </c>
      <c r="I1220" s="523">
        <v>1</v>
      </c>
      <c r="J1220" s="589">
        <v>353.05095999999998</v>
      </c>
      <c r="K1220" s="589">
        <v>353.05095999999998</v>
      </c>
      <c r="L1220" s="650">
        <v>1</v>
      </c>
      <c r="M1220" s="589">
        <v>353.05095999999998</v>
      </c>
      <c r="N1220" s="6" t="s">
        <v>2574</v>
      </c>
      <c r="O1220" s="651">
        <v>45960</v>
      </c>
      <c r="P1220" s="33" t="str">
        <f>HYPERLINK("https://my.zakupivli.pro/remote/dispatcher/state_purchase_view/63073923", "UA-2025-10-30-000554-a")</f>
        <v>UA-2025-10-30-000554-a</v>
      </c>
      <c r="Q1220" s="589">
        <v>353.05095999999998</v>
      </c>
      <c r="R1220" s="650">
        <v>1</v>
      </c>
      <c r="S1220" s="589">
        <v>353.05095999999998</v>
      </c>
      <c r="T1220" s="651">
        <v>45959</v>
      </c>
      <c r="U1220" s="523"/>
      <c r="V1220" s="650" t="s">
        <v>59</v>
      </c>
    </row>
    <row r="1221" spans="1:22" ht="62.4" x14ac:dyDescent="0.3">
      <c r="A1221" s="650">
        <v>1215</v>
      </c>
      <c r="B1221" s="650" t="s">
        <v>40</v>
      </c>
      <c r="C1221" s="650" t="s">
        <v>884</v>
      </c>
      <c r="D1221" s="523"/>
      <c r="E1221" s="650" t="s">
        <v>20</v>
      </c>
      <c r="F1221" s="523" t="s">
        <v>2570</v>
      </c>
      <c r="G1221" s="650" t="s">
        <v>40</v>
      </c>
      <c r="H1221" s="589">
        <v>424.85030999999998</v>
      </c>
      <c r="I1221" s="523">
        <v>1</v>
      </c>
      <c r="J1221" s="589">
        <v>424.85030999999998</v>
      </c>
      <c r="K1221" s="589">
        <v>424.85030999999998</v>
      </c>
      <c r="L1221" s="650">
        <v>1</v>
      </c>
      <c r="M1221" s="589">
        <v>424.85030999999998</v>
      </c>
      <c r="N1221" s="6" t="s">
        <v>2575</v>
      </c>
      <c r="O1221" s="651">
        <v>45960</v>
      </c>
      <c r="P1221" s="33" t="str">
        <f>HYPERLINK("https://my.zakupivli.pro/remote/dispatcher/state_purchase_view/63073781", "UA-2025-10-30-000525-a")</f>
        <v>UA-2025-10-30-000525-a</v>
      </c>
      <c r="Q1221" s="589">
        <v>424.85030999999998</v>
      </c>
      <c r="R1221" s="650">
        <v>1</v>
      </c>
      <c r="S1221" s="589">
        <v>424.85030999999998</v>
      </c>
      <c r="T1221" s="651">
        <v>45959</v>
      </c>
      <c r="U1221" s="523"/>
      <c r="V1221" s="650" t="s">
        <v>59</v>
      </c>
    </row>
    <row r="1222" spans="1:22" ht="78" x14ac:dyDescent="0.3">
      <c r="A1222" s="650">
        <v>1216</v>
      </c>
      <c r="B1222" s="650" t="s">
        <v>40</v>
      </c>
      <c r="C1222" s="650" t="s">
        <v>884</v>
      </c>
      <c r="D1222" s="523"/>
      <c r="E1222" s="650" t="s">
        <v>20</v>
      </c>
      <c r="F1222" s="523" t="s">
        <v>2571</v>
      </c>
      <c r="G1222" s="650" t="s">
        <v>40</v>
      </c>
      <c r="H1222" s="589">
        <v>78.331509999999994</v>
      </c>
      <c r="I1222" s="523">
        <v>1</v>
      </c>
      <c r="J1222" s="589">
        <v>78.331509999999994</v>
      </c>
      <c r="K1222" s="589">
        <v>78.331509999999994</v>
      </c>
      <c r="L1222" s="650">
        <v>1</v>
      </c>
      <c r="M1222" s="589">
        <v>78.331509999999994</v>
      </c>
      <c r="N1222" s="6" t="s">
        <v>2576</v>
      </c>
      <c r="O1222" s="653">
        <v>45960</v>
      </c>
      <c r="P1222" s="33" t="str">
        <f>HYPERLINK("https://my.zakupivli.pro/remote/dispatcher/state_purchase_view/63073212", "UA-2025-10-30-000273-a")</f>
        <v>UA-2025-10-30-000273-a</v>
      </c>
      <c r="Q1222" s="589">
        <v>78.331509999999994</v>
      </c>
      <c r="R1222" s="650">
        <v>1</v>
      </c>
      <c r="S1222" s="589">
        <v>78.331509999999994</v>
      </c>
      <c r="T1222" s="651">
        <v>45959</v>
      </c>
      <c r="U1222" s="523"/>
      <c r="V1222" s="650" t="s">
        <v>59</v>
      </c>
    </row>
    <row r="1223" spans="1:22" ht="62.4" x14ac:dyDescent="0.3">
      <c r="A1223" s="652">
        <v>1217</v>
      </c>
      <c r="B1223" s="652" t="s">
        <v>40</v>
      </c>
      <c r="C1223" s="523" t="s">
        <v>73</v>
      </c>
      <c r="D1223" s="523"/>
      <c r="E1223" s="652" t="s">
        <v>75</v>
      </c>
      <c r="F1223" s="523" t="s">
        <v>2577</v>
      </c>
      <c r="G1223" s="652" t="s">
        <v>40</v>
      </c>
      <c r="H1223" s="589">
        <v>170.94603000000001</v>
      </c>
      <c r="I1223" s="652">
        <v>1</v>
      </c>
      <c r="J1223" s="589">
        <v>170.94603000000001</v>
      </c>
      <c r="K1223" s="589">
        <v>170.94603000000001</v>
      </c>
      <c r="L1223" s="652">
        <v>1</v>
      </c>
      <c r="M1223" s="589">
        <v>170.94603000000001</v>
      </c>
      <c r="N1223" s="6" t="s">
        <v>2578</v>
      </c>
      <c r="O1223" s="654">
        <v>45961</v>
      </c>
      <c r="P1223" s="33" t="str">
        <f>HYPERLINK("https://my.zakupivli.pro/remote/dispatcher/state_purchase_view/63122266", "UA-2025-10-31-008798-a")</f>
        <v>UA-2025-10-31-008798-a</v>
      </c>
      <c r="Q1223" s="589">
        <v>170.94603000000001</v>
      </c>
      <c r="R1223" s="652">
        <v>1</v>
      </c>
      <c r="S1223" s="589">
        <v>170.94603000000001</v>
      </c>
      <c r="T1223" s="653">
        <v>45961</v>
      </c>
      <c r="U1223" s="523"/>
      <c r="V1223" s="652" t="s">
        <v>59</v>
      </c>
    </row>
    <row r="1224" spans="1:22" ht="62.4" x14ac:dyDescent="0.3">
      <c r="A1224" s="655">
        <v>1218</v>
      </c>
      <c r="B1224" s="655" t="s">
        <v>40</v>
      </c>
      <c r="C1224" s="655" t="s">
        <v>884</v>
      </c>
      <c r="D1224" s="523"/>
      <c r="E1224" s="655" t="s">
        <v>20</v>
      </c>
      <c r="F1224" s="523" t="s">
        <v>2579</v>
      </c>
      <c r="G1224" s="655" t="s">
        <v>40</v>
      </c>
      <c r="H1224" s="589">
        <v>160.29320000000001</v>
      </c>
      <c r="I1224" s="655">
        <v>1</v>
      </c>
      <c r="J1224" s="589">
        <v>160.29320000000001</v>
      </c>
      <c r="K1224" s="589">
        <v>160.29320000000001</v>
      </c>
      <c r="L1224" s="655">
        <v>1</v>
      </c>
      <c r="M1224" s="589">
        <v>160.29320000000001</v>
      </c>
      <c r="N1224" s="6" t="s">
        <v>2581</v>
      </c>
      <c r="O1224" s="654">
        <v>45964</v>
      </c>
      <c r="P1224" s="33" t="str">
        <f>HYPERLINK("https://my.zakupivli.pro/remote/dispatcher/state_purchase_view/63132864", "UA-2025-11-03-000332-a")</f>
        <v>UA-2025-11-03-000332-a</v>
      </c>
      <c r="Q1224" s="589">
        <v>160.29320000000001</v>
      </c>
      <c r="R1224" s="655">
        <v>1</v>
      </c>
      <c r="S1224" s="589">
        <v>160.29320000000001</v>
      </c>
      <c r="T1224" s="654">
        <v>45961</v>
      </c>
      <c r="U1224" s="523"/>
      <c r="V1224" s="655" t="s">
        <v>59</v>
      </c>
    </row>
    <row r="1225" spans="1:22" ht="62.4" x14ac:dyDescent="0.3">
      <c r="A1225" s="655">
        <v>1219</v>
      </c>
      <c r="B1225" s="655" t="s">
        <v>40</v>
      </c>
      <c r="C1225" s="655" t="s">
        <v>884</v>
      </c>
      <c r="D1225" s="523"/>
      <c r="E1225" s="655" t="s">
        <v>20</v>
      </c>
      <c r="F1225" s="523" t="s">
        <v>2580</v>
      </c>
      <c r="G1225" s="655" t="s">
        <v>40</v>
      </c>
      <c r="H1225" s="589">
        <v>337.95098999999999</v>
      </c>
      <c r="I1225" s="655">
        <v>1</v>
      </c>
      <c r="J1225" s="589">
        <v>337.95098999999999</v>
      </c>
      <c r="K1225" s="589">
        <v>337.95098999999999</v>
      </c>
      <c r="L1225" s="655">
        <v>1</v>
      </c>
      <c r="M1225" s="589">
        <v>337.95098999999999</v>
      </c>
      <c r="N1225" s="6" t="s">
        <v>2582</v>
      </c>
      <c r="O1225" s="657">
        <v>45964</v>
      </c>
      <c r="P1225" s="33" t="str">
        <f>HYPERLINK("https://my.zakupivli.pro/remote/dispatcher/state_purchase_view/63132800", "UA-2025-11-03-000300-a")</f>
        <v>UA-2025-11-03-000300-a</v>
      </c>
      <c r="Q1225" s="589">
        <v>337.95098999999999</v>
      </c>
      <c r="R1225" s="655">
        <v>1</v>
      </c>
      <c r="S1225" s="589">
        <v>337.95098999999999</v>
      </c>
      <c r="T1225" s="654">
        <v>45961</v>
      </c>
      <c r="U1225" s="523"/>
      <c r="V1225" s="655" t="s">
        <v>59</v>
      </c>
    </row>
    <row r="1226" spans="1:22" ht="62.4" x14ac:dyDescent="0.3">
      <c r="A1226" s="656">
        <v>1220</v>
      </c>
      <c r="B1226" s="656" t="s">
        <v>40</v>
      </c>
      <c r="C1226" s="656" t="s">
        <v>41</v>
      </c>
      <c r="D1226" s="523"/>
      <c r="E1226" s="656" t="s">
        <v>20</v>
      </c>
      <c r="F1226" s="523" t="s">
        <v>2583</v>
      </c>
      <c r="G1226" s="656" t="s">
        <v>40</v>
      </c>
      <c r="H1226" s="589">
        <v>128.63609</v>
      </c>
      <c r="I1226" s="656">
        <v>1</v>
      </c>
      <c r="J1226" s="589">
        <v>128.63609</v>
      </c>
      <c r="K1226" s="589">
        <v>128.63609</v>
      </c>
      <c r="L1226" s="656">
        <v>1</v>
      </c>
      <c r="M1226" s="589">
        <v>128.63609</v>
      </c>
      <c r="N1226" s="6" t="s">
        <v>2585</v>
      </c>
      <c r="O1226" s="657">
        <v>45966</v>
      </c>
      <c r="P1226" s="33" t="str">
        <f>HYPERLINK("https://my.zakupivli.pro/remote/dispatcher/state_purchase_view/63231111", "UA-2025-11-05-011912-a")</f>
        <v>UA-2025-11-05-011912-a</v>
      </c>
      <c r="Q1226" s="589">
        <v>128.63609</v>
      </c>
      <c r="R1226" s="656">
        <v>1</v>
      </c>
      <c r="S1226" s="589">
        <v>128.63609</v>
      </c>
      <c r="T1226" s="657">
        <v>45966</v>
      </c>
      <c r="U1226" s="523"/>
      <c r="V1226" s="656" t="s">
        <v>59</v>
      </c>
    </row>
    <row r="1227" spans="1:22" ht="62.4" x14ac:dyDescent="0.3">
      <c r="A1227" s="656">
        <v>1221</v>
      </c>
      <c r="B1227" s="656" t="s">
        <v>40</v>
      </c>
      <c r="C1227" s="656" t="s">
        <v>41</v>
      </c>
      <c r="D1227" s="523"/>
      <c r="E1227" s="656" t="s">
        <v>20</v>
      </c>
      <c r="F1227" s="523" t="s">
        <v>2584</v>
      </c>
      <c r="G1227" s="656" t="s">
        <v>40</v>
      </c>
      <c r="H1227" s="589">
        <v>154.42337000000001</v>
      </c>
      <c r="I1227" s="656">
        <v>1</v>
      </c>
      <c r="J1227" s="589">
        <v>154.42337000000001</v>
      </c>
      <c r="K1227" s="589">
        <v>154.42337000000001</v>
      </c>
      <c r="L1227" s="656">
        <v>1</v>
      </c>
      <c r="M1227" s="589">
        <v>154.42337000000001</v>
      </c>
      <c r="N1227" s="6" t="s">
        <v>2586</v>
      </c>
      <c r="O1227" s="659">
        <v>45966</v>
      </c>
      <c r="P1227" s="33" t="str">
        <f>HYPERLINK("https://my.zakupivli.pro/remote/dispatcher/state_purchase_view/63230963", "UA-2025-11-05-011808-a")</f>
        <v>UA-2025-11-05-011808-a</v>
      </c>
      <c r="Q1227" s="589">
        <v>154.42337000000001</v>
      </c>
      <c r="R1227" s="656">
        <v>1</v>
      </c>
      <c r="S1227" s="589">
        <v>154.42337000000001</v>
      </c>
      <c r="T1227" s="524">
        <v>45965</v>
      </c>
      <c r="U1227" s="523"/>
      <c r="V1227" s="656" t="s">
        <v>59</v>
      </c>
    </row>
    <row r="1228" spans="1:22" ht="62.4" x14ac:dyDescent="0.3">
      <c r="A1228" s="658">
        <v>1222</v>
      </c>
      <c r="B1228" s="658" t="s">
        <v>40</v>
      </c>
      <c r="C1228" s="523" t="s">
        <v>73</v>
      </c>
      <c r="D1228" s="523"/>
      <c r="E1228" s="658" t="s">
        <v>75</v>
      </c>
      <c r="F1228" s="523" t="s">
        <v>2587</v>
      </c>
      <c r="G1228" s="658" t="s">
        <v>40</v>
      </c>
      <c r="H1228" s="589">
        <v>137.11438000000001</v>
      </c>
      <c r="I1228" s="523">
        <v>1</v>
      </c>
      <c r="J1228" s="589">
        <v>137.11438000000001</v>
      </c>
      <c r="K1228" s="589">
        <v>137.11438000000001</v>
      </c>
      <c r="L1228" s="523">
        <v>1</v>
      </c>
      <c r="M1228" s="589">
        <v>137.11438000000001</v>
      </c>
      <c r="N1228" s="6" t="s">
        <v>2588</v>
      </c>
      <c r="O1228" s="661">
        <v>45972</v>
      </c>
      <c r="P1228" s="33" t="str">
        <f>HYPERLINK("https://my.zakupivli.pro/remote/dispatcher/state_purchase_view/63359805", "UA-2025-11-11-001580-a")</f>
        <v>UA-2025-11-11-001580-a</v>
      </c>
      <c r="Q1228" s="589">
        <v>137.11438000000001</v>
      </c>
      <c r="R1228" s="523">
        <v>1</v>
      </c>
      <c r="S1228" s="589">
        <v>137.11438000000001</v>
      </c>
      <c r="T1228" s="524">
        <v>45968</v>
      </c>
      <c r="U1228" s="523"/>
      <c r="V1228" s="658" t="s">
        <v>59</v>
      </c>
    </row>
    <row r="1229" spans="1:22" ht="62.4" x14ac:dyDescent="0.3">
      <c r="A1229" s="660">
        <v>1223</v>
      </c>
      <c r="B1229" s="660" t="s">
        <v>40</v>
      </c>
      <c r="C1229" s="523" t="s">
        <v>41</v>
      </c>
      <c r="D1229" s="523"/>
      <c r="E1229" s="660" t="s">
        <v>20</v>
      </c>
      <c r="F1229" s="523" t="s">
        <v>2595</v>
      </c>
      <c r="G1229" s="660" t="s">
        <v>40</v>
      </c>
      <c r="H1229" s="589">
        <v>53.91451</v>
      </c>
      <c r="I1229" s="660">
        <v>1</v>
      </c>
      <c r="J1229" s="589">
        <v>53.91451</v>
      </c>
      <c r="K1229" s="589">
        <v>53.91451</v>
      </c>
      <c r="L1229" s="660">
        <v>1</v>
      </c>
      <c r="M1229" s="589">
        <v>53.91451</v>
      </c>
      <c r="N1229" s="6" t="s">
        <v>2589</v>
      </c>
      <c r="O1229" s="661">
        <v>45973</v>
      </c>
      <c r="P1229" s="33" t="str">
        <f>HYPERLINK("https://my.zakupivli.pro/remote/dispatcher/state_purchase_view/63417448", "UA-2025-11-12-009402-a")</f>
        <v>UA-2025-11-12-009402-a</v>
      </c>
      <c r="Q1229" s="589">
        <v>53.91451</v>
      </c>
      <c r="R1229" s="660">
        <v>1</v>
      </c>
      <c r="S1229" s="589">
        <v>53.91451</v>
      </c>
      <c r="T1229" s="661">
        <v>45973</v>
      </c>
      <c r="U1229" s="523"/>
      <c r="V1229" s="660" t="s">
        <v>59</v>
      </c>
    </row>
    <row r="1230" spans="1:22" ht="62.4" x14ac:dyDescent="0.3">
      <c r="A1230" s="660">
        <v>1224</v>
      </c>
      <c r="B1230" s="660" t="s">
        <v>40</v>
      </c>
      <c r="C1230" s="523" t="s">
        <v>884</v>
      </c>
      <c r="D1230" s="523"/>
      <c r="E1230" s="660" t="s">
        <v>20</v>
      </c>
      <c r="F1230" s="523" t="s">
        <v>2596</v>
      </c>
      <c r="G1230" s="660" t="s">
        <v>40</v>
      </c>
      <c r="H1230" s="589">
        <v>296.5215</v>
      </c>
      <c r="I1230" s="660">
        <v>1</v>
      </c>
      <c r="J1230" s="589">
        <v>296.5215</v>
      </c>
      <c r="K1230" s="589">
        <v>296.5215</v>
      </c>
      <c r="L1230" s="660">
        <v>1</v>
      </c>
      <c r="M1230" s="589">
        <v>296.5215</v>
      </c>
      <c r="N1230" s="6" t="s">
        <v>2590</v>
      </c>
      <c r="O1230" s="661">
        <v>45973</v>
      </c>
      <c r="P1230" s="33" t="str">
        <f>HYPERLINK("https://my.zakupivli.pro/remote/dispatcher/state_purchase_view/63415282", "UA-2025-11-12-008473-a")</f>
        <v>UA-2025-11-12-008473-a</v>
      </c>
      <c r="Q1230" s="589">
        <v>296.5215</v>
      </c>
      <c r="R1230" s="660">
        <v>1</v>
      </c>
      <c r="S1230" s="589">
        <v>296.5215</v>
      </c>
      <c r="T1230" s="661">
        <v>45973</v>
      </c>
      <c r="U1230" s="523"/>
      <c r="V1230" s="660" t="s">
        <v>59</v>
      </c>
    </row>
    <row r="1231" spans="1:22" ht="62.4" x14ac:dyDescent="0.3">
      <c r="A1231" s="660">
        <v>1225</v>
      </c>
      <c r="B1231" s="660" t="s">
        <v>40</v>
      </c>
      <c r="C1231" s="660" t="s">
        <v>884</v>
      </c>
      <c r="D1231" s="523"/>
      <c r="E1231" s="660" t="s">
        <v>20</v>
      </c>
      <c r="F1231" s="523" t="s">
        <v>2597</v>
      </c>
      <c r="G1231" s="660" t="s">
        <v>40</v>
      </c>
      <c r="H1231" s="589">
        <v>251.67536000000001</v>
      </c>
      <c r="I1231" s="660">
        <v>1</v>
      </c>
      <c r="J1231" s="589">
        <v>251.67536000000001</v>
      </c>
      <c r="K1231" s="589">
        <v>251.67536000000001</v>
      </c>
      <c r="L1231" s="660">
        <v>1</v>
      </c>
      <c r="M1231" s="589">
        <v>251.67536000000001</v>
      </c>
      <c r="N1231" s="6" t="s">
        <v>2591</v>
      </c>
      <c r="O1231" s="661">
        <v>45973</v>
      </c>
      <c r="P1231" s="33" t="str">
        <f>HYPERLINK("https://my.zakupivli.pro/remote/dispatcher/state_purchase_view/63414761", "UA-2025-11-12-008233-a")</f>
        <v>UA-2025-11-12-008233-a</v>
      </c>
      <c r="Q1231" s="589">
        <v>251.67536000000001</v>
      </c>
      <c r="R1231" s="660">
        <v>1</v>
      </c>
      <c r="S1231" s="589">
        <v>251.67536000000001</v>
      </c>
      <c r="T1231" s="661">
        <v>45973</v>
      </c>
      <c r="U1231" s="523"/>
      <c r="V1231" s="660" t="s">
        <v>59</v>
      </c>
    </row>
    <row r="1232" spans="1:22" ht="62.4" x14ac:dyDescent="0.3">
      <c r="A1232" s="660">
        <v>1226</v>
      </c>
      <c r="B1232" s="523" t="s">
        <v>21</v>
      </c>
      <c r="C1232" s="523" t="s">
        <v>300</v>
      </c>
      <c r="D1232" s="523"/>
      <c r="E1232" s="660" t="s">
        <v>20</v>
      </c>
      <c r="F1232" s="523" t="s">
        <v>2598</v>
      </c>
      <c r="G1232" s="523" t="s">
        <v>2601</v>
      </c>
      <c r="H1232" s="589"/>
      <c r="I1232" s="523">
        <v>1400</v>
      </c>
      <c r="J1232" s="589">
        <v>73.11</v>
      </c>
      <c r="K1232" s="589"/>
      <c r="L1232" s="660">
        <v>1400</v>
      </c>
      <c r="M1232" s="589">
        <v>73.11</v>
      </c>
      <c r="N1232" s="6" t="s">
        <v>2592</v>
      </c>
      <c r="O1232" s="661">
        <v>45973</v>
      </c>
      <c r="P1232" s="33" t="str">
        <f>HYPERLINK("https://my.zakupivli.pro/remote/dispatcher/state_purchase_view/63414449", "UA-2025-11-12-008120-a")</f>
        <v>UA-2025-11-12-008120-a</v>
      </c>
      <c r="Q1232" s="589"/>
      <c r="R1232" s="660">
        <v>1400</v>
      </c>
      <c r="S1232" s="589">
        <v>73.11</v>
      </c>
      <c r="T1232" s="661">
        <v>45973</v>
      </c>
      <c r="U1232" s="523"/>
      <c r="V1232" s="660" t="s">
        <v>59</v>
      </c>
    </row>
    <row r="1233" spans="1:22" ht="62.4" x14ac:dyDescent="0.3">
      <c r="A1233" s="660">
        <v>1227</v>
      </c>
      <c r="B1233" s="660" t="s">
        <v>21</v>
      </c>
      <c r="C1233" s="523" t="s">
        <v>405</v>
      </c>
      <c r="D1233" s="523"/>
      <c r="E1233" s="660" t="s">
        <v>20</v>
      </c>
      <c r="F1233" s="523" t="s">
        <v>2599</v>
      </c>
      <c r="G1233" s="523" t="s">
        <v>185</v>
      </c>
      <c r="H1233" s="589"/>
      <c r="I1233" s="523">
        <v>56</v>
      </c>
      <c r="J1233" s="589">
        <v>81.015199999999993</v>
      </c>
      <c r="K1233" s="589"/>
      <c r="L1233" s="660">
        <v>56</v>
      </c>
      <c r="M1233" s="589">
        <v>81.015199999999993</v>
      </c>
      <c r="N1233" s="6" t="s">
        <v>2593</v>
      </c>
      <c r="O1233" s="661">
        <v>45973</v>
      </c>
      <c r="P1233" s="33" t="str">
        <f>HYPERLINK("https://my.zakupivli.pro/remote/dispatcher/state_purchase_view/63409896", "UA-2025-11-12-006084-a")</f>
        <v>UA-2025-11-12-006084-a</v>
      </c>
      <c r="Q1233" s="589"/>
      <c r="R1233" s="660">
        <v>56</v>
      </c>
      <c r="S1233" s="589">
        <v>81.015199999999993</v>
      </c>
      <c r="T1233" s="661">
        <v>45973</v>
      </c>
      <c r="U1233" s="523"/>
      <c r="V1233" s="660" t="s">
        <v>59</v>
      </c>
    </row>
    <row r="1234" spans="1:22" ht="78" x14ac:dyDescent="0.3">
      <c r="A1234" s="660">
        <v>1228</v>
      </c>
      <c r="B1234" s="660" t="s">
        <v>40</v>
      </c>
      <c r="C1234" s="660" t="s">
        <v>884</v>
      </c>
      <c r="D1234" s="523"/>
      <c r="E1234" s="660" t="s">
        <v>20</v>
      </c>
      <c r="F1234" s="523" t="s">
        <v>2600</v>
      </c>
      <c r="G1234" s="660" t="s">
        <v>40</v>
      </c>
      <c r="H1234" s="589">
        <v>1458.5316700000001</v>
      </c>
      <c r="I1234" s="523">
        <v>1</v>
      </c>
      <c r="J1234" s="589">
        <v>1458.5316700000001</v>
      </c>
      <c r="K1234" s="589">
        <v>1458.5316700000001</v>
      </c>
      <c r="L1234" s="660">
        <v>1</v>
      </c>
      <c r="M1234" s="589">
        <v>1458.5316700000001</v>
      </c>
      <c r="N1234" s="6" t="s">
        <v>2594</v>
      </c>
      <c r="O1234" s="663">
        <v>45973</v>
      </c>
      <c r="P1234" s="33" t="str">
        <f>HYPERLINK("https://my.zakupivli.pro/remote/dispatcher/state_purchase_view/63401610", "UA-2025-11-12-002376-a")</f>
        <v>UA-2025-11-12-002376-a</v>
      </c>
      <c r="Q1234" s="589">
        <v>1458.5310199999999</v>
      </c>
      <c r="R1234" s="674">
        <v>1</v>
      </c>
      <c r="S1234" s="589">
        <v>1458.5310199999999</v>
      </c>
      <c r="T1234" s="675">
        <v>45999</v>
      </c>
      <c r="U1234" s="674"/>
      <c r="V1234" s="674"/>
    </row>
    <row r="1235" spans="1:22" ht="62.4" x14ac:dyDescent="0.3">
      <c r="A1235" s="662">
        <v>1229</v>
      </c>
      <c r="B1235" s="662" t="s">
        <v>40</v>
      </c>
      <c r="C1235" s="662" t="s">
        <v>884</v>
      </c>
      <c r="D1235" s="523"/>
      <c r="E1235" s="662" t="s">
        <v>20</v>
      </c>
      <c r="F1235" s="523" t="s">
        <v>2602</v>
      </c>
      <c r="G1235" s="662" t="s">
        <v>40</v>
      </c>
      <c r="H1235" s="589">
        <v>55.657029999999999</v>
      </c>
      <c r="I1235" s="662">
        <v>1</v>
      </c>
      <c r="J1235" s="589">
        <v>55.657029999999999</v>
      </c>
      <c r="K1235" s="589">
        <v>55.657029999999999</v>
      </c>
      <c r="L1235" s="662">
        <v>1</v>
      </c>
      <c r="M1235" s="589">
        <v>55.657029999999999</v>
      </c>
      <c r="N1235" s="6" t="s">
        <v>2612</v>
      </c>
      <c r="O1235" s="663">
        <v>45975</v>
      </c>
      <c r="P1235" s="33" t="str">
        <f>HYPERLINK("https://my.zakupivli.pro/remote/dispatcher/state_purchase_view/63503005", "UA-2025-11-14-013195-a")</f>
        <v>UA-2025-11-14-013195-a</v>
      </c>
      <c r="Q1235" s="589">
        <v>55.657029999999999</v>
      </c>
      <c r="R1235" s="662">
        <v>1</v>
      </c>
      <c r="S1235" s="589">
        <v>55.657029999999999</v>
      </c>
      <c r="T1235" s="663">
        <v>45975</v>
      </c>
      <c r="U1235" s="523"/>
      <c r="V1235" s="662" t="s">
        <v>59</v>
      </c>
    </row>
    <row r="1236" spans="1:22" ht="78" x14ac:dyDescent="0.3">
      <c r="A1236" s="662">
        <v>1230</v>
      </c>
      <c r="B1236" s="662" t="s">
        <v>40</v>
      </c>
      <c r="C1236" s="662" t="s">
        <v>884</v>
      </c>
      <c r="D1236" s="523"/>
      <c r="E1236" s="662" t="s">
        <v>20</v>
      </c>
      <c r="F1236" s="523" t="s">
        <v>2603</v>
      </c>
      <c r="G1236" s="662" t="s">
        <v>40</v>
      </c>
      <c r="H1236" s="589">
        <v>68.756839999999997</v>
      </c>
      <c r="I1236" s="662">
        <v>1</v>
      </c>
      <c r="J1236" s="589">
        <v>68.756839999999997</v>
      </c>
      <c r="K1236" s="589">
        <v>68.756839999999997</v>
      </c>
      <c r="L1236" s="662">
        <v>1</v>
      </c>
      <c r="M1236" s="589">
        <v>68.756839999999997</v>
      </c>
      <c r="N1236" s="6" t="s">
        <v>2613</v>
      </c>
      <c r="O1236" s="663">
        <v>45975</v>
      </c>
      <c r="P1236" s="33" t="str">
        <f>HYPERLINK("https://my.zakupivli.pro/remote/dispatcher/state_purchase_view/63502920", "UA-2025-11-14-013137-a")</f>
        <v>UA-2025-11-14-013137-a</v>
      </c>
      <c r="Q1236" s="589">
        <v>68.756839999999997</v>
      </c>
      <c r="R1236" s="662">
        <v>1</v>
      </c>
      <c r="S1236" s="589">
        <v>68.756839999999997</v>
      </c>
      <c r="T1236" s="663">
        <v>45975</v>
      </c>
      <c r="U1236" s="523"/>
      <c r="V1236" s="662" t="s">
        <v>59</v>
      </c>
    </row>
    <row r="1237" spans="1:22" ht="93.6" x14ac:dyDescent="0.3">
      <c r="A1237" s="662">
        <v>1231</v>
      </c>
      <c r="B1237" s="662" t="s">
        <v>40</v>
      </c>
      <c r="C1237" s="662" t="s">
        <v>884</v>
      </c>
      <c r="D1237" s="523"/>
      <c r="E1237" s="662" t="s">
        <v>20</v>
      </c>
      <c r="F1237" s="523" t="s">
        <v>2604</v>
      </c>
      <c r="G1237" s="662" t="s">
        <v>40</v>
      </c>
      <c r="H1237" s="589">
        <v>1217.8719699999999</v>
      </c>
      <c r="I1237" s="662">
        <v>1</v>
      </c>
      <c r="J1237" s="589">
        <v>1217.8719699999999</v>
      </c>
      <c r="K1237" s="589">
        <v>1217.8719699999999</v>
      </c>
      <c r="L1237" s="662">
        <v>1</v>
      </c>
      <c r="M1237" s="589">
        <v>1217.8719699999999</v>
      </c>
      <c r="N1237" s="6" t="s">
        <v>2614</v>
      </c>
      <c r="O1237" s="663">
        <v>45975</v>
      </c>
      <c r="P1237" s="33" t="str">
        <f>HYPERLINK("https://my.zakupivli.pro/remote/dispatcher/state_purchase_view/63502760", "UA-2025-11-14-013043-a")</f>
        <v>UA-2025-11-14-013043-a</v>
      </c>
      <c r="Q1237" s="589">
        <v>1217.8719699999999</v>
      </c>
      <c r="R1237" s="662">
        <v>1</v>
      </c>
      <c r="S1237" s="589">
        <v>1217.8719699999999</v>
      </c>
      <c r="T1237" s="663">
        <v>45975</v>
      </c>
      <c r="U1237" s="523"/>
      <c r="V1237" s="662" t="s">
        <v>59</v>
      </c>
    </row>
    <row r="1238" spans="1:22" ht="62.4" x14ac:dyDescent="0.3">
      <c r="A1238" s="662">
        <v>1232</v>
      </c>
      <c r="B1238" s="662" t="s">
        <v>40</v>
      </c>
      <c r="C1238" s="662" t="s">
        <v>884</v>
      </c>
      <c r="D1238" s="523"/>
      <c r="E1238" s="662" t="s">
        <v>20</v>
      </c>
      <c r="F1238" s="523" t="s">
        <v>2605</v>
      </c>
      <c r="G1238" s="662" t="s">
        <v>40</v>
      </c>
      <c r="H1238" s="589">
        <v>58.920830000000002</v>
      </c>
      <c r="I1238" s="662">
        <v>1</v>
      </c>
      <c r="J1238" s="589">
        <v>58.920830000000002</v>
      </c>
      <c r="K1238" s="589">
        <v>58.920830000000002</v>
      </c>
      <c r="L1238" s="662">
        <v>1</v>
      </c>
      <c r="M1238" s="589">
        <v>58.920830000000002</v>
      </c>
      <c r="N1238" s="6" t="s">
        <v>2615</v>
      </c>
      <c r="O1238" s="663">
        <v>45975</v>
      </c>
      <c r="P1238" s="33" t="str">
        <f>HYPERLINK("https://my.zakupivli.pro/remote/dispatcher/state_purchase_view/63502755", "UA-2025-11-14-013041-a")</f>
        <v>UA-2025-11-14-013041-a</v>
      </c>
      <c r="Q1238" s="589">
        <v>58.920830000000002</v>
      </c>
      <c r="R1238" s="662">
        <v>1</v>
      </c>
      <c r="S1238" s="589">
        <v>58.920830000000002</v>
      </c>
      <c r="T1238" s="663">
        <v>45975</v>
      </c>
      <c r="U1238" s="523"/>
      <c r="V1238" s="662" t="s">
        <v>59</v>
      </c>
    </row>
    <row r="1239" spans="1:22" ht="93.6" x14ac:dyDescent="0.3">
      <c r="A1239" s="662">
        <v>1233</v>
      </c>
      <c r="B1239" s="662" t="s">
        <v>40</v>
      </c>
      <c r="C1239" s="662" t="s">
        <v>884</v>
      </c>
      <c r="D1239" s="523"/>
      <c r="E1239" s="662" t="s">
        <v>20</v>
      </c>
      <c r="F1239" s="523" t="s">
        <v>2606</v>
      </c>
      <c r="G1239" s="662" t="s">
        <v>40</v>
      </c>
      <c r="H1239" s="589">
        <v>445.09633000000002</v>
      </c>
      <c r="I1239" s="662">
        <v>1</v>
      </c>
      <c r="J1239" s="589">
        <v>445.09633000000002</v>
      </c>
      <c r="K1239" s="589">
        <v>445.09633000000002</v>
      </c>
      <c r="L1239" s="662">
        <v>1</v>
      </c>
      <c r="M1239" s="589">
        <v>445.09633000000002</v>
      </c>
      <c r="N1239" s="6" t="s">
        <v>2616</v>
      </c>
      <c r="O1239" s="663">
        <v>45975</v>
      </c>
      <c r="P1239" s="33" t="str">
        <f>HYPERLINK("https://my.zakupivli.pro/remote/dispatcher/state_purchase_view/63502354", "UA-2025-11-14-012934-a")</f>
        <v>UA-2025-11-14-012934-a</v>
      </c>
      <c r="Q1239" s="589">
        <v>445.09633000000002</v>
      </c>
      <c r="R1239" s="662">
        <v>1</v>
      </c>
      <c r="S1239" s="589">
        <v>445.09633000000002</v>
      </c>
      <c r="T1239" s="663">
        <v>45975</v>
      </c>
      <c r="U1239" s="523"/>
      <c r="V1239" s="662" t="s">
        <v>59</v>
      </c>
    </row>
    <row r="1240" spans="1:22" ht="93.6" x14ac:dyDescent="0.3">
      <c r="A1240" s="662">
        <v>1234</v>
      </c>
      <c r="B1240" s="662" t="s">
        <v>40</v>
      </c>
      <c r="C1240" s="662" t="s">
        <v>41</v>
      </c>
      <c r="D1240" s="523"/>
      <c r="E1240" s="662" t="s">
        <v>20</v>
      </c>
      <c r="F1240" s="523" t="s">
        <v>2607</v>
      </c>
      <c r="G1240" s="662" t="s">
        <v>40</v>
      </c>
      <c r="H1240" s="589">
        <v>868.10722999999996</v>
      </c>
      <c r="I1240" s="662">
        <v>1</v>
      </c>
      <c r="J1240" s="589">
        <v>868.10722999999996</v>
      </c>
      <c r="K1240" s="589">
        <v>868.10722999999996</v>
      </c>
      <c r="L1240" s="662">
        <v>1</v>
      </c>
      <c r="M1240" s="589">
        <v>868.10722999999996</v>
      </c>
      <c r="N1240" s="6" t="s">
        <v>2617</v>
      </c>
      <c r="O1240" s="663">
        <v>45975</v>
      </c>
      <c r="P1240" s="33" t="str">
        <f>HYPERLINK("https://my.zakupivli.pro/remote/dispatcher/state_purchase_view/63502201", "UA-2025-11-14-012850-a")</f>
        <v>UA-2025-11-14-012850-a</v>
      </c>
      <c r="Q1240" s="589">
        <v>868.10722999999996</v>
      </c>
      <c r="R1240" s="662">
        <v>1</v>
      </c>
      <c r="S1240" s="589">
        <v>868.10722999999996</v>
      </c>
      <c r="T1240" s="663">
        <v>45975</v>
      </c>
      <c r="U1240" s="523"/>
      <c r="V1240" s="662" t="s">
        <v>59</v>
      </c>
    </row>
    <row r="1241" spans="1:22" ht="62.4" x14ac:dyDescent="0.3">
      <c r="A1241" s="662">
        <v>1235</v>
      </c>
      <c r="B1241" s="662" t="s">
        <v>40</v>
      </c>
      <c r="C1241" s="523" t="s">
        <v>73</v>
      </c>
      <c r="D1241" s="523"/>
      <c r="E1241" s="523" t="s">
        <v>75</v>
      </c>
      <c r="F1241" s="523" t="s">
        <v>2608</v>
      </c>
      <c r="G1241" s="662" t="s">
        <v>40</v>
      </c>
      <c r="H1241" s="589">
        <v>1247.51593</v>
      </c>
      <c r="I1241" s="662">
        <v>1</v>
      </c>
      <c r="J1241" s="589">
        <v>1247.51593</v>
      </c>
      <c r="K1241" s="589">
        <v>1247.51593</v>
      </c>
      <c r="L1241" s="662">
        <v>1</v>
      </c>
      <c r="M1241" s="589">
        <v>1247.51593</v>
      </c>
      <c r="N1241" s="6" t="s">
        <v>2618</v>
      </c>
      <c r="O1241" s="663">
        <v>45978</v>
      </c>
      <c r="P1241" s="33" t="str">
        <f>HYPERLINK("https://my.zakupivli.pro/remote/dispatcher/state_purchase_view/63540537", "UA-2025-11-17-012429-a")</f>
        <v>UA-2025-11-17-012429-a</v>
      </c>
      <c r="Q1241" s="589">
        <v>1247.51593</v>
      </c>
      <c r="R1241" s="662">
        <v>1</v>
      </c>
      <c r="S1241" s="589">
        <v>1247.51593</v>
      </c>
      <c r="T1241" s="663">
        <v>45978</v>
      </c>
      <c r="U1241" s="523"/>
      <c r="V1241" s="662" t="s">
        <v>59</v>
      </c>
    </row>
    <row r="1242" spans="1:22" ht="62.4" x14ac:dyDescent="0.3">
      <c r="A1242" s="662">
        <v>1236</v>
      </c>
      <c r="B1242" s="662" t="s">
        <v>40</v>
      </c>
      <c r="C1242" s="662" t="s">
        <v>73</v>
      </c>
      <c r="D1242" s="523"/>
      <c r="E1242" s="662" t="s">
        <v>75</v>
      </c>
      <c r="F1242" s="523" t="s">
        <v>2609</v>
      </c>
      <c r="G1242" s="662" t="s">
        <v>40</v>
      </c>
      <c r="H1242" s="589">
        <v>1245.5640900000001</v>
      </c>
      <c r="I1242" s="662">
        <v>1</v>
      </c>
      <c r="J1242" s="589">
        <v>1245.5640900000001</v>
      </c>
      <c r="K1242" s="589">
        <v>1245.5640900000001</v>
      </c>
      <c r="L1242" s="662">
        <v>1</v>
      </c>
      <c r="M1242" s="589">
        <v>1245.5640900000001</v>
      </c>
      <c r="N1242" s="6" t="s">
        <v>2619</v>
      </c>
      <c r="O1242" s="663">
        <v>45978</v>
      </c>
      <c r="P1242" s="33" t="str">
        <f>HYPERLINK("https://my.zakupivli.pro/remote/dispatcher/state_purchase_view/63539971", "UA-2025-11-17-012096-a")</f>
        <v>UA-2025-11-17-012096-a</v>
      </c>
      <c r="Q1242" s="589">
        <v>1245.5640900000001</v>
      </c>
      <c r="R1242" s="662">
        <v>1</v>
      </c>
      <c r="S1242" s="589">
        <v>1245.5640900000001</v>
      </c>
      <c r="T1242" s="663">
        <v>45978</v>
      </c>
      <c r="U1242" s="523"/>
      <c r="V1242" s="662" t="s">
        <v>59</v>
      </c>
    </row>
    <row r="1243" spans="1:22" ht="62.4" x14ac:dyDescent="0.3">
      <c r="A1243" s="662">
        <v>1237</v>
      </c>
      <c r="B1243" s="662" t="s">
        <v>40</v>
      </c>
      <c r="C1243" s="662" t="s">
        <v>73</v>
      </c>
      <c r="D1243" s="523"/>
      <c r="E1243" s="662" t="s">
        <v>75</v>
      </c>
      <c r="F1243" s="523" t="s">
        <v>2610</v>
      </c>
      <c r="G1243" s="662" t="s">
        <v>40</v>
      </c>
      <c r="H1243" s="589">
        <v>1249.1554100000001</v>
      </c>
      <c r="I1243" s="662">
        <v>1</v>
      </c>
      <c r="J1243" s="589">
        <v>1249.1554100000001</v>
      </c>
      <c r="K1243" s="589">
        <v>1249.1554100000001</v>
      </c>
      <c r="L1243" s="662">
        <v>1</v>
      </c>
      <c r="M1243" s="589">
        <v>1249.1554100000001</v>
      </c>
      <c r="N1243" s="6" t="s">
        <v>2620</v>
      </c>
      <c r="O1243" s="663">
        <v>45978</v>
      </c>
      <c r="P1243" s="33" t="str">
        <f>HYPERLINK("https://my.zakupivli.pro/remote/dispatcher/state_purchase_view/63539895", "UA-2025-11-17-012049-a")</f>
        <v>UA-2025-11-17-012049-a</v>
      </c>
      <c r="Q1243" s="589">
        <v>1249.1554100000001</v>
      </c>
      <c r="R1243" s="662">
        <v>1</v>
      </c>
      <c r="S1243" s="589">
        <v>1249.1554100000001</v>
      </c>
      <c r="T1243" s="663">
        <v>45978</v>
      </c>
      <c r="U1243" s="523"/>
      <c r="V1243" s="662" t="s">
        <v>59</v>
      </c>
    </row>
    <row r="1244" spans="1:22" ht="62.4" x14ac:dyDescent="0.3">
      <c r="A1244" s="662">
        <v>1238</v>
      </c>
      <c r="B1244" s="662" t="s">
        <v>40</v>
      </c>
      <c r="C1244" s="662" t="s">
        <v>73</v>
      </c>
      <c r="D1244" s="523"/>
      <c r="E1244" s="662" t="s">
        <v>75</v>
      </c>
      <c r="F1244" s="523" t="s">
        <v>2611</v>
      </c>
      <c r="G1244" s="662" t="s">
        <v>40</v>
      </c>
      <c r="H1244" s="589">
        <v>1248.8253199999999</v>
      </c>
      <c r="I1244" s="662">
        <v>1</v>
      </c>
      <c r="J1244" s="589">
        <v>1248.8253199999999</v>
      </c>
      <c r="K1244" s="589">
        <v>1248.8253199999999</v>
      </c>
      <c r="L1244" s="662">
        <v>1</v>
      </c>
      <c r="M1244" s="589">
        <v>1248.8253199999999</v>
      </c>
      <c r="N1244" s="6" t="s">
        <v>2621</v>
      </c>
      <c r="O1244" s="663">
        <v>45978</v>
      </c>
      <c r="P1244" s="33" t="str">
        <f>HYPERLINK("https://my.zakupivli.pro/remote/dispatcher/state_purchase_view/63539434", "UA-2025-11-17-011923-a")</f>
        <v>UA-2025-11-17-011923-a</v>
      </c>
      <c r="Q1244" s="589">
        <v>1248.8253199999999</v>
      </c>
      <c r="R1244" s="662">
        <v>1</v>
      </c>
      <c r="S1244" s="589">
        <v>1248.8253199999999</v>
      </c>
      <c r="T1244" s="663">
        <v>45978</v>
      </c>
      <c r="U1244" s="523"/>
      <c r="V1244" s="662" t="s">
        <v>59</v>
      </c>
    </row>
    <row r="1245" spans="1:22" ht="62.4" x14ac:dyDescent="0.3">
      <c r="A1245" s="662">
        <v>1239</v>
      </c>
      <c r="B1245" s="662" t="s">
        <v>21</v>
      </c>
      <c r="C1245" s="523" t="s">
        <v>30</v>
      </c>
      <c r="D1245" s="523"/>
      <c r="E1245" s="662" t="s">
        <v>20</v>
      </c>
      <c r="F1245" s="523" t="s">
        <v>2469</v>
      </c>
      <c r="G1245" s="523" t="s">
        <v>185</v>
      </c>
      <c r="H1245" s="589"/>
      <c r="I1245" s="523">
        <v>500</v>
      </c>
      <c r="J1245" s="589">
        <v>77.900000000000006</v>
      </c>
      <c r="K1245" s="589"/>
      <c r="L1245" s="662">
        <v>500</v>
      </c>
      <c r="M1245" s="589">
        <v>77.900000000000006</v>
      </c>
      <c r="N1245" s="6" t="s">
        <v>2622</v>
      </c>
      <c r="O1245" s="665">
        <v>45978</v>
      </c>
      <c r="P1245" s="33" t="str">
        <f>HYPERLINK("https://my.zakupivli.pro/remote/dispatcher/state_purchase_view/63520268", "UA-2025-11-17-003430-a")</f>
        <v>UA-2025-11-17-003430-a</v>
      </c>
      <c r="Q1245" s="664"/>
      <c r="R1245" s="662">
        <v>500</v>
      </c>
      <c r="S1245" s="589">
        <v>77.900000000000006</v>
      </c>
      <c r="T1245" s="663">
        <v>45978</v>
      </c>
      <c r="U1245" s="523"/>
      <c r="V1245" s="662" t="s">
        <v>59</v>
      </c>
    </row>
    <row r="1246" spans="1:22" ht="93.6" x14ac:dyDescent="0.3">
      <c r="A1246" s="664">
        <v>1240</v>
      </c>
      <c r="B1246" s="664" t="s">
        <v>40</v>
      </c>
      <c r="C1246" s="523" t="s">
        <v>41</v>
      </c>
      <c r="D1246" s="523"/>
      <c r="E1246" s="664" t="s">
        <v>20</v>
      </c>
      <c r="F1246" s="523" t="s">
        <v>2623</v>
      </c>
      <c r="G1246" s="664" t="s">
        <v>40</v>
      </c>
      <c r="H1246" s="589">
        <v>1860.9291700000001</v>
      </c>
      <c r="I1246" s="523">
        <v>1</v>
      </c>
      <c r="J1246" s="589">
        <v>1860.9291700000001</v>
      </c>
      <c r="K1246" s="589">
        <v>1860.9291700000001</v>
      </c>
      <c r="L1246" s="664">
        <v>1</v>
      </c>
      <c r="M1246" s="589">
        <v>1860.9291700000001</v>
      </c>
      <c r="N1246" s="6" t="s">
        <v>2627</v>
      </c>
      <c r="O1246" s="665">
        <v>45980</v>
      </c>
      <c r="P1246" s="33" t="str">
        <f>HYPERLINK("https://my.zakupivli.pro/remote/dispatcher/state_purchase_view/63622866", "UA-2025-11-19-013423-a")</f>
        <v>UA-2025-11-19-013423-a</v>
      </c>
      <c r="Q1246" s="689">
        <v>1860.9285500000001</v>
      </c>
      <c r="R1246" s="689">
        <v>1</v>
      </c>
      <c r="S1246" s="689">
        <v>1860.9285500000001</v>
      </c>
      <c r="T1246" s="690">
        <v>46015</v>
      </c>
      <c r="U1246" s="689"/>
      <c r="V1246" s="689"/>
    </row>
    <row r="1247" spans="1:22" ht="62.4" x14ac:dyDescent="0.3">
      <c r="A1247" s="664">
        <v>1241</v>
      </c>
      <c r="B1247" s="664" t="s">
        <v>40</v>
      </c>
      <c r="C1247" s="523" t="s">
        <v>884</v>
      </c>
      <c r="D1247" s="523"/>
      <c r="E1247" s="664" t="s">
        <v>20</v>
      </c>
      <c r="F1247" s="523" t="s">
        <v>2624</v>
      </c>
      <c r="G1247" s="664" t="s">
        <v>40</v>
      </c>
      <c r="H1247" s="589">
        <v>335.68223999999998</v>
      </c>
      <c r="I1247" s="523">
        <v>1</v>
      </c>
      <c r="J1247" s="589">
        <v>335.68223999999998</v>
      </c>
      <c r="K1247" s="589">
        <v>335.68223999999998</v>
      </c>
      <c r="L1247" s="664">
        <v>1</v>
      </c>
      <c r="M1247" s="589">
        <v>335.68223999999998</v>
      </c>
      <c r="N1247" s="6" t="s">
        <v>2628</v>
      </c>
      <c r="O1247" s="665">
        <v>45980</v>
      </c>
      <c r="P1247" s="33" t="str">
        <f>HYPERLINK("https://my.zakupivli.pro/remote/dispatcher/state_purchase_view/63612894", "UA-2025-11-19-008852-a")</f>
        <v>UA-2025-11-19-008852-a</v>
      </c>
      <c r="Q1247" s="589">
        <v>335.68223999999998</v>
      </c>
      <c r="R1247" s="664">
        <v>1</v>
      </c>
      <c r="S1247" s="589">
        <v>335.68223999999998</v>
      </c>
      <c r="T1247" s="524">
        <v>45979</v>
      </c>
      <c r="U1247" s="523"/>
      <c r="V1247" s="664" t="s">
        <v>59</v>
      </c>
    </row>
    <row r="1248" spans="1:22" ht="62.4" x14ac:dyDescent="0.3">
      <c r="A1248" s="664">
        <v>1242</v>
      </c>
      <c r="B1248" s="664" t="s">
        <v>40</v>
      </c>
      <c r="C1248" s="664" t="s">
        <v>884</v>
      </c>
      <c r="D1248" s="523"/>
      <c r="E1248" s="664" t="s">
        <v>20</v>
      </c>
      <c r="F1248" s="523" t="s">
        <v>2625</v>
      </c>
      <c r="G1248" s="664" t="s">
        <v>40</v>
      </c>
      <c r="H1248" s="589">
        <v>237.05884</v>
      </c>
      <c r="I1248" s="523">
        <v>1</v>
      </c>
      <c r="J1248" s="589">
        <v>237.05884</v>
      </c>
      <c r="K1248" s="589">
        <v>237.05884</v>
      </c>
      <c r="L1248" s="664">
        <v>1</v>
      </c>
      <c r="M1248" s="589">
        <v>237.05884</v>
      </c>
      <c r="N1248" s="6" t="s">
        <v>2629</v>
      </c>
      <c r="O1248" s="665">
        <v>45980</v>
      </c>
      <c r="P1248" s="33" t="str">
        <f>HYPERLINK("https://my.zakupivli.pro/remote/dispatcher/state_purchase_view/63612742", "UA-2025-11-19-008811-a")</f>
        <v>UA-2025-11-19-008811-a</v>
      </c>
      <c r="Q1248" s="589">
        <v>237.05884</v>
      </c>
      <c r="R1248" s="664">
        <v>1</v>
      </c>
      <c r="S1248" s="589">
        <v>237.05884</v>
      </c>
      <c r="T1248" s="665">
        <v>45979</v>
      </c>
      <c r="U1248" s="523"/>
      <c r="V1248" s="664" t="s">
        <v>59</v>
      </c>
    </row>
    <row r="1249" spans="1:22" ht="62.4" x14ac:dyDescent="0.3">
      <c r="A1249" s="664">
        <v>1243</v>
      </c>
      <c r="B1249" s="664" t="s">
        <v>40</v>
      </c>
      <c r="C1249" s="664" t="s">
        <v>884</v>
      </c>
      <c r="D1249" s="523"/>
      <c r="E1249" s="664" t="s">
        <v>20</v>
      </c>
      <c r="F1249" s="523" t="s">
        <v>2626</v>
      </c>
      <c r="G1249" s="664" t="s">
        <v>40</v>
      </c>
      <c r="H1249" s="589">
        <v>63.318980000000003</v>
      </c>
      <c r="I1249" s="523">
        <v>1</v>
      </c>
      <c r="J1249" s="589">
        <v>63.318980000000003</v>
      </c>
      <c r="K1249" s="589">
        <v>63.318980000000003</v>
      </c>
      <c r="L1249" s="664">
        <v>1</v>
      </c>
      <c r="M1249" s="589">
        <v>63.318980000000003</v>
      </c>
      <c r="N1249" s="6" t="s">
        <v>2630</v>
      </c>
      <c r="O1249" s="666">
        <v>45980</v>
      </c>
      <c r="P1249" s="33" t="str">
        <f>HYPERLINK("https://my.zakupivli.pro/remote/dispatcher/state_purchase_view/63612349", "UA-2025-11-19-008657-a")</f>
        <v>UA-2025-11-19-008657-a</v>
      </c>
      <c r="Q1249" s="589">
        <v>63.318980000000003</v>
      </c>
      <c r="R1249" s="664">
        <v>1</v>
      </c>
      <c r="S1249" s="589">
        <v>63.318980000000003</v>
      </c>
      <c r="T1249" s="665">
        <v>45979</v>
      </c>
      <c r="U1249" s="523"/>
      <c r="V1249" s="664" t="s">
        <v>59</v>
      </c>
    </row>
    <row r="1250" spans="1:22" ht="62.4" x14ac:dyDescent="0.3">
      <c r="A1250" s="667">
        <v>1244</v>
      </c>
      <c r="B1250" s="667" t="s">
        <v>40</v>
      </c>
      <c r="C1250" s="523" t="s">
        <v>884</v>
      </c>
      <c r="D1250" s="523"/>
      <c r="E1250" s="667" t="s">
        <v>20</v>
      </c>
      <c r="F1250" s="523" t="s">
        <v>2631</v>
      </c>
      <c r="G1250" s="667" t="s">
        <v>40</v>
      </c>
      <c r="H1250" s="589">
        <v>553.13229999999999</v>
      </c>
      <c r="I1250" s="523">
        <v>1</v>
      </c>
      <c r="J1250" s="589">
        <v>553.13229999999999</v>
      </c>
      <c r="K1250" s="589">
        <v>553.13229999999999</v>
      </c>
      <c r="L1250" s="523">
        <v>1</v>
      </c>
      <c r="M1250" s="589">
        <v>553.13229999999999</v>
      </c>
      <c r="N1250" s="6" t="s">
        <v>2632</v>
      </c>
      <c r="O1250" s="669">
        <v>45985</v>
      </c>
      <c r="P1250" s="33" t="str">
        <f>HYPERLINK("https://my.zakupivli.pro/remote/dispatcher/state_purchase_view/63756101", "UA-2025-11-24-017044-a")</f>
        <v>UA-2025-11-24-017044-a</v>
      </c>
      <c r="Q1250" s="589">
        <v>553.13229999999999</v>
      </c>
      <c r="R1250" s="664">
        <v>1</v>
      </c>
      <c r="S1250" s="589">
        <v>553.13229999999999</v>
      </c>
      <c r="T1250" s="524">
        <v>45981</v>
      </c>
      <c r="U1250" s="523"/>
      <c r="V1250" s="667" t="s">
        <v>59</v>
      </c>
    </row>
    <row r="1251" spans="1:22" ht="62.4" x14ac:dyDescent="0.3">
      <c r="A1251" s="668">
        <v>1245</v>
      </c>
      <c r="B1251" s="668" t="s">
        <v>40</v>
      </c>
      <c r="C1251" s="668" t="s">
        <v>884</v>
      </c>
      <c r="D1251" s="523"/>
      <c r="E1251" s="668" t="s">
        <v>20</v>
      </c>
      <c r="F1251" s="523" t="s">
        <v>2633</v>
      </c>
      <c r="G1251" s="668" t="s">
        <v>40</v>
      </c>
      <c r="H1251" s="589">
        <v>124.78252999999999</v>
      </c>
      <c r="I1251" s="668">
        <v>1</v>
      </c>
      <c r="J1251" s="589">
        <v>124.78252999999999</v>
      </c>
      <c r="K1251" s="589">
        <v>124.78252999999999</v>
      </c>
      <c r="L1251" s="668">
        <v>1</v>
      </c>
      <c r="M1251" s="589">
        <v>124.78252999999999</v>
      </c>
      <c r="N1251" s="6" t="s">
        <v>2640</v>
      </c>
      <c r="O1251" s="669">
        <v>45987</v>
      </c>
      <c r="P1251" s="33" t="str">
        <f>HYPERLINK("https://my.zakupivli.pro/remote/dispatcher/state_purchase_view/63816588", "UA-2025-11-26-004413-a")</f>
        <v>UA-2025-11-26-004413-a</v>
      </c>
      <c r="Q1251" s="589">
        <v>124.78252999999999</v>
      </c>
      <c r="R1251" s="668">
        <v>1</v>
      </c>
      <c r="S1251" s="589">
        <v>124.78252999999999</v>
      </c>
      <c r="T1251" s="524">
        <v>45986</v>
      </c>
      <c r="U1251" s="523"/>
      <c r="V1251" s="668" t="s">
        <v>59</v>
      </c>
    </row>
    <row r="1252" spans="1:22" ht="62.4" x14ac:dyDescent="0.3">
      <c r="A1252" s="668">
        <v>1246</v>
      </c>
      <c r="B1252" s="668" t="s">
        <v>40</v>
      </c>
      <c r="C1252" s="668" t="s">
        <v>884</v>
      </c>
      <c r="D1252" s="523"/>
      <c r="E1252" s="668" t="s">
        <v>20</v>
      </c>
      <c r="F1252" s="523" t="s">
        <v>2634</v>
      </c>
      <c r="G1252" s="668" t="s">
        <v>40</v>
      </c>
      <c r="H1252" s="589">
        <v>141.15780000000001</v>
      </c>
      <c r="I1252" s="668">
        <v>1</v>
      </c>
      <c r="J1252" s="589">
        <v>141.15780000000001</v>
      </c>
      <c r="K1252" s="589">
        <v>141.15780000000001</v>
      </c>
      <c r="L1252" s="668">
        <v>1</v>
      </c>
      <c r="M1252" s="589">
        <v>141.15780000000001</v>
      </c>
      <c r="N1252" s="6" t="s">
        <v>2641</v>
      </c>
      <c r="O1252" s="669">
        <v>45987</v>
      </c>
      <c r="P1252" s="33" t="str">
        <f>HYPERLINK("https://my.zakupivli.pro/remote/dispatcher/state_purchase_view/63816318", "UA-2025-11-26-004231-a")</f>
        <v>UA-2025-11-26-004231-a</v>
      </c>
      <c r="Q1252" s="589">
        <v>141.15780000000001</v>
      </c>
      <c r="R1252" s="668">
        <v>1</v>
      </c>
      <c r="S1252" s="589">
        <v>141.15780000000001</v>
      </c>
      <c r="T1252" s="669">
        <v>45986</v>
      </c>
      <c r="U1252" s="523"/>
      <c r="V1252" s="668" t="s">
        <v>59</v>
      </c>
    </row>
    <row r="1253" spans="1:22" ht="62.4" x14ac:dyDescent="0.3">
      <c r="A1253" s="668">
        <v>1247</v>
      </c>
      <c r="B1253" s="668" t="s">
        <v>40</v>
      </c>
      <c r="C1253" s="668" t="s">
        <v>884</v>
      </c>
      <c r="D1253" s="523"/>
      <c r="E1253" s="668" t="s">
        <v>20</v>
      </c>
      <c r="F1253" s="523" t="s">
        <v>2636</v>
      </c>
      <c r="G1253" s="668" t="s">
        <v>40</v>
      </c>
      <c r="H1253" s="589">
        <v>532.66548999999998</v>
      </c>
      <c r="I1253" s="668">
        <v>1</v>
      </c>
      <c r="J1253" s="589">
        <v>532.66548999999998</v>
      </c>
      <c r="K1253" s="589">
        <v>532.66548999999998</v>
      </c>
      <c r="L1253" s="668">
        <v>1</v>
      </c>
      <c r="M1253" s="589">
        <v>532.66548999999998</v>
      </c>
      <c r="N1253" s="6" t="s">
        <v>2642</v>
      </c>
      <c r="O1253" s="669">
        <v>45987</v>
      </c>
      <c r="P1253" s="33" t="str">
        <f>HYPERLINK("https://my.zakupivli.pro/remote/dispatcher/state_purchase_view/63816045", "UA-2025-11-26-004190-a")</f>
        <v>UA-2025-11-26-004190-a</v>
      </c>
      <c r="Q1253" s="589">
        <v>532.66548999999998</v>
      </c>
      <c r="R1253" s="668">
        <v>1</v>
      </c>
      <c r="S1253" s="589">
        <v>532.66548999999998</v>
      </c>
      <c r="T1253" s="669">
        <v>45986</v>
      </c>
      <c r="U1253" s="523"/>
      <c r="V1253" s="668" t="s">
        <v>59</v>
      </c>
    </row>
    <row r="1254" spans="1:22" ht="62.4" x14ac:dyDescent="0.3">
      <c r="A1254" s="668">
        <v>1248</v>
      </c>
      <c r="B1254" s="668" t="s">
        <v>40</v>
      </c>
      <c r="C1254" s="668" t="s">
        <v>884</v>
      </c>
      <c r="D1254" s="523"/>
      <c r="E1254" s="668" t="s">
        <v>20</v>
      </c>
      <c r="F1254" s="523" t="s">
        <v>2635</v>
      </c>
      <c r="G1254" s="668" t="s">
        <v>40</v>
      </c>
      <c r="H1254" s="589">
        <v>140.78163000000001</v>
      </c>
      <c r="I1254" s="668">
        <v>1</v>
      </c>
      <c r="J1254" s="589">
        <v>140.78163000000001</v>
      </c>
      <c r="K1254" s="589">
        <v>140.78163000000001</v>
      </c>
      <c r="L1254" s="668">
        <v>1</v>
      </c>
      <c r="M1254" s="589">
        <v>140.78163000000001</v>
      </c>
      <c r="N1254" s="6" t="s">
        <v>2643</v>
      </c>
      <c r="O1254" s="669">
        <v>45987</v>
      </c>
      <c r="P1254" s="33" t="str">
        <f>HYPERLINK("https://my.zakupivli.pro/remote/dispatcher/state_purchase_view/63815840", "UA-2025-11-26-004082-a")</f>
        <v>UA-2025-11-26-004082-a</v>
      </c>
      <c r="Q1254" s="589">
        <v>140.78163000000001</v>
      </c>
      <c r="R1254" s="668">
        <v>1</v>
      </c>
      <c r="S1254" s="589">
        <v>140.78163000000001</v>
      </c>
      <c r="T1254" s="669">
        <v>45986</v>
      </c>
      <c r="U1254" s="523"/>
      <c r="V1254" s="668" t="s">
        <v>59</v>
      </c>
    </row>
    <row r="1255" spans="1:22" ht="62.4" x14ac:dyDescent="0.3">
      <c r="A1255" s="668">
        <v>1249</v>
      </c>
      <c r="B1255" s="668" t="s">
        <v>40</v>
      </c>
      <c r="C1255" s="668" t="s">
        <v>884</v>
      </c>
      <c r="D1255" s="523"/>
      <c r="E1255" s="668" t="s">
        <v>20</v>
      </c>
      <c r="F1255" s="523" t="s">
        <v>2637</v>
      </c>
      <c r="G1255" s="668" t="s">
        <v>40</v>
      </c>
      <c r="H1255" s="589">
        <v>570.31962999999996</v>
      </c>
      <c r="I1255" s="668">
        <v>1</v>
      </c>
      <c r="J1255" s="589">
        <v>570.31962999999996</v>
      </c>
      <c r="K1255" s="589">
        <v>570.31962999999996</v>
      </c>
      <c r="L1255" s="668">
        <v>1</v>
      </c>
      <c r="M1255" s="589">
        <v>570.31962999999996</v>
      </c>
      <c r="N1255" s="6" t="s">
        <v>2644</v>
      </c>
      <c r="O1255" s="669">
        <v>45987</v>
      </c>
      <c r="P1255" s="33" t="str">
        <f>HYPERLINK("https://my.zakupivli.pro/remote/dispatcher/state_purchase_view/63815649", "UA-2025-11-26-003960-a")</f>
        <v>UA-2025-11-26-003960-a</v>
      </c>
      <c r="Q1255" s="589">
        <v>570.31962999999996</v>
      </c>
      <c r="R1255" s="668">
        <v>1</v>
      </c>
      <c r="S1255" s="589">
        <v>570.31962999999996</v>
      </c>
      <c r="T1255" s="669">
        <v>45986</v>
      </c>
      <c r="U1255" s="523"/>
      <c r="V1255" s="668" t="s">
        <v>59</v>
      </c>
    </row>
    <row r="1256" spans="1:22" ht="62.4" x14ac:dyDescent="0.3">
      <c r="A1256" s="668">
        <v>1250</v>
      </c>
      <c r="B1256" s="668" t="s">
        <v>40</v>
      </c>
      <c r="C1256" s="668" t="s">
        <v>884</v>
      </c>
      <c r="D1256" s="523"/>
      <c r="E1256" s="668" t="s">
        <v>20</v>
      </c>
      <c r="F1256" s="523" t="s">
        <v>2638</v>
      </c>
      <c r="G1256" s="668" t="s">
        <v>40</v>
      </c>
      <c r="H1256" s="589">
        <v>231.07820000000001</v>
      </c>
      <c r="I1256" s="668">
        <v>1</v>
      </c>
      <c r="J1256" s="589">
        <v>231.07820000000001</v>
      </c>
      <c r="K1256" s="589">
        <v>231.07820000000001</v>
      </c>
      <c r="L1256" s="668">
        <v>1</v>
      </c>
      <c r="M1256" s="589">
        <v>231.07820000000001</v>
      </c>
      <c r="N1256" s="6" t="s">
        <v>2645</v>
      </c>
      <c r="O1256" s="669">
        <v>45987</v>
      </c>
      <c r="P1256" s="33" t="str">
        <f>HYPERLINK("https://my.zakupivli.pro/remote/dispatcher/state_purchase_view/63814782", "UA-2025-11-26-003593-a")</f>
        <v>UA-2025-11-26-003593-a</v>
      </c>
      <c r="Q1256" s="589">
        <v>231.07820000000001</v>
      </c>
      <c r="R1256" s="668">
        <v>1</v>
      </c>
      <c r="S1256" s="589">
        <v>231.07820000000001</v>
      </c>
      <c r="T1256" s="669">
        <v>45986</v>
      </c>
      <c r="U1256" s="523"/>
      <c r="V1256" s="668" t="s">
        <v>59</v>
      </c>
    </row>
    <row r="1257" spans="1:22" ht="62.4" x14ac:dyDescent="0.3">
      <c r="A1257" s="668">
        <v>1251</v>
      </c>
      <c r="B1257" s="668" t="s">
        <v>40</v>
      </c>
      <c r="C1257" s="668" t="s">
        <v>884</v>
      </c>
      <c r="D1257" s="523"/>
      <c r="E1257" s="668" t="s">
        <v>20</v>
      </c>
      <c r="F1257" s="523" t="s">
        <v>2639</v>
      </c>
      <c r="G1257" s="668" t="s">
        <v>40</v>
      </c>
      <c r="H1257" s="589">
        <v>83.725719999999995</v>
      </c>
      <c r="I1257" s="668">
        <v>1</v>
      </c>
      <c r="J1257" s="589">
        <v>83.725719999999995</v>
      </c>
      <c r="K1257" s="589">
        <v>83.725719999999995</v>
      </c>
      <c r="L1257" s="668">
        <v>1</v>
      </c>
      <c r="M1257" s="589">
        <v>83.725719999999995</v>
      </c>
      <c r="N1257" s="6" t="s">
        <v>2646</v>
      </c>
      <c r="O1257" s="671">
        <v>45987</v>
      </c>
      <c r="P1257" s="33" t="str">
        <f>HYPERLINK("https://my.zakupivli.pro/remote/dispatcher/state_purchase_view/63807696", "UA-2025-11-26-000344-a")</f>
        <v>UA-2025-11-26-000344-a</v>
      </c>
      <c r="Q1257" s="589">
        <v>83.725719999999995</v>
      </c>
      <c r="R1257" s="668">
        <v>1</v>
      </c>
      <c r="S1257" s="589">
        <v>83.725719999999995</v>
      </c>
      <c r="T1257" s="669">
        <v>45986</v>
      </c>
      <c r="U1257" s="523"/>
      <c r="V1257" s="668" t="s">
        <v>59</v>
      </c>
    </row>
    <row r="1258" spans="1:22" ht="62.4" x14ac:dyDescent="0.3">
      <c r="A1258" s="670">
        <v>1252</v>
      </c>
      <c r="B1258" s="670" t="s">
        <v>40</v>
      </c>
      <c r="C1258" s="523" t="s">
        <v>41</v>
      </c>
      <c r="D1258" s="523"/>
      <c r="E1258" s="670" t="s">
        <v>20</v>
      </c>
      <c r="F1258" s="523" t="s">
        <v>2648</v>
      </c>
      <c r="G1258" s="670" t="s">
        <v>40</v>
      </c>
      <c r="H1258" s="589">
        <v>715.37076999999999</v>
      </c>
      <c r="I1258" s="523">
        <v>1</v>
      </c>
      <c r="J1258" s="589">
        <v>715.37076999999999</v>
      </c>
      <c r="K1258" s="589">
        <v>715.37076999999999</v>
      </c>
      <c r="L1258" s="523">
        <v>1</v>
      </c>
      <c r="M1258" s="589">
        <v>715.37076999999999</v>
      </c>
      <c r="N1258" s="6" t="s">
        <v>2647</v>
      </c>
      <c r="O1258" s="673">
        <v>45992</v>
      </c>
      <c r="P1258" s="33" t="str">
        <f>HYPERLINK("https://my.zakupivli.pro/remote/dispatcher/state_purchase_view/63938966", "UA-2025-12-01-000468-a")</f>
        <v>UA-2025-12-01-000468-a</v>
      </c>
      <c r="Q1258" s="589">
        <v>715.37076999999999</v>
      </c>
      <c r="R1258" s="523">
        <v>1</v>
      </c>
      <c r="S1258" s="589">
        <v>715.37076999999999</v>
      </c>
      <c r="T1258" s="524">
        <v>45989</v>
      </c>
      <c r="U1258" s="523"/>
      <c r="V1258" s="670" t="s">
        <v>59</v>
      </c>
    </row>
    <row r="1259" spans="1:22" ht="62.4" x14ac:dyDescent="0.3">
      <c r="A1259" s="672">
        <v>1253</v>
      </c>
      <c r="B1259" s="523" t="s">
        <v>21</v>
      </c>
      <c r="C1259" s="523" t="s">
        <v>30</v>
      </c>
      <c r="D1259" s="523"/>
      <c r="E1259" s="672" t="s">
        <v>20</v>
      </c>
      <c r="F1259" s="523" t="s">
        <v>2650</v>
      </c>
      <c r="G1259" s="523" t="s">
        <v>185</v>
      </c>
      <c r="H1259" s="589"/>
      <c r="I1259" s="523">
        <v>800</v>
      </c>
      <c r="J1259" s="589">
        <v>81.605000000000004</v>
      </c>
      <c r="K1259" s="589"/>
      <c r="L1259" s="523">
        <v>800</v>
      </c>
      <c r="M1259" s="589">
        <v>81.605000000000004</v>
      </c>
      <c r="N1259" s="6" t="s">
        <v>2649</v>
      </c>
      <c r="O1259" s="677">
        <v>45993</v>
      </c>
      <c r="P1259" s="33" t="str">
        <f>HYPERLINK("https://my.zakupivli.pro/remote/dispatcher/state_purchase_view/63982783", "UA-2025-12-02-000285-a")</f>
        <v>UA-2025-12-02-000285-a</v>
      </c>
      <c r="Q1259" s="676"/>
      <c r="R1259" s="523">
        <v>800</v>
      </c>
      <c r="S1259" s="589">
        <v>81.605000000000004</v>
      </c>
      <c r="T1259" s="524">
        <v>45992</v>
      </c>
      <c r="U1259" s="523"/>
      <c r="V1259" s="672" t="s">
        <v>59</v>
      </c>
    </row>
    <row r="1260" spans="1:22" ht="62.4" x14ac:dyDescent="0.3">
      <c r="A1260" s="676">
        <v>1254</v>
      </c>
      <c r="B1260" s="676" t="s">
        <v>40</v>
      </c>
      <c r="C1260" s="523" t="s">
        <v>884</v>
      </c>
      <c r="D1260" s="523"/>
      <c r="E1260" s="676" t="s">
        <v>20</v>
      </c>
      <c r="F1260" s="523" t="s">
        <v>2651</v>
      </c>
      <c r="G1260" s="676" t="s">
        <v>40</v>
      </c>
      <c r="H1260" s="589">
        <v>286.04156</v>
      </c>
      <c r="I1260" s="676">
        <v>1</v>
      </c>
      <c r="J1260" s="589">
        <v>286.04156</v>
      </c>
      <c r="K1260" s="589">
        <v>286.04156</v>
      </c>
      <c r="L1260" s="676">
        <v>1</v>
      </c>
      <c r="M1260" s="589">
        <v>286.04156</v>
      </c>
      <c r="N1260" s="6" t="s">
        <v>2657</v>
      </c>
      <c r="O1260" s="677">
        <v>46000</v>
      </c>
      <c r="P1260" s="33" t="str">
        <f>HYPERLINK("https://my.zakupivli.pro/remote/dispatcher/state_purchase_view/64233509", "UA-2025-12-09-001167-a")</f>
        <v>UA-2025-12-09-001167-a</v>
      </c>
      <c r="Q1260" s="589">
        <v>286.04156</v>
      </c>
      <c r="R1260" s="676">
        <v>1</v>
      </c>
      <c r="S1260" s="589">
        <v>286.04156</v>
      </c>
      <c r="T1260" s="524">
        <v>45999</v>
      </c>
      <c r="U1260" s="523"/>
      <c r="V1260" s="676" t="s">
        <v>59</v>
      </c>
    </row>
    <row r="1261" spans="1:22" ht="62.4" x14ac:dyDescent="0.3">
      <c r="A1261" s="676">
        <v>1255</v>
      </c>
      <c r="B1261" s="676" t="s">
        <v>40</v>
      </c>
      <c r="C1261" s="676" t="s">
        <v>884</v>
      </c>
      <c r="D1261" s="523"/>
      <c r="E1261" s="676" t="s">
        <v>20</v>
      </c>
      <c r="F1261" s="523" t="s">
        <v>2652</v>
      </c>
      <c r="G1261" s="676" t="s">
        <v>40</v>
      </c>
      <c r="H1261" s="589">
        <v>433.52291000000002</v>
      </c>
      <c r="I1261" s="676">
        <v>1</v>
      </c>
      <c r="J1261" s="589">
        <v>433.52291000000002</v>
      </c>
      <c r="K1261" s="589">
        <v>433.52291000000002</v>
      </c>
      <c r="L1261" s="676">
        <v>1</v>
      </c>
      <c r="M1261" s="589">
        <v>433.52291000000002</v>
      </c>
      <c r="N1261" s="6" t="s">
        <v>2658</v>
      </c>
      <c r="O1261" s="677">
        <v>46000</v>
      </c>
      <c r="P1261" s="33" t="str">
        <f>HYPERLINK("https://my.zakupivli.pro/remote/dispatcher/state_purchase_view/64233392", "UA-2025-12-09-001093-a")</f>
        <v>UA-2025-12-09-001093-a</v>
      </c>
      <c r="Q1261" s="589">
        <v>433.52291000000002</v>
      </c>
      <c r="R1261" s="676">
        <v>1</v>
      </c>
      <c r="S1261" s="589">
        <v>433.52291000000002</v>
      </c>
      <c r="T1261" s="677">
        <v>45999</v>
      </c>
      <c r="U1261" s="523"/>
      <c r="V1261" s="676" t="s">
        <v>59</v>
      </c>
    </row>
    <row r="1262" spans="1:22" ht="62.4" x14ac:dyDescent="0.3">
      <c r="A1262" s="676">
        <v>1256</v>
      </c>
      <c r="B1262" s="676" t="s">
        <v>40</v>
      </c>
      <c r="C1262" s="676" t="s">
        <v>884</v>
      </c>
      <c r="D1262" s="523"/>
      <c r="E1262" s="676" t="s">
        <v>20</v>
      </c>
      <c r="F1262" s="523" t="s">
        <v>2653</v>
      </c>
      <c r="G1262" s="676" t="s">
        <v>40</v>
      </c>
      <c r="H1262" s="589">
        <v>102.10943</v>
      </c>
      <c r="I1262" s="676">
        <v>1</v>
      </c>
      <c r="J1262" s="589">
        <v>102.10943</v>
      </c>
      <c r="K1262" s="589">
        <v>102.10943</v>
      </c>
      <c r="L1262" s="676">
        <v>1</v>
      </c>
      <c r="M1262" s="589">
        <v>102.10943</v>
      </c>
      <c r="N1262" s="6" t="s">
        <v>2659</v>
      </c>
      <c r="O1262" s="677">
        <v>46000</v>
      </c>
      <c r="P1262" s="33" t="str">
        <f>HYPERLINK("https://my.zakupivli.pro/remote/dispatcher/state_purchase_view/64233367", "UA-2025-12-09-001084-a")</f>
        <v>UA-2025-12-09-001084-a</v>
      </c>
      <c r="Q1262" s="589">
        <v>102.10943</v>
      </c>
      <c r="R1262" s="676">
        <v>1</v>
      </c>
      <c r="S1262" s="589">
        <v>102.10943</v>
      </c>
      <c r="T1262" s="677">
        <v>45999</v>
      </c>
      <c r="U1262" s="523"/>
      <c r="V1262" s="676" t="s">
        <v>59</v>
      </c>
    </row>
    <row r="1263" spans="1:22" ht="78" x14ac:dyDescent="0.3">
      <c r="A1263" s="676">
        <v>1257</v>
      </c>
      <c r="B1263" s="676" t="s">
        <v>40</v>
      </c>
      <c r="C1263" s="676" t="s">
        <v>884</v>
      </c>
      <c r="D1263" s="523"/>
      <c r="E1263" s="676" t="s">
        <v>20</v>
      </c>
      <c r="F1263" s="523" t="s">
        <v>2654</v>
      </c>
      <c r="G1263" s="676" t="s">
        <v>40</v>
      </c>
      <c r="H1263" s="589">
        <v>773.27668000000006</v>
      </c>
      <c r="I1263" s="676">
        <v>1</v>
      </c>
      <c r="J1263" s="589">
        <v>773.27668000000006</v>
      </c>
      <c r="K1263" s="589">
        <v>773.27668000000006</v>
      </c>
      <c r="L1263" s="676">
        <v>1</v>
      </c>
      <c r="M1263" s="589">
        <v>773.27668000000006</v>
      </c>
      <c r="N1263" s="6" t="s">
        <v>2660</v>
      </c>
      <c r="O1263" s="677">
        <v>46000</v>
      </c>
      <c r="P1263" s="33" t="str">
        <f>HYPERLINK("https://my.zakupivli.pro/remote/dispatcher/state_purchase_view/64232970", "UA-2025-12-09-000925-a")</f>
        <v>UA-2025-12-09-000925-a</v>
      </c>
      <c r="Q1263" s="589">
        <v>773.27668000000006</v>
      </c>
      <c r="R1263" s="676">
        <v>1</v>
      </c>
      <c r="S1263" s="589">
        <v>773.27668000000006</v>
      </c>
      <c r="T1263" s="677">
        <v>45999</v>
      </c>
      <c r="U1263" s="523"/>
      <c r="V1263" s="676" t="s">
        <v>59</v>
      </c>
    </row>
    <row r="1264" spans="1:22" ht="62.4" x14ac:dyDescent="0.3">
      <c r="A1264" s="676">
        <v>1258</v>
      </c>
      <c r="B1264" s="676" t="s">
        <v>40</v>
      </c>
      <c r="C1264" s="523" t="s">
        <v>41</v>
      </c>
      <c r="D1264" s="523"/>
      <c r="E1264" s="676" t="s">
        <v>20</v>
      </c>
      <c r="F1264" s="523" t="s">
        <v>2655</v>
      </c>
      <c r="G1264" s="676" t="s">
        <v>40</v>
      </c>
      <c r="H1264" s="589">
        <v>90.419619999999995</v>
      </c>
      <c r="I1264" s="676">
        <v>1</v>
      </c>
      <c r="J1264" s="589">
        <v>90.419619999999995</v>
      </c>
      <c r="K1264" s="589">
        <v>90.419619999999995</v>
      </c>
      <c r="L1264" s="676">
        <v>1</v>
      </c>
      <c r="M1264" s="589">
        <v>90.419619999999995</v>
      </c>
      <c r="N1264" s="6" t="s">
        <v>2661</v>
      </c>
      <c r="O1264" s="677">
        <v>46000</v>
      </c>
      <c r="P1264" s="33" t="str">
        <f>HYPERLINK("https://my.zakupivli.pro/remote/dispatcher/state_purchase_view/64232946", "UA-2025-12-09-000913-a")</f>
        <v>UA-2025-12-09-000913-a</v>
      </c>
      <c r="Q1264" s="589">
        <v>90.419619999999995</v>
      </c>
      <c r="R1264" s="676">
        <v>1</v>
      </c>
      <c r="S1264" s="589">
        <v>90.419619999999995</v>
      </c>
      <c r="T1264" s="677">
        <v>45999</v>
      </c>
      <c r="U1264" s="523"/>
      <c r="V1264" s="676" t="s">
        <v>59</v>
      </c>
    </row>
    <row r="1265" spans="1:22" ht="62.4" x14ac:dyDescent="0.3">
      <c r="A1265" s="676">
        <v>1259</v>
      </c>
      <c r="B1265" s="676" t="s">
        <v>40</v>
      </c>
      <c r="C1265" s="676" t="s">
        <v>884</v>
      </c>
      <c r="D1265" s="523"/>
      <c r="E1265" s="676" t="s">
        <v>20</v>
      </c>
      <c r="F1265" s="523" t="s">
        <v>2656</v>
      </c>
      <c r="G1265" s="676" t="s">
        <v>40</v>
      </c>
      <c r="H1265" s="589">
        <v>387.56601000000001</v>
      </c>
      <c r="I1265" s="676">
        <v>1</v>
      </c>
      <c r="J1265" s="589">
        <v>387.56601000000001</v>
      </c>
      <c r="K1265" s="589">
        <v>387.56601000000001</v>
      </c>
      <c r="L1265" s="676">
        <v>1</v>
      </c>
      <c r="M1265" s="589">
        <v>387.56601000000001</v>
      </c>
      <c r="N1265" s="6" t="s">
        <v>2662</v>
      </c>
      <c r="O1265" s="678">
        <v>46000</v>
      </c>
      <c r="P1265" s="33" t="str">
        <f>HYPERLINK("https://my.zakupivli.pro/remote/dispatcher/state_purchase_view/64232565", "UA-2025-12-09-000784-a")</f>
        <v>UA-2025-12-09-000784-a</v>
      </c>
      <c r="Q1265" s="589">
        <v>387.56601000000001</v>
      </c>
      <c r="R1265" s="676">
        <v>1</v>
      </c>
      <c r="S1265" s="589">
        <v>387.56601000000001</v>
      </c>
      <c r="T1265" s="677">
        <v>45999</v>
      </c>
      <c r="U1265" s="523"/>
      <c r="V1265" s="676" t="s">
        <v>59</v>
      </c>
    </row>
    <row r="1266" spans="1:22" ht="62.4" x14ac:dyDescent="0.3">
      <c r="A1266" s="679">
        <v>1260</v>
      </c>
      <c r="B1266" s="679" t="s">
        <v>40</v>
      </c>
      <c r="C1266" s="679" t="s">
        <v>884</v>
      </c>
      <c r="D1266" s="523"/>
      <c r="E1266" s="679" t="s">
        <v>20</v>
      </c>
      <c r="F1266" s="523" t="s">
        <v>2663</v>
      </c>
      <c r="G1266" s="679" t="s">
        <v>40</v>
      </c>
      <c r="H1266" s="589">
        <v>99.820580000000007</v>
      </c>
      <c r="I1266" s="679">
        <v>1</v>
      </c>
      <c r="J1266" s="589">
        <v>99.820580000000007</v>
      </c>
      <c r="K1266" s="589">
        <v>99.820580000000007</v>
      </c>
      <c r="L1266" s="679">
        <v>1</v>
      </c>
      <c r="M1266" s="589">
        <v>99.820580000000007</v>
      </c>
      <c r="N1266" s="6" t="s">
        <v>2665</v>
      </c>
      <c r="O1266" s="678">
        <v>46001</v>
      </c>
      <c r="P1266" s="33" t="str">
        <f>HYPERLINK("https://my.zakupivli.pro/remote/dispatcher/state_purchase_view/64324031", "UA-2025-12-10-018076-a")</f>
        <v>UA-2025-12-10-018076-a</v>
      </c>
      <c r="Q1266" s="589">
        <v>99.820580000000007</v>
      </c>
      <c r="R1266" s="679">
        <v>1</v>
      </c>
      <c r="S1266" s="589">
        <v>99.820580000000007</v>
      </c>
      <c r="T1266" s="524">
        <v>46001</v>
      </c>
      <c r="U1266" s="523"/>
      <c r="V1266" s="679" t="s">
        <v>59</v>
      </c>
    </row>
    <row r="1267" spans="1:22" ht="78" x14ac:dyDescent="0.3">
      <c r="A1267" s="679">
        <v>1261</v>
      </c>
      <c r="B1267" s="679" t="s">
        <v>40</v>
      </c>
      <c r="C1267" s="679" t="s">
        <v>884</v>
      </c>
      <c r="D1267" s="523"/>
      <c r="E1267" s="679" t="s">
        <v>20</v>
      </c>
      <c r="F1267" s="523" t="s">
        <v>2664</v>
      </c>
      <c r="G1267" s="679" t="s">
        <v>40</v>
      </c>
      <c r="H1267" s="589">
        <v>830.58847000000003</v>
      </c>
      <c r="I1267" s="679">
        <v>1</v>
      </c>
      <c r="J1267" s="589">
        <v>830.58847000000003</v>
      </c>
      <c r="K1267" s="589">
        <v>830.58847000000003</v>
      </c>
      <c r="L1267" s="679">
        <v>1</v>
      </c>
      <c r="M1267" s="589">
        <v>830.58847000000003</v>
      </c>
      <c r="N1267" s="6" t="s">
        <v>2666</v>
      </c>
      <c r="O1267" s="681">
        <v>46001</v>
      </c>
      <c r="P1267" s="33" t="str">
        <f>HYPERLINK("https://my.zakupivli.pro/remote/dispatcher/state_purchase_view/64309003", "UA-2025-12-10-011360-a")</f>
        <v>UA-2025-12-10-011360-a</v>
      </c>
      <c r="Q1267" s="589">
        <v>830.58847000000003</v>
      </c>
      <c r="R1267" s="679">
        <v>1</v>
      </c>
      <c r="S1267" s="589">
        <v>830.58847000000003</v>
      </c>
      <c r="T1267" s="524">
        <v>46000</v>
      </c>
      <c r="U1267" s="523"/>
      <c r="V1267" s="679" t="s">
        <v>59</v>
      </c>
    </row>
    <row r="1268" spans="1:22" ht="93.6" x14ac:dyDescent="0.3">
      <c r="A1268" s="680">
        <v>1262</v>
      </c>
      <c r="B1268" s="680" t="s">
        <v>40</v>
      </c>
      <c r="C1268" s="680" t="s">
        <v>884</v>
      </c>
      <c r="D1268" s="523"/>
      <c r="E1268" s="680" t="s">
        <v>20</v>
      </c>
      <c r="F1268" s="523" t="s">
        <v>2667</v>
      </c>
      <c r="G1268" s="680" t="s">
        <v>40</v>
      </c>
      <c r="H1268" s="589">
        <v>131.04969</v>
      </c>
      <c r="I1268" s="680">
        <v>1</v>
      </c>
      <c r="J1268" s="589">
        <v>131.04969</v>
      </c>
      <c r="K1268" s="589">
        <v>131.04969</v>
      </c>
      <c r="L1268" s="680">
        <v>1</v>
      </c>
      <c r="M1268" s="589">
        <v>131.04969</v>
      </c>
      <c r="N1268" s="6" t="s">
        <v>2669</v>
      </c>
      <c r="O1268" s="681">
        <v>46002</v>
      </c>
      <c r="P1268" s="33" t="str">
        <f>HYPERLINK("https://my.zakupivli.pro/remote/dispatcher/state_purchase_view/64352038", "UA-2025-12-11-006316-a")</f>
        <v>UA-2025-12-11-006316-a</v>
      </c>
      <c r="Q1268" s="589">
        <v>131.04969</v>
      </c>
      <c r="R1268" s="680">
        <v>1</v>
      </c>
      <c r="S1268" s="589">
        <v>131.04969</v>
      </c>
      <c r="T1268" s="681">
        <v>46001</v>
      </c>
      <c r="U1268" s="523"/>
      <c r="V1268" s="680" t="s">
        <v>59</v>
      </c>
    </row>
    <row r="1269" spans="1:22" ht="93.6" x14ac:dyDescent="0.3">
      <c r="A1269" s="682">
        <v>1263</v>
      </c>
      <c r="B1269" s="682" t="s">
        <v>40</v>
      </c>
      <c r="C1269" s="682" t="s">
        <v>884</v>
      </c>
      <c r="D1269" s="682"/>
      <c r="E1269" s="682" t="s">
        <v>20</v>
      </c>
      <c r="F1269" s="682" t="s">
        <v>2668</v>
      </c>
      <c r="G1269" s="682" t="s">
        <v>40</v>
      </c>
      <c r="H1269" s="589">
        <v>168.10019</v>
      </c>
      <c r="I1269" s="682">
        <v>1</v>
      </c>
      <c r="J1269" s="589">
        <v>168.10019</v>
      </c>
      <c r="K1269" s="589">
        <v>168.10019</v>
      </c>
      <c r="L1269" s="682">
        <v>1</v>
      </c>
      <c r="M1269" s="589">
        <v>168.10019</v>
      </c>
      <c r="N1269" s="3" t="s">
        <v>2670</v>
      </c>
      <c r="O1269" s="683">
        <v>46002</v>
      </c>
      <c r="P1269" s="120" t="str">
        <f>HYPERLINK("https://my.zakupivli.pro/remote/dispatcher/state_purchase_view/64341620", "UA-2025-12-11-001833-a")</f>
        <v>UA-2025-12-11-001833-a</v>
      </c>
      <c r="Q1269" s="589">
        <v>168.10019</v>
      </c>
      <c r="R1269" s="682">
        <v>1</v>
      </c>
      <c r="S1269" s="589">
        <v>168.10019</v>
      </c>
      <c r="T1269" s="683">
        <v>46001</v>
      </c>
      <c r="U1269" s="682"/>
      <c r="V1269" s="682" t="s">
        <v>59</v>
      </c>
    </row>
    <row r="1270" spans="1:22" ht="78" x14ac:dyDescent="0.3">
      <c r="A1270" s="682">
        <v>1264</v>
      </c>
      <c r="B1270" s="682" t="s">
        <v>40</v>
      </c>
      <c r="C1270" s="44" t="s">
        <v>884</v>
      </c>
      <c r="D1270" s="682"/>
      <c r="E1270" s="682" t="s">
        <v>20</v>
      </c>
      <c r="F1270" s="44" t="s">
        <v>2671</v>
      </c>
      <c r="G1270" s="682" t="s">
        <v>40</v>
      </c>
      <c r="H1270" s="589">
        <v>411.50179000000003</v>
      </c>
      <c r="I1270" s="682">
        <v>1</v>
      </c>
      <c r="J1270" s="589">
        <v>411.50179000000003</v>
      </c>
      <c r="K1270" s="589">
        <v>411.50179000000003</v>
      </c>
      <c r="L1270" s="682">
        <v>1</v>
      </c>
      <c r="M1270" s="589">
        <v>411.50179000000003</v>
      </c>
      <c r="N1270" s="6" t="s">
        <v>2683</v>
      </c>
      <c r="O1270" s="683">
        <v>46007</v>
      </c>
      <c r="P1270" s="120" t="str">
        <f>HYPERLINK("https://my.zakupivli.pro/remote/dispatcher/state_purchase_view/64540574", "UA-2025-12-16-015448-a")</f>
        <v>UA-2025-12-16-015448-a</v>
      </c>
      <c r="Q1270" s="589">
        <v>411.50179000000003</v>
      </c>
      <c r="R1270" s="682">
        <v>1</v>
      </c>
      <c r="S1270" s="589">
        <v>411.50179000000003</v>
      </c>
      <c r="T1270" s="686">
        <v>46003</v>
      </c>
      <c r="U1270" s="682"/>
      <c r="V1270" s="682" t="s">
        <v>59</v>
      </c>
    </row>
    <row r="1271" spans="1:22" ht="93.6" x14ac:dyDescent="0.3">
      <c r="A1271" s="682">
        <v>1265</v>
      </c>
      <c r="B1271" s="682" t="s">
        <v>40</v>
      </c>
      <c r="C1271" s="44" t="s">
        <v>41</v>
      </c>
      <c r="D1271" s="682"/>
      <c r="E1271" s="682" t="s">
        <v>20</v>
      </c>
      <c r="F1271" s="44" t="s">
        <v>2672</v>
      </c>
      <c r="G1271" s="682" t="s">
        <v>40</v>
      </c>
      <c r="H1271" s="589">
        <v>53.858809999999998</v>
      </c>
      <c r="I1271" s="682">
        <v>1</v>
      </c>
      <c r="J1271" s="589">
        <v>53.858809999999998</v>
      </c>
      <c r="K1271" s="589">
        <v>53.858809999999998</v>
      </c>
      <c r="L1271" s="682">
        <v>1</v>
      </c>
      <c r="M1271" s="589">
        <v>53.858809999999998</v>
      </c>
      <c r="N1271" s="6" t="s">
        <v>2684</v>
      </c>
      <c r="O1271" s="683">
        <v>46007</v>
      </c>
      <c r="P1271" s="120" t="str">
        <f>HYPERLINK("https://my.zakupivli.pro/remote/dispatcher/state_purchase_view/64539743", "UA-2025-12-16-014970-a")</f>
        <v>UA-2025-12-16-014970-a</v>
      </c>
      <c r="Q1271" s="589">
        <v>53.858809999999998</v>
      </c>
      <c r="R1271" s="682">
        <v>1</v>
      </c>
      <c r="S1271" s="589">
        <v>53.858809999999998</v>
      </c>
      <c r="T1271" s="686">
        <v>46003</v>
      </c>
      <c r="U1271" s="682"/>
      <c r="V1271" s="682" t="s">
        <v>59</v>
      </c>
    </row>
    <row r="1272" spans="1:22" ht="62.4" x14ac:dyDescent="0.3">
      <c r="A1272" s="682">
        <v>1266</v>
      </c>
      <c r="B1272" s="682" t="s">
        <v>40</v>
      </c>
      <c r="C1272" s="44" t="s">
        <v>884</v>
      </c>
      <c r="D1272" s="682"/>
      <c r="E1272" s="682" t="s">
        <v>20</v>
      </c>
      <c r="F1272" s="44" t="s">
        <v>2673</v>
      </c>
      <c r="G1272" s="682" t="s">
        <v>40</v>
      </c>
      <c r="H1272" s="589">
        <v>52.13476</v>
      </c>
      <c r="I1272" s="682">
        <v>1</v>
      </c>
      <c r="J1272" s="589">
        <v>52.13476</v>
      </c>
      <c r="K1272" s="589">
        <v>52.13476</v>
      </c>
      <c r="L1272" s="682">
        <v>1</v>
      </c>
      <c r="M1272" s="589">
        <v>52.13476</v>
      </c>
      <c r="N1272" s="6" t="s">
        <v>2685</v>
      </c>
      <c r="O1272" s="683">
        <v>46007</v>
      </c>
      <c r="P1272" s="120" t="str">
        <f>HYPERLINK("https://my.zakupivli.pro/remote/dispatcher/state_purchase_view/64539076", "UA-2025-12-16-014725-a")</f>
        <v>UA-2025-12-16-014725-a</v>
      </c>
      <c r="Q1272" s="589">
        <v>52.13476</v>
      </c>
      <c r="R1272" s="682">
        <v>1</v>
      </c>
      <c r="S1272" s="589">
        <v>52.13476</v>
      </c>
      <c r="T1272" s="686">
        <v>46003</v>
      </c>
      <c r="U1272" s="682"/>
      <c r="V1272" s="682" t="s">
        <v>59</v>
      </c>
    </row>
    <row r="1273" spans="1:22" ht="62.4" x14ac:dyDescent="0.3">
      <c r="A1273" s="682">
        <v>1267</v>
      </c>
      <c r="B1273" s="682" t="s">
        <v>40</v>
      </c>
      <c r="C1273" s="44" t="s">
        <v>41</v>
      </c>
      <c r="D1273" s="682"/>
      <c r="E1273" s="682" t="s">
        <v>20</v>
      </c>
      <c r="F1273" s="44" t="s">
        <v>2674</v>
      </c>
      <c r="G1273" s="682" t="s">
        <v>40</v>
      </c>
      <c r="H1273" s="589">
        <v>103.73053</v>
      </c>
      <c r="I1273" s="682">
        <v>1</v>
      </c>
      <c r="J1273" s="589">
        <v>103.73053</v>
      </c>
      <c r="K1273" s="589">
        <v>103.73053</v>
      </c>
      <c r="L1273" s="682">
        <v>1</v>
      </c>
      <c r="M1273" s="589">
        <v>103.73053</v>
      </c>
      <c r="N1273" s="6" t="s">
        <v>2686</v>
      </c>
      <c r="O1273" s="683">
        <v>46007</v>
      </c>
      <c r="P1273" s="120" t="str">
        <f>HYPERLINK("https://my.zakupivli.pro/remote/dispatcher/state_purchase_view/64537810", "UA-2025-12-16-014109-a")</f>
        <v>UA-2025-12-16-014109-a</v>
      </c>
      <c r="Q1273" s="589">
        <v>103.73053</v>
      </c>
      <c r="R1273" s="682">
        <v>1</v>
      </c>
      <c r="S1273" s="589">
        <v>103.73053</v>
      </c>
      <c r="T1273" s="686">
        <v>46006</v>
      </c>
      <c r="U1273" s="682"/>
      <c r="V1273" s="682" t="s">
        <v>59</v>
      </c>
    </row>
    <row r="1274" spans="1:22" ht="62.4" x14ac:dyDescent="0.3">
      <c r="A1274" s="682">
        <v>1268</v>
      </c>
      <c r="B1274" s="682" t="s">
        <v>40</v>
      </c>
      <c r="C1274" s="44" t="s">
        <v>884</v>
      </c>
      <c r="D1274" s="682"/>
      <c r="E1274" s="682" t="s">
        <v>20</v>
      </c>
      <c r="F1274" s="44" t="s">
        <v>2675</v>
      </c>
      <c r="G1274" s="682" t="s">
        <v>40</v>
      </c>
      <c r="H1274" s="589">
        <v>73.723159999999993</v>
      </c>
      <c r="I1274" s="682">
        <v>1</v>
      </c>
      <c r="J1274" s="589">
        <v>73.723159999999993</v>
      </c>
      <c r="K1274" s="589">
        <v>73.723159999999993</v>
      </c>
      <c r="L1274" s="682">
        <v>1</v>
      </c>
      <c r="M1274" s="589">
        <v>73.723159999999993</v>
      </c>
      <c r="N1274" s="6" t="s">
        <v>2687</v>
      </c>
      <c r="O1274" s="683">
        <v>46007</v>
      </c>
      <c r="P1274" s="120" t="str">
        <f>HYPERLINK("https://my.zakupivli.pro/remote/dispatcher/state_purchase_view/64535420", "UA-2025-12-16-013055-a")</f>
        <v>UA-2025-12-16-013055-a</v>
      </c>
      <c r="Q1274" s="589">
        <v>73.723159999999993</v>
      </c>
      <c r="R1274" s="682">
        <v>1</v>
      </c>
      <c r="S1274" s="589">
        <v>73.723159999999993</v>
      </c>
      <c r="T1274" s="686">
        <v>46003</v>
      </c>
      <c r="U1274" s="682"/>
      <c r="V1274" s="682" t="s">
        <v>59</v>
      </c>
    </row>
    <row r="1275" spans="1:22" ht="93.6" x14ac:dyDescent="0.3">
      <c r="A1275" s="682">
        <v>1269</v>
      </c>
      <c r="B1275" s="682" t="s">
        <v>40</v>
      </c>
      <c r="C1275" s="44" t="s">
        <v>884</v>
      </c>
      <c r="D1275" s="682"/>
      <c r="E1275" s="682" t="s">
        <v>20</v>
      </c>
      <c r="F1275" s="44" t="s">
        <v>2676</v>
      </c>
      <c r="G1275" s="682" t="s">
        <v>40</v>
      </c>
      <c r="H1275" s="589">
        <v>1098.01541</v>
      </c>
      <c r="I1275" s="682">
        <v>1</v>
      </c>
      <c r="J1275" s="589">
        <v>1098.01541</v>
      </c>
      <c r="K1275" s="589">
        <v>1098.01541</v>
      </c>
      <c r="L1275" s="682">
        <v>1</v>
      </c>
      <c r="M1275" s="589">
        <v>1098.01541</v>
      </c>
      <c r="N1275" s="6" t="s">
        <v>2688</v>
      </c>
      <c r="O1275" s="683">
        <v>46007</v>
      </c>
      <c r="P1275" s="120" t="str">
        <f>HYPERLINK("https://my.zakupivli.pro/remote/dispatcher/state_purchase_view/64534478", "UA-2025-12-16-012591-a")</f>
        <v>UA-2025-12-16-012591-a</v>
      </c>
      <c r="Q1275" s="589">
        <v>1098.01541</v>
      </c>
      <c r="R1275" s="682">
        <v>1</v>
      </c>
      <c r="S1275" s="589">
        <v>1098.01541</v>
      </c>
      <c r="T1275" s="686">
        <v>46003</v>
      </c>
      <c r="U1275" s="682"/>
      <c r="V1275" s="682" t="s">
        <v>59</v>
      </c>
    </row>
    <row r="1276" spans="1:22" ht="62.4" x14ac:dyDescent="0.3">
      <c r="A1276" s="682">
        <v>1270</v>
      </c>
      <c r="B1276" s="682" t="s">
        <v>40</v>
      </c>
      <c r="C1276" s="44" t="s">
        <v>884</v>
      </c>
      <c r="D1276" s="682"/>
      <c r="E1276" s="682" t="s">
        <v>20</v>
      </c>
      <c r="F1276" s="44" t="s">
        <v>2677</v>
      </c>
      <c r="G1276" s="682" t="s">
        <v>40</v>
      </c>
      <c r="H1276" s="589">
        <v>318.31824999999998</v>
      </c>
      <c r="I1276" s="682">
        <v>1</v>
      </c>
      <c r="J1276" s="589">
        <v>318.31824999999998</v>
      </c>
      <c r="K1276" s="589">
        <v>318.31824999999998</v>
      </c>
      <c r="L1276" s="682">
        <v>1</v>
      </c>
      <c r="M1276" s="589">
        <v>318.31824999999998</v>
      </c>
      <c r="N1276" s="6" t="s">
        <v>2689</v>
      </c>
      <c r="O1276" s="683">
        <v>46007</v>
      </c>
      <c r="P1276" s="120" t="str">
        <f>HYPERLINK("https://my.zakupivli.pro/remote/dispatcher/state_purchase_view/64533570", "UA-2025-12-16-012171-a")</f>
        <v>UA-2025-12-16-012171-a</v>
      </c>
      <c r="Q1276" s="589">
        <v>318.31824999999998</v>
      </c>
      <c r="R1276" s="682">
        <v>1</v>
      </c>
      <c r="S1276" s="589">
        <v>318.31824999999998</v>
      </c>
      <c r="T1276" s="686">
        <v>46003</v>
      </c>
      <c r="U1276" s="682"/>
      <c r="V1276" s="682" t="s">
        <v>59</v>
      </c>
    </row>
    <row r="1277" spans="1:22" ht="62.4" x14ac:dyDescent="0.3">
      <c r="A1277" s="682">
        <v>1271</v>
      </c>
      <c r="B1277" s="682" t="s">
        <v>40</v>
      </c>
      <c r="C1277" s="44" t="s">
        <v>41</v>
      </c>
      <c r="D1277" s="682"/>
      <c r="E1277" s="682" t="s">
        <v>20</v>
      </c>
      <c r="F1277" s="44" t="s">
        <v>2678</v>
      </c>
      <c r="G1277" s="682" t="s">
        <v>40</v>
      </c>
      <c r="H1277" s="589">
        <v>210.32147000000001</v>
      </c>
      <c r="I1277" s="682">
        <v>1</v>
      </c>
      <c r="J1277" s="589">
        <v>210.32147000000001</v>
      </c>
      <c r="K1277" s="589">
        <v>210.32147000000001</v>
      </c>
      <c r="L1277" s="682">
        <v>1</v>
      </c>
      <c r="M1277" s="589">
        <v>210.32147000000001</v>
      </c>
      <c r="N1277" s="6" t="s">
        <v>2690</v>
      </c>
      <c r="O1277" s="683">
        <v>46007</v>
      </c>
      <c r="P1277" s="120" t="str">
        <f>HYPERLINK("https://my.zakupivli.pro/remote/dispatcher/state_purchase_view/64532942", "UA-2025-12-16-011875-a")</f>
        <v>UA-2025-12-16-011875-a</v>
      </c>
      <c r="Q1277" s="589">
        <v>210.32147000000001</v>
      </c>
      <c r="R1277" s="682">
        <v>1</v>
      </c>
      <c r="S1277" s="589">
        <v>210.32147000000001</v>
      </c>
      <c r="T1277" s="686">
        <v>46003</v>
      </c>
      <c r="U1277" s="682"/>
      <c r="V1277" s="682" t="s">
        <v>59</v>
      </c>
    </row>
    <row r="1278" spans="1:22" ht="62.4" x14ac:dyDescent="0.3">
      <c r="A1278" s="682">
        <v>1272</v>
      </c>
      <c r="B1278" s="682" t="s">
        <v>40</v>
      </c>
      <c r="C1278" s="44" t="s">
        <v>884</v>
      </c>
      <c r="D1278" s="682"/>
      <c r="E1278" s="682" t="s">
        <v>20</v>
      </c>
      <c r="F1278" s="44" t="s">
        <v>2679</v>
      </c>
      <c r="G1278" s="682" t="s">
        <v>40</v>
      </c>
      <c r="H1278" s="589">
        <v>335.06590999999997</v>
      </c>
      <c r="I1278" s="682">
        <v>1</v>
      </c>
      <c r="J1278" s="589">
        <v>335.06590999999997</v>
      </c>
      <c r="K1278" s="589">
        <v>335.06590999999997</v>
      </c>
      <c r="L1278" s="682">
        <v>1</v>
      </c>
      <c r="M1278" s="589">
        <v>335.06590999999997</v>
      </c>
      <c r="N1278" s="6" t="s">
        <v>2691</v>
      </c>
      <c r="O1278" s="683">
        <v>46007</v>
      </c>
      <c r="P1278" s="120" t="str">
        <f>HYPERLINK("https://my.zakupivli.pro/remote/dispatcher/state_purchase_view/64532447", "UA-2025-12-16-011616-a")</f>
        <v>UA-2025-12-16-011616-a</v>
      </c>
      <c r="Q1278" s="589">
        <v>335.06590999999997</v>
      </c>
      <c r="R1278" s="682">
        <v>1</v>
      </c>
      <c r="S1278" s="589">
        <v>335.06590999999997</v>
      </c>
      <c r="T1278" s="686">
        <v>46006</v>
      </c>
      <c r="U1278" s="682"/>
      <c r="V1278" s="682" t="s">
        <v>59</v>
      </c>
    </row>
    <row r="1279" spans="1:22" ht="62.4" x14ac:dyDescent="0.3">
      <c r="A1279" s="682">
        <v>1273</v>
      </c>
      <c r="B1279" s="682" t="s">
        <v>40</v>
      </c>
      <c r="C1279" s="44" t="s">
        <v>884</v>
      </c>
      <c r="D1279" s="682"/>
      <c r="E1279" s="682" t="s">
        <v>20</v>
      </c>
      <c r="F1279" s="44" t="s">
        <v>2680</v>
      </c>
      <c r="G1279" s="682" t="s">
        <v>40</v>
      </c>
      <c r="H1279" s="589">
        <v>281.64319999999998</v>
      </c>
      <c r="I1279" s="682">
        <v>1</v>
      </c>
      <c r="J1279" s="589">
        <v>281.64319999999998</v>
      </c>
      <c r="K1279" s="589">
        <v>281.64319999999998</v>
      </c>
      <c r="L1279" s="682">
        <v>1</v>
      </c>
      <c r="M1279" s="589">
        <v>281.64319999999998</v>
      </c>
      <c r="N1279" s="6" t="s">
        <v>2692</v>
      </c>
      <c r="O1279" s="683">
        <v>46007</v>
      </c>
      <c r="P1279" s="120" t="str">
        <f>HYPERLINK("https://my.zakupivli.pro/remote/dispatcher/state_purchase_view/64524354", "UA-2025-12-16-008824-a")</f>
        <v>UA-2025-12-16-008824-a</v>
      </c>
      <c r="Q1279" s="589">
        <v>281.64319999999998</v>
      </c>
      <c r="R1279" s="682">
        <v>1</v>
      </c>
      <c r="S1279" s="589">
        <v>281.64319999999998</v>
      </c>
      <c r="T1279" s="686">
        <v>46006</v>
      </c>
      <c r="U1279" s="682"/>
      <c r="V1279" s="682" t="s">
        <v>59</v>
      </c>
    </row>
    <row r="1280" spans="1:22" ht="62.4" x14ac:dyDescent="0.3">
      <c r="A1280" s="682">
        <v>1274</v>
      </c>
      <c r="B1280" s="682" t="s">
        <v>40</v>
      </c>
      <c r="C1280" s="44" t="s">
        <v>41</v>
      </c>
      <c r="D1280" s="682"/>
      <c r="E1280" s="682" t="s">
        <v>20</v>
      </c>
      <c r="F1280" s="44" t="s">
        <v>2681</v>
      </c>
      <c r="G1280" s="682" t="s">
        <v>40</v>
      </c>
      <c r="H1280" s="589">
        <v>190.22277</v>
      </c>
      <c r="I1280" s="682">
        <v>1</v>
      </c>
      <c r="J1280" s="589">
        <v>190.22277</v>
      </c>
      <c r="K1280" s="589">
        <v>190.22277</v>
      </c>
      <c r="L1280" s="682">
        <v>1</v>
      </c>
      <c r="M1280" s="589">
        <v>190.22277</v>
      </c>
      <c r="N1280" s="6" t="s">
        <v>2693</v>
      </c>
      <c r="O1280" s="683">
        <v>46007</v>
      </c>
      <c r="P1280" s="120" t="str">
        <f>HYPERLINK("https://my.zakupivli.pro/remote/dispatcher/state_purchase_view/64507832", "UA-2025-12-16-001344-a")</f>
        <v>UA-2025-12-16-001344-a</v>
      </c>
      <c r="Q1280" s="589">
        <v>190.22277</v>
      </c>
      <c r="R1280" s="682">
        <v>1</v>
      </c>
      <c r="S1280" s="589">
        <v>190.22277</v>
      </c>
      <c r="T1280" s="686">
        <v>46000</v>
      </c>
      <c r="U1280" s="682"/>
      <c r="V1280" s="682" t="s">
        <v>59</v>
      </c>
    </row>
    <row r="1281" spans="1:22" ht="62.4" x14ac:dyDescent="0.3">
      <c r="A1281" s="684">
        <v>1275</v>
      </c>
      <c r="B1281" s="684" t="s">
        <v>40</v>
      </c>
      <c r="C1281" s="44" t="s">
        <v>884</v>
      </c>
      <c r="D1281" s="684"/>
      <c r="E1281" s="684" t="s">
        <v>20</v>
      </c>
      <c r="F1281" s="44" t="s">
        <v>2682</v>
      </c>
      <c r="G1281" s="684" t="s">
        <v>40</v>
      </c>
      <c r="H1281" s="589">
        <v>278.58935000000002</v>
      </c>
      <c r="I1281" s="684">
        <v>1</v>
      </c>
      <c r="J1281" s="589">
        <v>278.58935000000002</v>
      </c>
      <c r="K1281" s="589">
        <v>278.58935000000002</v>
      </c>
      <c r="L1281" s="684">
        <v>1</v>
      </c>
      <c r="M1281" s="589">
        <v>278.58935000000002</v>
      </c>
      <c r="N1281" s="3" t="s">
        <v>2694</v>
      </c>
      <c r="O1281" s="685">
        <v>46007</v>
      </c>
      <c r="P1281" s="120" t="str">
        <f>HYPERLINK("https://my.zakupivli.pro/remote/dispatcher/state_purchase_view/64507690", "UA-2025-12-16-001245-a")</f>
        <v>UA-2025-12-16-001245-a</v>
      </c>
      <c r="Q1281" s="589">
        <v>278.58935000000002</v>
      </c>
      <c r="R1281" s="684">
        <v>1</v>
      </c>
      <c r="S1281" s="589">
        <v>278.58935000000002</v>
      </c>
      <c r="T1281" s="686">
        <v>46000</v>
      </c>
      <c r="U1281" s="684"/>
      <c r="V1281" s="684" t="s">
        <v>59</v>
      </c>
    </row>
    <row r="1282" spans="1:22" ht="62.4" x14ac:dyDescent="0.3">
      <c r="A1282" s="684">
        <v>1276</v>
      </c>
      <c r="B1282" s="684" t="s">
        <v>40</v>
      </c>
      <c r="C1282" s="44" t="s">
        <v>884</v>
      </c>
      <c r="D1282" s="684"/>
      <c r="E1282" s="684" t="s">
        <v>20</v>
      </c>
      <c r="F1282" s="44" t="s">
        <v>2695</v>
      </c>
      <c r="G1282" s="684" t="s">
        <v>40</v>
      </c>
      <c r="H1282" s="589">
        <v>70.083870000000005</v>
      </c>
      <c r="I1282" s="684">
        <v>1</v>
      </c>
      <c r="J1282" s="589">
        <v>70.083870000000005</v>
      </c>
      <c r="K1282" s="589">
        <v>70.083870000000005</v>
      </c>
      <c r="L1282" s="684">
        <v>1</v>
      </c>
      <c r="M1282" s="589">
        <v>70.083870000000005</v>
      </c>
      <c r="N1282" s="6" t="s">
        <v>2697</v>
      </c>
      <c r="O1282" s="685">
        <v>46010</v>
      </c>
      <c r="P1282" s="120" t="str">
        <f>HYPERLINK("https://my.zakupivli.pro/remote/dispatcher/state_purchase_view/64715837", "UA-2025-12-19-014480-a")</f>
        <v>UA-2025-12-19-014480-a</v>
      </c>
      <c r="Q1282" s="589">
        <v>70.083870000000005</v>
      </c>
      <c r="R1282" s="684">
        <v>1</v>
      </c>
      <c r="S1282" s="589">
        <v>70.083870000000005</v>
      </c>
      <c r="T1282" s="685">
        <v>46010</v>
      </c>
      <c r="U1282" s="684"/>
      <c r="V1282" s="684" t="s">
        <v>59</v>
      </c>
    </row>
    <row r="1283" spans="1:22" ht="62.4" x14ac:dyDescent="0.3">
      <c r="A1283" s="684">
        <v>1277</v>
      </c>
      <c r="B1283" s="684" t="s">
        <v>40</v>
      </c>
      <c r="C1283" s="44" t="s">
        <v>41</v>
      </c>
      <c r="D1283" s="684"/>
      <c r="E1283" s="684" t="s">
        <v>20</v>
      </c>
      <c r="F1283" s="44" t="s">
        <v>2696</v>
      </c>
      <c r="G1283" s="684" t="s">
        <v>40</v>
      </c>
      <c r="H1283" s="589">
        <v>107.99168</v>
      </c>
      <c r="I1283" s="684">
        <v>1</v>
      </c>
      <c r="J1283" s="589">
        <v>107.99168</v>
      </c>
      <c r="K1283" s="589">
        <v>107.99168</v>
      </c>
      <c r="L1283" s="684">
        <v>1</v>
      </c>
      <c r="M1283" s="589">
        <v>107.99168</v>
      </c>
      <c r="N1283" s="6" t="s">
        <v>2698</v>
      </c>
      <c r="O1283" s="685">
        <v>46010</v>
      </c>
      <c r="P1283" s="120" t="str">
        <f>HYPERLINK("https://my.zakupivli.pro/remote/dispatcher/state_purchase_view/64715522", "UA-2025-12-19-014293-a")</f>
        <v>UA-2025-12-19-014293-a</v>
      </c>
      <c r="Q1283" s="589">
        <v>107.99168</v>
      </c>
      <c r="R1283" s="684">
        <v>1</v>
      </c>
      <c r="S1283" s="589">
        <v>107.99168</v>
      </c>
      <c r="T1283" s="685">
        <v>46010</v>
      </c>
      <c r="U1283" s="684"/>
      <c r="V1283" s="684" t="s">
        <v>59</v>
      </c>
    </row>
    <row r="1284" spans="1:22" ht="62.4" x14ac:dyDescent="0.3">
      <c r="A1284" s="684">
        <v>1278</v>
      </c>
      <c r="B1284" s="684" t="s">
        <v>21</v>
      </c>
      <c r="C1284" s="44" t="s">
        <v>30</v>
      </c>
      <c r="D1284" s="684"/>
      <c r="E1284" s="684" t="s">
        <v>20</v>
      </c>
      <c r="F1284" s="44" t="s">
        <v>2469</v>
      </c>
      <c r="G1284" s="684" t="s">
        <v>185</v>
      </c>
      <c r="H1284" s="589"/>
      <c r="I1284" s="684">
        <v>500</v>
      </c>
      <c r="J1284" s="589">
        <v>77.900000000000006</v>
      </c>
      <c r="K1284" s="589"/>
      <c r="L1284" s="684">
        <v>500</v>
      </c>
      <c r="M1284" s="589">
        <v>77.900000000000006</v>
      </c>
      <c r="N1284" s="6" t="s">
        <v>2699</v>
      </c>
      <c r="O1284" s="688">
        <v>46010</v>
      </c>
      <c r="P1284" s="120" t="str">
        <f>HYPERLINK("https://my.zakupivli.pro/remote/dispatcher/state_purchase_view/64688238", "UA-2025-12-19-001812-a")</f>
        <v>UA-2025-12-19-001812-a</v>
      </c>
      <c r="Q1284" s="589"/>
      <c r="R1284" s="684">
        <v>500</v>
      </c>
      <c r="S1284" s="589">
        <v>77.900000000000006</v>
      </c>
      <c r="T1284" s="685">
        <v>46009</v>
      </c>
      <c r="U1284" s="684"/>
      <c r="V1284" s="684" t="s">
        <v>59</v>
      </c>
    </row>
    <row r="1285" spans="1:22" ht="62.4" x14ac:dyDescent="0.3">
      <c r="A1285" s="687">
        <v>1279</v>
      </c>
      <c r="B1285" s="687" t="s">
        <v>21</v>
      </c>
      <c r="C1285" s="684" t="s">
        <v>760</v>
      </c>
      <c r="D1285" s="684"/>
      <c r="E1285" s="687" t="s">
        <v>20</v>
      </c>
      <c r="F1285" s="684" t="s">
        <v>2212</v>
      </c>
      <c r="G1285" s="684" t="s">
        <v>187</v>
      </c>
      <c r="H1285" s="589"/>
      <c r="I1285" s="684">
        <v>60</v>
      </c>
      <c r="J1285" s="589">
        <v>73.95</v>
      </c>
      <c r="K1285" s="589"/>
      <c r="L1285" s="684">
        <v>60</v>
      </c>
      <c r="M1285" s="589">
        <v>73.95</v>
      </c>
      <c r="N1285" s="6" t="s">
        <v>2700</v>
      </c>
      <c r="O1285" s="691">
        <v>46014</v>
      </c>
      <c r="P1285" s="33" t="str">
        <f>HYPERLINK("https://my.zakupivli.pro/remote/dispatcher/state_purchase_view/64820212", "UA-2025-12-23-005940-a")</f>
        <v>UA-2025-12-23-005940-a</v>
      </c>
      <c r="Q1285" s="692"/>
      <c r="R1285" s="684">
        <v>60</v>
      </c>
      <c r="S1285" s="589">
        <v>73.95</v>
      </c>
      <c r="T1285" s="685">
        <v>46014</v>
      </c>
      <c r="U1285" s="684"/>
      <c r="V1285" s="687" t="s">
        <v>59</v>
      </c>
    </row>
    <row r="1286" spans="1:22" ht="78" x14ac:dyDescent="0.3">
      <c r="A1286" s="693">
        <v>1280</v>
      </c>
      <c r="B1286" s="693" t="s">
        <v>40</v>
      </c>
      <c r="C1286" s="693" t="s">
        <v>41</v>
      </c>
      <c r="D1286" s="693"/>
      <c r="E1286" s="693" t="s">
        <v>20</v>
      </c>
      <c r="F1286" s="693" t="s">
        <v>2701</v>
      </c>
      <c r="G1286" s="693" t="s">
        <v>40</v>
      </c>
      <c r="H1286" s="589">
        <v>294.76629000000003</v>
      </c>
      <c r="I1286" s="693">
        <v>1</v>
      </c>
      <c r="J1286" s="589">
        <v>294.76629000000003</v>
      </c>
      <c r="K1286" s="589">
        <v>294.76629000000003</v>
      </c>
      <c r="L1286" s="693">
        <v>1</v>
      </c>
      <c r="M1286" s="589">
        <v>294.76629000000003</v>
      </c>
      <c r="N1286" s="3" t="s">
        <v>2702</v>
      </c>
      <c r="O1286" s="694">
        <v>46017</v>
      </c>
      <c r="P1286" s="120" t="str">
        <f>HYPERLINK("https://my.zakupivli.pro/remote/dispatcher/state_purchase_view/64948167", "UA-2025-12-26-002869-a")</f>
        <v>UA-2025-12-26-002869-a</v>
      </c>
      <c r="Q1286" s="589">
        <v>294.76629000000003</v>
      </c>
      <c r="R1286" s="684">
        <v>1</v>
      </c>
      <c r="S1286" s="589">
        <v>294.76629000000003</v>
      </c>
      <c r="T1286" s="685">
        <v>45810</v>
      </c>
      <c r="U1286" s="684"/>
      <c r="V1286" s="692" t="s">
        <v>59</v>
      </c>
    </row>
    <row r="1287" spans="1:22" ht="93.6" x14ac:dyDescent="0.3">
      <c r="A1287" s="693">
        <v>1281</v>
      </c>
      <c r="B1287" s="693" t="s">
        <v>40</v>
      </c>
      <c r="C1287" s="44" t="s">
        <v>73</v>
      </c>
      <c r="D1287" s="693"/>
      <c r="E1287" s="693" t="s">
        <v>20</v>
      </c>
      <c r="F1287" s="44" t="s">
        <v>2703</v>
      </c>
      <c r="G1287" s="693" t="s">
        <v>40</v>
      </c>
      <c r="H1287" s="589">
        <v>1470.44667</v>
      </c>
      <c r="I1287" s="693">
        <v>1</v>
      </c>
      <c r="J1287" s="589">
        <v>1470.44667</v>
      </c>
      <c r="K1287" s="589">
        <v>1470.44667</v>
      </c>
      <c r="L1287" s="693"/>
      <c r="M1287" s="589">
        <v>1470.44667</v>
      </c>
      <c r="N1287" s="6" t="s">
        <v>2705</v>
      </c>
      <c r="O1287" s="694">
        <v>46021</v>
      </c>
      <c r="P1287" s="120" t="str">
        <f>HYPERLINK("https://my.zakupivli.pro/remote/dispatcher/state_purchase_view/65022258", "UA-2025-12-30-003408-a")</f>
        <v>UA-2025-12-30-003408-a</v>
      </c>
      <c r="Q1287" s="693"/>
      <c r="R1287" s="684"/>
      <c r="S1287" s="684"/>
      <c r="T1287" s="685"/>
      <c r="U1287" s="684"/>
      <c r="V1287" s="684"/>
    </row>
    <row r="1288" spans="1:22" ht="109.2" x14ac:dyDescent="0.3">
      <c r="A1288" s="693">
        <v>1282</v>
      </c>
      <c r="B1288" s="693" t="s">
        <v>40</v>
      </c>
      <c r="C1288" s="44" t="s">
        <v>73</v>
      </c>
      <c r="D1288" s="693"/>
      <c r="E1288" s="693" t="s">
        <v>20</v>
      </c>
      <c r="F1288" s="44" t="s">
        <v>2704</v>
      </c>
      <c r="G1288" s="693" t="s">
        <v>40</v>
      </c>
      <c r="H1288" s="589">
        <v>1487.65</v>
      </c>
      <c r="I1288" s="693">
        <v>1</v>
      </c>
      <c r="J1288" s="589">
        <v>1487.65</v>
      </c>
      <c r="K1288" s="589">
        <v>1487.65</v>
      </c>
      <c r="L1288" s="693"/>
      <c r="M1288" s="589">
        <v>1487.65</v>
      </c>
      <c r="N1288" s="6" t="s">
        <v>2706</v>
      </c>
      <c r="O1288" s="694">
        <v>46021</v>
      </c>
      <c r="P1288" s="120" t="str">
        <f>HYPERLINK("https://my.zakupivli.pro/remote/dispatcher/state_purchase_view/65021897", "UA-2025-12-30-003216-a")</f>
        <v>UA-2025-12-30-003216-a</v>
      </c>
      <c r="Q1288" s="693"/>
      <c r="R1288" s="684"/>
      <c r="S1288" s="684"/>
      <c r="T1288" s="685"/>
      <c r="U1288" s="684"/>
      <c r="V1288" s="684"/>
    </row>
    <row r="1289" spans="1:22" x14ac:dyDescent="0.3">
      <c r="A1289" s="693"/>
      <c r="B1289" s="693"/>
      <c r="C1289" s="693"/>
      <c r="D1289" s="693"/>
      <c r="E1289" s="693"/>
      <c r="F1289" s="693"/>
      <c r="G1289" s="693"/>
      <c r="H1289" s="589"/>
      <c r="I1289" s="693"/>
      <c r="J1289" s="589"/>
      <c r="K1289" s="589"/>
      <c r="L1289" s="693"/>
      <c r="M1289" s="589"/>
      <c r="N1289" s="693"/>
      <c r="O1289" s="694"/>
      <c r="P1289" s="693"/>
      <c r="Q1289" s="693"/>
      <c r="R1289" s="523"/>
      <c r="S1289" s="523"/>
      <c r="T1289" s="524"/>
      <c r="U1289" s="523"/>
      <c r="V1289" s="523"/>
    </row>
    <row r="1290" spans="1:22" x14ac:dyDescent="0.3">
      <c r="A1290" s="523"/>
      <c r="B1290" s="523"/>
      <c r="C1290" s="523"/>
      <c r="D1290" s="523"/>
      <c r="E1290" s="523"/>
      <c r="F1290" s="523"/>
      <c r="G1290" s="523"/>
      <c r="H1290" s="589"/>
      <c r="I1290" s="523"/>
      <c r="J1290" s="589"/>
      <c r="K1290" s="589"/>
      <c r="L1290" s="523"/>
      <c r="M1290" s="589"/>
      <c r="N1290" s="523"/>
      <c r="O1290" s="691"/>
      <c r="P1290" s="692"/>
      <c r="Q1290" s="692"/>
      <c r="R1290" s="523"/>
      <c r="S1290" s="523"/>
      <c r="T1290" s="524"/>
      <c r="U1290" s="523"/>
      <c r="V1290" s="523"/>
    </row>
    <row r="1291" spans="1:22" x14ac:dyDescent="0.3">
      <c r="A1291" s="523"/>
      <c r="B1291" s="523"/>
      <c r="C1291" s="523"/>
      <c r="D1291" s="523"/>
      <c r="E1291" s="523"/>
      <c r="F1291" s="523"/>
      <c r="G1291" s="523"/>
      <c r="H1291" s="589"/>
      <c r="I1291" s="523"/>
      <c r="J1291" s="589"/>
      <c r="K1291" s="589"/>
      <c r="L1291" s="523"/>
      <c r="M1291" s="589"/>
      <c r="N1291" s="523"/>
      <c r="O1291" s="524"/>
      <c r="P1291" s="523"/>
      <c r="Q1291" s="523"/>
      <c r="R1291" s="523"/>
      <c r="S1291" s="523"/>
      <c r="T1291" s="524"/>
      <c r="U1291" s="523"/>
      <c r="V1291" s="523"/>
    </row>
    <row r="1292" spans="1:22" x14ac:dyDescent="0.3">
      <c r="A1292" s="523"/>
      <c r="B1292" s="523"/>
      <c r="C1292" s="523"/>
      <c r="D1292" s="523"/>
      <c r="E1292" s="523"/>
      <c r="F1292" s="523"/>
      <c r="G1292" s="523"/>
      <c r="H1292" s="589"/>
      <c r="I1292" s="523"/>
      <c r="J1292" s="589"/>
      <c r="K1292" s="589"/>
      <c r="L1292" s="523"/>
      <c r="M1292" s="589"/>
      <c r="N1292" s="523"/>
      <c r="O1292" s="524"/>
      <c r="P1292" s="523"/>
      <c r="Q1292" s="523"/>
      <c r="R1292" s="523"/>
      <c r="S1292" s="523"/>
      <c r="T1292" s="524"/>
      <c r="U1292" s="523"/>
      <c r="V1292" s="523"/>
    </row>
    <row r="1293" spans="1:22" x14ac:dyDescent="0.3">
      <c r="A1293" s="523"/>
      <c r="B1293" s="523"/>
      <c r="C1293" s="523"/>
      <c r="D1293" s="523"/>
      <c r="E1293" s="523"/>
      <c r="F1293" s="523"/>
      <c r="G1293" s="523"/>
      <c r="H1293" s="589"/>
      <c r="I1293" s="523"/>
      <c r="J1293" s="589"/>
      <c r="K1293" s="589"/>
      <c r="L1293" s="523"/>
      <c r="M1293" s="589"/>
      <c r="N1293" s="523"/>
      <c r="O1293" s="524"/>
      <c r="P1293" s="523"/>
      <c r="Q1293" s="523"/>
      <c r="R1293" s="523"/>
      <c r="S1293" s="523"/>
      <c r="T1293" s="524"/>
      <c r="U1293" s="523"/>
      <c r="V1293" s="523"/>
    </row>
    <row r="1294" spans="1:22" x14ac:dyDescent="0.3">
      <c r="A1294" s="523"/>
      <c r="B1294" s="523"/>
      <c r="C1294" s="523"/>
      <c r="D1294" s="523"/>
      <c r="E1294" s="523"/>
      <c r="F1294" s="523"/>
      <c r="G1294" s="523"/>
      <c r="H1294" s="589"/>
      <c r="I1294" s="523"/>
      <c r="J1294" s="589"/>
      <c r="K1294" s="589"/>
      <c r="L1294" s="523"/>
      <c r="M1294" s="589"/>
      <c r="N1294" s="523"/>
      <c r="O1294" s="524"/>
      <c r="P1294" s="523"/>
      <c r="Q1294" s="523"/>
      <c r="R1294" s="523"/>
      <c r="S1294" s="523"/>
      <c r="T1294" s="524"/>
      <c r="U1294" s="523"/>
      <c r="V1294" s="523"/>
    </row>
    <row r="1295" spans="1:22" x14ac:dyDescent="0.3">
      <c r="A1295" s="523"/>
      <c r="B1295" s="523"/>
      <c r="C1295" s="523"/>
      <c r="D1295" s="523"/>
      <c r="E1295" s="523"/>
      <c r="F1295" s="523"/>
      <c r="G1295" s="523"/>
      <c r="H1295" s="589"/>
      <c r="I1295" s="523"/>
      <c r="J1295" s="589"/>
      <c r="K1295" s="589"/>
      <c r="L1295" s="523"/>
      <c r="M1295" s="589"/>
      <c r="N1295" s="523"/>
      <c r="O1295" s="524"/>
      <c r="P1295" s="523"/>
      <c r="Q1295" s="523"/>
      <c r="R1295" s="523"/>
      <c r="S1295" s="523"/>
      <c r="T1295" s="524"/>
      <c r="U1295" s="523"/>
      <c r="V1295" s="523"/>
    </row>
    <row r="1296" spans="1:22" x14ac:dyDescent="0.3">
      <c r="A1296" s="523"/>
      <c r="B1296" s="523"/>
      <c r="C1296" s="523"/>
      <c r="D1296" s="523"/>
      <c r="E1296" s="523"/>
      <c r="F1296" s="523"/>
      <c r="G1296" s="523"/>
      <c r="H1296" s="589"/>
      <c r="I1296" s="523"/>
      <c r="J1296" s="589"/>
      <c r="K1296" s="589"/>
      <c r="L1296" s="523"/>
      <c r="M1296" s="589"/>
      <c r="N1296" s="523"/>
      <c r="O1296" s="524"/>
      <c r="P1296" s="523"/>
      <c r="Q1296" s="523"/>
      <c r="R1296" s="523"/>
      <c r="S1296" s="523"/>
      <c r="T1296" s="524"/>
      <c r="U1296" s="523"/>
      <c r="V1296" s="523"/>
    </row>
    <row r="1297" spans="1:22" x14ac:dyDescent="0.3">
      <c r="A1297" s="523"/>
      <c r="B1297" s="523"/>
      <c r="C1297" s="523"/>
      <c r="D1297" s="523"/>
      <c r="E1297" s="523"/>
      <c r="F1297" s="523"/>
      <c r="G1297" s="523"/>
      <c r="H1297" s="589"/>
      <c r="I1297" s="523"/>
      <c r="J1297" s="589"/>
      <c r="K1297" s="589"/>
      <c r="L1297" s="523"/>
      <c r="M1297" s="589"/>
      <c r="N1297" s="523"/>
      <c r="O1297" s="524"/>
      <c r="P1297" s="523"/>
      <c r="Q1297" s="523"/>
      <c r="R1297" s="523"/>
      <c r="S1297" s="523"/>
      <c r="T1297" s="524"/>
      <c r="U1297" s="523"/>
      <c r="V1297" s="523"/>
    </row>
    <row r="1298" spans="1:22" x14ac:dyDescent="0.3">
      <c r="A1298" s="523"/>
      <c r="B1298" s="523"/>
      <c r="C1298" s="523"/>
      <c r="D1298" s="523"/>
      <c r="E1298" s="523"/>
      <c r="F1298" s="523"/>
      <c r="G1298" s="523"/>
      <c r="H1298" s="589"/>
      <c r="I1298" s="523"/>
      <c r="J1298" s="589"/>
      <c r="K1298" s="589"/>
      <c r="L1298" s="523"/>
      <c r="M1298" s="589"/>
      <c r="N1298" s="523"/>
      <c r="O1298" s="524"/>
      <c r="P1298" s="523"/>
      <c r="Q1298" s="523"/>
      <c r="R1298" s="523"/>
      <c r="S1298" s="523"/>
      <c r="T1298" s="524"/>
      <c r="U1298" s="523"/>
      <c r="V1298" s="523"/>
    </row>
    <row r="1299" spans="1:22" x14ac:dyDescent="0.3">
      <c r="A1299" s="523"/>
      <c r="B1299" s="523"/>
      <c r="C1299" s="523"/>
      <c r="D1299" s="523"/>
      <c r="E1299" s="523"/>
      <c r="F1299" s="523"/>
      <c r="G1299" s="523"/>
      <c r="H1299" s="589"/>
      <c r="I1299" s="523"/>
      <c r="J1299" s="589"/>
      <c r="K1299" s="589"/>
      <c r="L1299" s="523"/>
      <c r="M1299" s="589"/>
      <c r="N1299" s="523"/>
      <c r="O1299" s="524"/>
      <c r="P1299" s="523"/>
      <c r="Q1299" s="523"/>
      <c r="R1299" s="523"/>
      <c r="S1299" s="523"/>
      <c r="T1299" s="524"/>
      <c r="U1299" s="523"/>
      <c r="V1299" s="523"/>
    </row>
    <row r="1300" spans="1:22" x14ac:dyDescent="0.3">
      <c r="A1300" s="523"/>
      <c r="B1300" s="523"/>
      <c r="C1300" s="523"/>
      <c r="D1300" s="523"/>
      <c r="E1300" s="523"/>
      <c r="F1300" s="523"/>
      <c r="G1300" s="523"/>
      <c r="H1300" s="589"/>
      <c r="I1300" s="523"/>
      <c r="J1300" s="589"/>
      <c r="K1300" s="589"/>
      <c r="L1300" s="523"/>
      <c r="M1300" s="589"/>
      <c r="N1300" s="523"/>
      <c r="O1300" s="524"/>
      <c r="P1300" s="523"/>
      <c r="Q1300" s="523"/>
      <c r="R1300" s="523"/>
      <c r="S1300" s="523"/>
      <c r="T1300" s="524"/>
      <c r="U1300" s="523"/>
      <c r="V1300" s="523"/>
    </row>
    <row r="1301" spans="1:22" x14ac:dyDescent="0.3">
      <c r="A1301" s="523"/>
      <c r="B1301" s="523"/>
      <c r="C1301" s="523"/>
      <c r="D1301" s="523"/>
      <c r="E1301" s="523"/>
      <c r="F1301" s="523"/>
      <c r="G1301" s="523"/>
      <c r="H1301" s="589"/>
      <c r="I1301" s="523"/>
      <c r="J1301" s="589"/>
      <c r="K1301" s="589"/>
      <c r="L1301" s="523"/>
      <c r="M1301" s="589"/>
      <c r="N1301" s="523"/>
      <c r="O1301" s="524"/>
      <c r="P1301" s="523"/>
      <c r="Q1301" s="523"/>
      <c r="R1301" s="523"/>
      <c r="S1301" s="523"/>
      <c r="T1301" s="524"/>
      <c r="U1301" s="523"/>
      <c r="V1301" s="523"/>
    </row>
    <row r="1302" spans="1:22" x14ac:dyDescent="0.3">
      <c r="A1302" s="523"/>
      <c r="B1302" s="523"/>
      <c r="C1302" s="523"/>
      <c r="D1302" s="523"/>
      <c r="E1302" s="523"/>
      <c r="F1302" s="523"/>
      <c r="G1302" s="523"/>
      <c r="H1302" s="589"/>
      <c r="I1302" s="523"/>
      <c r="J1302" s="589"/>
      <c r="K1302" s="589"/>
      <c r="L1302" s="523"/>
      <c r="M1302" s="589"/>
      <c r="N1302" s="523"/>
      <c r="O1302" s="524"/>
      <c r="P1302" s="523"/>
      <c r="Q1302" s="523"/>
      <c r="R1302" s="523"/>
      <c r="S1302" s="523"/>
      <c r="T1302" s="524"/>
      <c r="U1302" s="523"/>
      <c r="V1302" s="523"/>
    </row>
    <row r="1303" spans="1:22" x14ac:dyDescent="0.3">
      <c r="A1303" s="523"/>
      <c r="B1303" s="523"/>
      <c r="C1303" s="523"/>
      <c r="D1303" s="523"/>
      <c r="E1303" s="523"/>
      <c r="F1303" s="523"/>
      <c r="G1303" s="523"/>
      <c r="H1303" s="589"/>
      <c r="I1303" s="523"/>
      <c r="J1303" s="589"/>
      <c r="K1303" s="589"/>
      <c r="L1303" s="523"/>
      <c r="M1303" s="589"/>
      <c r="N1303" s="523"/>
      <c r="O1303" s="524"/>
      <c r="P1303" s="523"/>
      <c r="Q1303" s="523"/>
      <c r="R1303" s="523"/>
      <c r="S1303" s="523"/>
      <c r="T1303" s="524"/>
      <c r="U1303" s="523"/>
      <c r="V1303" s="523"/>
    </row>
    <row r="1304" spans="1:22" x14ac:dyDescent="0.3">
      <c r="A1304" s="523"/>
      <c r="B1304" s="523"/>
      <c r="C1304" s="523"/>
      <c r="D1304" s="523"/>
      <c r="E1304" s="523"/>
      <c r="F1304" s="523"/>
      <c r="G1304" s="523"/>
      <c r="H1304" s="589"/>
      <c r="I1304" s="523"/>
      <c r="J1304" s="589"/>
      <c r="K1304" s="589"/>
      <c r="L1304" s="523"/>
      <c r="M1304" s="589"/>
      <c r="N1304" s="523"/>
      <c r="O1304" s="524"/>
      <c r="P1304" s="523"/>
      <c r="Q1304" s="523"/>
      <c r="R1304" s="523"/>
      <c r="S1304" s="523"/>
      <c r="T1304" s="524"/>
      <c r="U1304" s="523"/>
      <c r="V1304" s="523"/>
    </row>
    <row r="1305" spans="1:22" x14ac:dyDescent="0.3">
      <c r="A1305" s="523"/>
      <c r="B1305" s="523"/>
      <c r="C1305" s="523"/>
      <c r="D1305" s="523"/>
      <c r="E1305" s="523"/>
      <c r="F1305" s="523"/>
      <c r="G1305" s="523"/>
      <c r="H1305" s="589"/>
      <c r="I1305" s="523"/>
      <c r="J1305" s="589"/>
      <c r="K1305" s="589"/>
      <c r="L1305" s="523"/>
      <c r="M1305" s="589"/>
      <c r="N1305" s="523"/>
      <c r="O1305" s="524"/>
      <c r="P1305" s="523"/>
      <c r="Q1305" s="523"/>
      <c r="R1305" s="523"/>
      <c r="S1305" s="523"/>
      <c r="T1305" s="524"/>
      <c r="U1305" s="523"/>
      <c r="V1305" s="523"/>
    </row>
    <row r="1306" spans="1:22" x14ac:dyDescent="0.3">
      <c r="A1306" s="523"/>
      <c r="B1306" s="523"/>
      <c r="C1306" s="523"/>
      <c r="D1306" s="523"/>
      <c r="E1306" s="523"/>
      <c r="F1306" s="523"/>
      <c r="G1306" s="523"/>
      <c r="H1306" s="589"/>
      <c r="I1306" s="523"/>
      <c r="J1306" s="589"/>
      <c r="K1306" s="589"/>
      <c r="L1306" s="523"/>
      <c r="M1306" s="589"/>
      <c r="N1306" s="523"/>
      <c r="O1306" s="524"/>
      <c r="P1306" s="523"/>
      <c r="Q1306" s="523"/>
      <c r="R1306" s="523"/>
      <c r="S1306" s="523"/>
      <c r="T1306" s="524"/>
      <c r="U1306" s="523"/>
      <c r="V1306" s="523"/>
    </row>
    <row r="1307" spans="1:22" x14ac:dyDescent="0.3">
      <c r="A1307" s="523"/>
      <c r="B1307" s="523"/>
      <c r="C1307" s="523"/>
      <c r="D1307" s="523"/>
      <c r="E1307" s="523"/>
      <c r="F1307" s="523"/>
      <c r="G1307" s="523"/>
      <c r="H1307" s="589"/>
      <c r="I1307" s="523"/>
      <c r="J1307" s="589"/>
      <c r="K1307" s="589"/>
      <c r="L1307" s="523"/>
      <c r="M1307" s="589"/>
      <c r="N1307" s="523"/>
      <c r="O1307" s="524"/>
      <c r="P1307" s="523"/>
      <c r="Q1307" s="523"/>
      <c r="R1307" s="523"/>
      <c r="S1307" s="523"/>
      <c r="T1307" s="524"/>
      <c r="U1307" s="523"/>
      <c r="V1307" s="523"/>
    </row>
    <row r="1308" spans="1:22" x14ac:dyDescent="0.3">
      <c r="A1308" s="523"/>
      <c r="B1308" s="523"/>
      <c r="C1308" s="523"/>
      <c r="D1308" s="523"/>
      <c r="E1308" s="523"/>
      <c r="F1308" s="523"/>
      <c r="G1308" s="523"/>
      <c r="H1308" s="589"/>
      <c r="I1308" s="523"/>
      <c r="J1308" s="589"/>
      <c r="K1308" s="589"/>
      <c r="L1308" s="523"/>
      <c r="M1308" s="589"/>
      <c r="N1308" s="523"/>
      <c r="O1308" s="524"/>
      <c r="P1308" s="523"/>
      <c r="Q1308" s="523"/>
      <c r="R1308" s="523"/>
      <c r="S1308" s="523"/>
      <c r="T1308" s="524"/>
      <c r="U1308" s="523"/>
      <c r="V1308" s="523"/>
    </row>
    <row r="1309" spans="1:22" x14ac:dyDescent="0.3">
      <c r="A1309" s="523"/>
      <c r="B1309" s="523"/>
      <c r="C1309" s="523"/>
      <c r="D1309" s="523"/>
      <c r="E1309" s="523"/>
      <c r="F1309" s="523"/>
      <c r="G1309" s="523"/>
      <c r="H1309" s="589"/>
      <c r="I1309" s="523"/>
      <c r="J1309" s="589"/>
      <c r="K1309" s="589"/>
      <c r="L1309" s="523"/>
      <c r="M1309" s="589"/>
      <c r="N1309" s="523"/>
      <c r="O1309" s="524"/>
      <c r="P1309" s="523"/>
      <c r="Q1309" s="523"/>
      <c r="R1309" s="523"/>
      <c r="S1309" s="523"/>
      <c r="T1309" s="524"/>
      <c r="U1309" s="523"/>
      <c r="V1309" s="523"/>
    </row>
    <row r="1310" spans="1:22" x14ac:dyDescent="0.3">
      <c r="A1310" s="523"/>
      <c r="B1310" s="523"/>
      <c r="C1310" s="523"/>
      <c r="D1310" s="523"/>
      <c r="E1310" s="523"/>
      <c r="F1310" s="523"/>
      <c r="G1310" s="523"/>
      <c r="H1310" s="589"/>
      <c r="I1310" s="523"/>
      <c r="J1310" s="589"/>
      <c r="K1310" s="589"/>
      <c r="L1310" s="523"/>
      <c r="M1310" s="589"/>
      <c r="N1310" s="523"/>
      <c r="O1310" s="524"/>
      <c r="P1310" s="523"/>
      <c r="Q1310" s="523"/>
      <c r="R1310" s="523"/>
      <c r="S1310" s="523"/>
      <c r="T1310" s="524"/>
      <c r="U1310" s="523"/>
      <c r="V1310" s="523"/>
    </row>
    <row r="1311" spans="1:22" x14ac:dyDescent="0.3">
      <c r="A1311" s="523"/>
      <c r="B1311" s="523"/>
      <c r="C1311" s="523"/>
      <c r="D1311" s="523"/>
      <c r="E1311" s="523"/>
      <c r="F1311" s="523"/>
      <c r="G1311" s="523"/>
      <c r="H1311" s="589"/>
      <c r="I1311" s="523"/>
      <c r="J1311" s="589"/>
      <c r="K1311" s="589"/>
      <c r="L1311" s="523"/>
      <c r="M1311" s="589"/>
      <c r="N1311" s="523"/>
      <c r="O1311" s="524"/>
      <c r="P1311" s="523"/>
      <c r="Q1311" s="523"/>
      <c r="R1311" s="523"/>
      <c r="S1311" s="523"/>
      <c r="T1311" s="524"/>
      <c r="U1311" s="523"/>
      <c r="V1311" s="523"/>
    </row>
    <row r="1312" spans="1:22" x14ac:dyDescent="0.3">
      <c r="A1312" s="523"/>
      <c r="B1312" s="523"/>
      <c r="C1312" s="523"/>
      <c r="D1312" s="523"/>
      <c r="E1312" s="523"/>
      <c r="F1312" s="523"/>
      <c r="G1312" s="523"/>
      <c r="H1312" s="589"/>
      <c r="I1312" s="523"/>
      <c r="J1312" s="589"/>
      <c r="K1312" s="589"/>
      <c r="L1312" s="523"/>
      <c r="M1312" s="589"/>
      <c r="N1312" s="523"/>
      <c r="O1312" s="524"/>
      <c r="P1312" s="523"/>
      <c r="Q1312" s="523"/>
      <c r="R1312" s="523"/>
      <c r="S1312" s="523"/>
      <c r="T1312" s="524"/>
      <c r="U1312" s="523"/>
      <c r="V1312" s="523"/>
    </row>
    <row r="1313" spans="1:22" x14ac:dyDescent="0.3">
      <c r="A1313" s="523"/>
      <c r="B1313" s="523"/>
      <c r="C1313" s="523"/>
      <c r="D1313" s="523"/>
      <c r="E1313" s="523"/>
      <c r="F1313" s="523"/>
      <c r="G1313" s="523"/>
      <c r="H1313" s="589"/>
      <c r="I1313" s="523"/>
      <c r="J1313" s="589"/>
      <c r="K1313" s="589"/>
      <c r="L1313" s="523"/>
      <c r="M1313" s="589"/>
      <c r="N1313" s="523"/>
      <c r="O1313" s="524"/>
      <c r="P1313" s="523"/>
      <c r="Q1313" s="523"/>
      <c r="R1313" s="523"/>
      <c r="S1313" s="523"/>
      <c r="T1313" s="524"/>
      <c r="U1313" s="523"/>
      <c r="V1313" s="523"/>
    </row>
    <row r="1314" spans="1:22" x14ac:dyDescent="0.3">
      <c r="A1314" s="523"/>
      <c r="B1314" s="523"/>
      <c r="C1314" s="523"/>
      <c r="D1314" s="523"/>
      <c r="E1314" s="523"/>
      <c r="F1314" s="523"/>
      <c r="G1314" s="523"/>
      <c r="H1314" s="589"/>
      <c r="I1314" s="523"/>
      <c r="J1314" s="589"/>
      <c r="K1314" s="589"/>
      <c r="L1314" s="523"/>
      <c r="M1314" s="589"/>
      <c r="N1314" s="523"/>
      <c r="O1314" s="524"/>
      <c r="P1314" s="523"/>
      <c r="Q1314" s="523"/>
      <c r="R1314" s="523"/>
      <c r="S1314" s="523"/>
      <c r="T1314" s="524"/>
      <c r="U1314" s="523"/>
      <c r="V1314" s="523"/>
    </row>
    <row r="1315" spans="1:22" x14ac:dyDescent="0.3">
      <c r="A1315" s="523"/>
      <c r="B1315" s="523"/>
      <c r="C1315" s="523"/>
      <c r="D1315" s="523"/>
      <c r="E1315" s="523"/>
      <c r="F1315" s="523"/>
      <c r="G1315" s="523"/>
      <c r="H1315" s="589"/>
      <c r="I1315" s="523"/>
      <c r="J1315" s="589"/>
      <c r="K1315" s="589"/>
      <c r="L1315" s="523"/>
      <c r="M1315" s="589"/>
      <c r="N1315" s="523"/>
      <c r="O1315" s="524"/>
      <c r="P1315" s="523"/>
      <c r="Q1315" s="523"/>
      <c r="R1315" s="523"/>
      <c r="S1315" s="523"/>
      <c r="T1315" s="524"/>
      <c r="U1315" s="523"/>
      <c r="V1315" s="523"/>
    </row>
    <row r="1316" spans="1:22" x14ac:dyDescent="0.3">
      <c r="A1316" s="523"/>
      <c r="B1316" s="523"/>
      <c r="C1316" s="523"/>
      <c r="D1316" s="523"/>
      <c r="E1316" s="523"/>
      <c r="F1316" s="523"/>
      <c r="G1316" s="523"/>
      <c r="H1316" s="589"/>
      <c r="I1316" s="523"/>
      <c r="J1316" s="589"/>
      <c r="K1316" s="589"/>
      <c r="L1316" s="523"/>
      <c r="M1316" s="589"/>
      <c r="N1316" s="523"/>
      <c r="O1316" s="524"/>
      <c r="P1316" s="523"/>
      <c r="Q1316" s="523"/>
      <c r="R1316" s="523"/>
      <c r="S1316" s="523"/>
      <c r="T1316" s="524"/>
      <c r="U1316" s="523"/>
      <c r="V1316" s="523"/>
    </row>
    <row r="1317" spans="1:22" x14ac:dyDescent="0.3">
      <c r="A1317" s="523"/>
      <c r="B1317" s="523"/>
      <c r="C1317" s="523"/>
      <c r="D1317" s="523"/>
      <c r="E1317" s="523"/>
      <c r="F1317" s="523"/>
      <c r="G1317" s="523"/>
      <c r="H1317" s="589"/>
      <c r="I1317" s="523"/>
      <c r="J1317" s="589"/>
      <c r="K1317" s="589"/>
      <c r="L1317" s="523"/>
      <c r="M1317" s="589"/>
      <c r="N1317" s="523"/>
      <c r="O1317" s="524"/>
      <c r="P1317" s="523"/>
      <c r="Q1317" s="523"/>
      <c r="R1317" s="523"/>
      <c r="S1317" s="523"/>
      <c r="T1317" s="524"/>
      <c r="U1317" s="523"/>
      <c r="V1317" s="523"/>
    </row>
    <row r="1318" spans="1:22" x14ac:dyDescent="0.3">
      <c r="A1318" s="523"/>
      <c r="B1318" s="523"/>
      <c r="C1318" s="523"/>
      <c r="D1318" s="523"/>
      <c r="E1318" s="523"/>
      <c r="F1318" s="523"/>
      <c r="G1318" s="523"/>
      <c r="H1318" s="589"/>
      <c r="I1318" s="523"/>
      <c r="J1318" s="589"/>
      <c r="K1318" s="589"/>
      <c r="L1318" s="523"/>
      <c r="M1318" s="589"/>
      <c r="N1318" s="523"/>
      <c r="O1318" s="524"/>
      <c r="P1318" s="523"/>
      <c r="Q1318" s="523"/>
      <c r="R1318" s="523"/>
      <c r="S1318" s="523"/>
      <c r="T1318" s="524"/>
      <c r="U1318" s="523"/>
      <c r="V1318" s="523"/>
    </row>
    <row r="1319" spans="1:22" x14ac:dyDescent="0.3">
      <c r="A1319" s="523"/>
      <c r="B1319" s="523"/>
      <c r="C1319" s="523"/>
      <c r="D1319" s="523"/>
      <c r="E1319" s="523"/>
      <c r="F1319" s="523"/>
      <c r="G1319" s="523"/>
      <c r="H1319" s="589"/>
      <c r="I1319" s="523"/>
      <c r="J1319" s="589"/>
      <c r="K1319" s="589"/>
      <c r="L1319" s="523"/>
      <c r="M1319" s="589"/>
      <c r="N1319" s="523"/>
      <c r="O1319" s="524"/>
      <c r="P1319" s="523"/>
      <c r="Q1319" s="523"/>
      <c r="R1319" s="523"/>
      <c r="S1319" s="523"/>
      <c r="T1319" s="524"/>
      <c r="U1319" s="523"/>
      <c r="V1319" s="523"/>
    </row>
    <row r="1320" spans="1:22" x14ac:dyDescent="0.3">
      <c r="A1320" s="523"/>
      <c r="B1320" s="523"/>
      <c r="C1320" s="523"/>
      <c r="D1320" s="523"/>
      <c r="E1320" s="523"/>
      <c r="F1320" s="523"/>
      <c r="G1320" s="523"/>
      <c r="H1320" s="589"/>
      <c r="I1320" s="523"/>
      <c r="J1320" s="589"/>
      <c r="K1320" s="589"/>
      <c r="L1320" s="523"/>
      <c r="M1320" s="589"/>
      <c r="N1320" s="523"/>
      <c r="O1320" s="524"/>
      <c r="P1320" s="523"/>
      <c r="Q1320" s="523"/>
      <c r="R1320" s="523"/>
      <c r="S1320" s="523"/>
      <c r="T1320" s="524"/>
      <c r="U1320" s="523"/>
      <c r="V1320" s="523"/>
    </row>
    <row r="1321" spans="1:22" x14ac:dyDescent="0.3">
      <c r="A1321" s="523"/>
      <c r="B1321" s="523"/>
      <c r="C1321" s="523"/>
      <c r="D1321" s="523"/>
      <c r="E1321" s="523"/>
      <c r="F1321" s="523"/>
      <c r="G1321" s="523"/>
      <c r="H1321" s="589"/>
      <c r="I1321" s="523"/>
      <c r="J1321" s="589"/>
      <c r="K1321" s="589"/>
      <c r="L1321" s="523"/>
      <c r="M1321" s="589"/>
      <c r="N1321" s="523"/>
      <c r="O1321" s="524"/>
      <c r="P1321" s="523"/>
      <c r="Q1321" s="523"/>
      <c r="R1321" s="523"/>
      <c r="S1321" s="523"/>
      <c r="T1321" s="524"/>
      <c r="U1321" s="523"/>
      <c r="V1321" s="523"/>
    </row>
    <row r="1322" spans="1:22" x14ac:dyDescent="0.3">
      <c r="A1322" s="523"/>
      <c r="B1322" s="523"/>
      <c r="C1322" s="523"/>
      <c r="D1322" s="523"/>
      <c r="E1322" s="523"/>
      <c r="F1322" s="523"/>
      <c r="G1322" s="523"/>
      <c r="H1322" s="589"/>
      <c r="I1322" s="523"/>
      <c r="J1322" s="589"/>
      <c r="K1322" s="589"/>
      <c r="L1322" s="523"/>
      <c r="M1322" s="589"/>
      <c r="N1322" s="523"/>
      <c r="O1322" s="524"/>
      <c r="P1322" s="523"/>
      <c r="Q1322" s="523"/>
      <c r="R1322" s="523"/>
      <c r="S1322" s="523"/>
      <c r="T1322" s="524"/>
      <c r="U1322" s="523"/>
      <c r="V1322" s="523"/>
    </row>
    <row r="1323" spans="1:22" x14ac:dyDescent="0.3">
      <c r="A1323" s="523"/>
      <c r="B1323" s="523"/>
      <c r="C1323" s="523"/>
      <c r="D1323" s="523"/>
      <c r="E1323" s="523"/>
      <c r="F1323" s="523"/>
      <c r="G1323" s="523"/>
      <c r="H1323" s="589"/>
      <c r="I1323" s="523"/>
      <c r="J1323" s="589"/>
      <c r="K1323" s="589"/>
      <c r="L1323" s="523"/>
      <c r="M1323" s="589"/>
      <c r="N1323" s="523"/>
      <c r="O1323" s="524"/>
      <c r="P1323" s="523"/>
      <c r="Q1323" s="523"/>
      <c r="R1323" s="523"/>
      <c r="S1323" s="523"/>
      <c r="T1323" s="524"/>
      <c r="U1323" s="523"/>
      <c r="V1323" s="523"/>
    </row>
    <row r="1324" spans="1:22" x14ac:dyDescent="0.3">
      <c r="A1324" s="523"/>
      <c r="B1324" s="523"/>
      <c r="C1324" s="523"/>
      <c r="D1324" s="523"/>
      <c r="E1324" s="523"/>
      <c r="F1324" s="523"/>
      <c r="G1324" s="523"/>
      <c r="H1324" s="589"/>
      <c r="I1324" s="523"/>
      <c r="J1324" s="589"/>
      <c r="K1324" s="589"/>
      <c r="L1324" s="523"/>
      <c r="M1324" s="589"/>
      <c r="N1324" s="523"/>
      <c r="O1324" s="524"/>
      <c r="P1324" s="523"/>
      <c r="Q1324" s="523"/>
      <c r="R1324" s="523"/>
      <c r="S1324" s="523"/>
      <c r="T1324" s="524"/>
      <c r="U1324" s="523"/>
      <c r="V1324" s="523"/>
    </row>
    <row r="1325" spans="1:22" x14ac:dyDescent="0.3">
      <c r="A1325" s="523"/>
      <c r="B1325" s="523"/>
      <c r="C1325" s="523"/>
      <c r="D1325" s="523"/>
      <c r="E1325" s="523"/>
      <c r="F1325" s="523"/>
      <c r="G1325" s="523"/>
      <c r="H1325" s="589"/>
      <c r="I1325" s="523"/>
      <c r="J1325" s="589"/>
      <c r="K1325" s="589"/>
      <c r="L1325" s="523"/>
      <c r="M1325" s="589"/>
      <c r="N1325" s="523"/>
      <c r="O1325" s="524"/>
      <c r="P1325" s="523"/>
      <c r="Q1325" s="523"/>
      <c r="R1325" s="523"/>
      <c r="S1325" s="523"/>
      <c r="T1325" s="524"/>
      <c r="U1325" s="523"/>
      <c r="V1325" s="523"/>
    </row>
    <row r="1326" spans="1:22" x14ac:dyDescent="0.3">
      <c r="A1326" s="523"/>
      <c r="B1326" s="523"/>
      <c r="C1326" s="523"/>
      <c r="D1326" s="523"/>
      <c r="E1326" s="523"/>
      <c r="F1326" s="523"/>
      <c r="G1326" s="523"/>
      <c r="H1326" s="589"/>
      <c r="I1326" s="523"/>
      <c r="J1326" s="589"/>
      <c r="K1326" s="589"/>
      <c r="L1326" s="523"/>
      <c r="M1326" s="589"/>
      <c r="N1326" s="523"/>
      <c r="O1326" s="524"/>
      <c r="P1326" s="523"/>
      <c r="Q1326" s="523"/>
      <c r="R1326" s="523"/>
      <c r="S1326" s="523"/>
      <c r="T1326" s="524"/>
      <c r="U1326" s="523"/>
      <c r="V1326" s="523"/>
    </row>
    <row r="1327" spans="1:22" x14ac:dyDescent="0.3">
      <c r="A1327" s="523"/>
      <c r="B1327" s="523"/>
      <c r="C1327" s="523"/>
      <c r="D1327" s="523"/>
      <c r="E1327" s="523"/>
      <c r="F1327" s="523"/>
      <c r="G1327" s="523"/>
      <c r="H1327" s="589"/>
      <c r="I1327" s="523"/>
      <c r="J1327" s="589"/>
      <c r="K1327" s="589"/>
      <c r="L1327" s="523"/>
      <c r="M1327" s="589"/>
      <c r="N1327" s="523"/>
      <c r="O1327" s="524"/>
      <c r="P1327" s="523"/>
      <c r="Q1327" s="523"/>
      <c r="R1327" s="523"/>
      <c r="S1327" s="523"/>
      <c r="T1327" s="524"/>
      <c r="U1327" s="523"/>
      <c r="V1327" s="523"/>
    </row>
    <row r="1328" spans="1:22" x14ac:dyDescent="0.3">
      <c r="A1328" s="523"/>
      <c r="B1328" s="523"/>
      <c r="C1328" s="523"/>
      <c r="D1328" s="523"/>
      <c r="E1328" s="523"/>
      <c r="F1328" s="523"/>
      <c r="G1328" s="523"/>
      <c r="H1328" s="589"/>
      <c r="I1328" s="523"/>
      <c r="J1328" s="589"/>
      <c r="K1328" s="589"/>
      <c r="L1328" s="523"/>
      <c r="M1328" s="589"/>
      <c r="N1328" s="523"/>
      <c r="O1328" s="524"/>
      <c r="P1328" s="523"/>
      <c r="Q1328" s="523"/>
      <c r="R1328" s="523"/>
      <c r="S1328" s="523"/>
      <c r="T1328" s="524"/>
      <c r="U1328" s="523"/>
      <c r="V1328" s="523"/>
    </row>
    <row r="1329" spans="1:22" x14ac:dyDescent="0.3">
      <c r="A1329" s="523"/>
      <c r="B1329" s="523"/>
      <c r="C1329" s="523"/>
      <c r="D1329" s="523"/>
      <c r="E1329" s="523"/>
      <c r="F1329" s="523"/>
      <c r="G1329" s="523"/>
      <c r="H1329" s="589"/>
      <c r="I1329" s="523"/>
      <c r="J1329" s="589"/>
      <c r="K1329" s="589"/>
      <c r="L1329" s="523"/>
      <c r="M1329" s="589"/>
      <c r="N1329" s="523"/>
      <c r="O1329" s="524"/>
      <c r="P1329" s="523"/>
      <c r="Q1329" s="523"/>
      <c r="R1329" s="523"/>
      <c r="S1329" s="523"/>
      <c r="T1329" s="524"/>
      <c r="U1329" s="523"/>
      <c r="V1329" s="523"/>
    </row>
    <row r="1330" spans="1:22" x14ac:dyDescent="0.3">
      <c r="A1330" s="523"/>
      <c r="B1330" s="523"/>
      <c r="C1330" s="523"/>
      <c r="D1330" s="523"/>
      <c r="E1330" s="523"/>
      <c r="F1330" s="523"/>
      <c r="G1330" s="523"/>
      <c r="H1330" s="589"/>
      <c r="I1330" s="523"/>
      <c r="J1330" s="589"/>
      <c r="K1330" s="589"/>
      <c r="L1330" s="523"/>
      <c r="M1330" s="589"/>
      <c r="N1330" s="523"/>
      <c r="O1330" s="524"/>
      <c r="P1330" s="523"/>
      <c r="Q1330" s="523"/>
      <c r="R1330" s="523"/>
      <c r="S1330" s="523"/>
      <c r="T1330" s="524"/>
      <c r="U1330" s="523"/>
      <c r="V1330" s="523"/>
    </row>
    <row r="1331" spans="1:22" x14ac:dyDescent="0.3">
      <c r="A1331" s="523"/>
      <c r="B1331" s="523"/>
      <c r="C1331" s="523"/>
      <c r="D1331" s="523"/>
      <c r="E1331" s="523"/>
      <c r="F1331" s="523"/>
      <c r="G1331" s="523"/>
      <c r="H1331" s="589"/>
      <c r="I1331" s="523"/>
      <c r="J1331" s="589"/>
      <c r="K1331" s="589"/>
      <c r="L1331" s="523"/>
      <c r="M1331" s="589"/>
      <c r="N1331" s="523"/>
      <c r="O1331" s="524"/>
      <c r="P1331" s="523"/>
      <c r="Q1331" s="523"/>
      <c r="R1331" s="523"/>
      <c r="S1331" s="523"/>
      <c r="T1331" s="524"/>
      <c r="U1331" s="523"/>
      <c r="V1331" s="523"/>
    </row>
    <row r="1332" spans="1:22" x14ac:dyDescent="0.3">
      <c r="A1332" s="523"/>
      <c r="B1332" s="523"/>
      <c r="C1332" s="523"/>
      <c r="D1332" s="523"/>
      <c r="E1332" s="523"/>
      <c r="F1332" s="523"/>
      <c r="G1332" s="523"/>
      <c r="H1332" s="589"/>
      <c r="I1332" s="523"/>
      <c r="J1332" s="589"/>
      <c r="K1332" s="589"/>
      <c r="L1332" s="523"/>
      <c r="M1332" s="589"/>
      <c r="N1332" s="523"/>
      <c r="O1332" s="524"/>
      <c r="P1332" s="523"/>
      <c r="Q1332" s="523"/>
      <c r="R1332" s="523"/>
      <c r="S1332" s="523"/>
      <c r="T1332" s="524"/>
      <c r="U1332" s="523"/>
      <c r="V1332" s="523"/>
    </row>
    <row r="1333" spans="1:22" x14ac:dyDescent="0.3">
      <c r="A1333" s="523"/>
      <c r="B1333" s="523"/>
      <c r="C1333" s="523"/>
      <c r="D1333" s="523"/>
      <c r="E1333" s="523"/>
      <c r="F1333" s="523"/>
      <c r="G1333" s="523"/>
      <c r="H1333" s="589"/>
      <c r="I1333" s="523"/>
      <c r="J1333" s="589"/>
      <c r="K1333" s="589"/>
      <c r="L1333" s="523"/>
      <c r="M1333" s="589"/>
      <c r="N1333" s="523"/>
      <c r="O1333" s="524"/>
      <c r="P1333" s="523"/>
      <c r="Q1333" s="523"/>
      <c r="R1333" s="523"/>
      <c r="S1333" s="523"/>
      <c r="T1333" s="524"/>
      <c r="U1333" s="523"/>
      <c r="V1333" s="523"/>
    </row>
    <row r="1334" spans="1:22" x14ac:dyDescent="0.3">
      <c r="A1334" s="523"/>
      <c r="B1334" s="523"/>
      <c r="C1334" s="523"/>
      <c r="D1334" s="523"/>
      <c r="E1334" s="523"/>
      <c r="F1334" s="523"/>
      <c r="G1334" s="523"/>
      <c r="H1334" s="589"/>
      <c r="I1334" s="523"/>
      <c r="J1334" s="589"/>
      <c r="K1334" s="589"/>
      <c r="L1334" s="523"/>
      <c r="M1334" s="589"/>
      <c r="N1334" s="523"/>
      <c r="O1334" s="524"/>
      <c r="P1334" s="523"/>
      <c r="Q1334" s="523"/>
      <c r="R1334" s="523"/>
      <c r="S1334" s="523"/>
      <c r="T1334" s="524"/>
      <c r="U1334" s="523"/>
      <c r="V1334" s="523"/>
    </row>
    <row r="1335" spans="1:22" x14ac:dyDescent="0.3">
      <c r="A1335" s="523"/>
      <c r="B1335" s="523"/>
      <c r="C1335" s="523"/>
      <c r="D1335" s="523"/>
      <c r="E1335" s="523"/>
      <c r="F1335" s="523"/>
      <c r="G1335" s="523"/>
      <c r="H1335" s="589"/>
      <c r="I1335" s="523"/>
      <c r="J1335" s="589"/>
      <c r="K1335" s="589"/>
      <c r="L1335" s="523"/>
      <c r="M1335" s="589"/>
      <c r="N1335" s="523"/>
      <c r="O1335" s="524"/>
      <c r="P1335" s="523"/>
      <c r="Q1335" s="523"/>
      <c r="R1335" s="523"/>
      <c r="S1335" s="523"/>
      <c r="T1335" s="524"/>
      <c r="U1335" s="523"/>
      <c r="V1335" s="523"/>
    </row>
    <row r="1336" spans="1:22" x14ac:dyDescent="0.3">
      <c r="A1336" s="523"/>
      <c r="B1336" s="523"/>
      <c r="C1336" s="523"/>
      <c r="D1336" s="523"/>
      <c r="E1336" s="523"/>
      <c r="F1336" s="523"/>
      <c r="G1336" s="523"/>
      <c r="H1336" s="589"/>
      <c r="I1336" s="523"/>
      <c r="J1336" s="589"/>
      <c r="K1336" s="589"/>
      <c r="L1336" s="523"/>
      <c r="M1336" s="589"/>
      <c r="N1336" s="523"/>
      <c r="O1336" s="524"/>
      <c r="P1336" s="523"/>
      <c r="Q1336" s="523"/>
      <c r="R1336" s="523"/>
      <c r="S1336" s="523"/>
      <c r="T1336" s="524"/>
      <c r="U1336" s="523"/>
      <c r="V1336" s="523"/>
    </row>
    <row r="1337" spans="1:22" x14ac:dyDescent="0.3">
      <c r="A1337" s="523"/>
      <c r="B1337" s="523"/>
      <c r="C1337" s="523"/>
      <c r="D1337" s="523"/>
      <c r="E1337" s="523"/>
      <c r="F1337" s="523"/>
      <c r="G1337" s="523"/>
      <c r="H1337" s="589"/>
      <c r="I1337" s="523"/>
      <c r="J1337" s="589"/>
      <c r="K1337" s="589"/>
      <c r="L1337" s="523"/>
      <c r="M1337" s="589"/>
      <c r="N1337" s="523"/>
      <c r="O1337" s="524"/>
      <c r="P1337" s="523"/>
      <c r="Q1337" s="523"/>
      <c r="R1337" s="523"/>
      <c r="S1337" s="523"/>
      <c r="T1337" s="524"/>
      <c r="U1337" s="523"/>
      <c r="V1337" s="523"/>
    </row>
    <row r="1338" spans="1:22" x14ac:dyDescent="0.3">
      <c r="A1338" s="523"/>
      <c r="B1338" s="523"/>
      <c r="C1338" s="523"/>
      <c r="D1338" s="523"/>
      <c r="E1338" s="523"/>
      <c r="F1338" s="523"/>
      <c r="G1338" s="523"/>
      <c r="H1338" s="589"/>
      <c r="I1338" s="523"/>
      <c r="J1338" s="589"/>
      <c r="K1338" s="589"/>
      <c r="L1338" s="523"/>
      <c r="M1338" s="589"/>
      <c r="N1338" s="523"/>
      <c r="O1338" s="524"/>
      <c r="P1338" s="523"/>
      <c r="Q1338" s="523"/>
      <c r="R1338" s="523"/>
      <c r="S1338" s="523"/>
      <c r="T1338" s="524"/>
      <c r="U1338" s="523"/>
      <c r="V1338" s="523"/>
    </row>
    <row r="1339" spans="1:22" x14ac:dyDescent="0.3">
      <c r="A1339" s="523"/>
      <c r="B1339" s="523"/>
      <c r="C1339" s="523"/>
      <c r="D1339" s="523"/>
      <c r="E1339" s="523"/>
      <c r="F1339" s="523"/>
      <c r="G1339" s="523"/>
      <c r="H1339" s="589"/>
      <c r="I1339" s="523"/>
      <c r="J1339" s="589"/>
      <c r="K1339" s="589"/>
      <c r="L1339" s="523"/>
      <c r="M1339" s="589"/>
      <c r="N1339" s="523"/>
      <c r="O1339" s="524"/>
      <c r="P1339" s="523"/>
      <c r="Q1339" s="523"/>
      <c r="R1339" s="523"/>
      <c r="S1339" s="523"/>
      <c r="T1339" s="524"/>
      <c r="U1339" s="523"/>
      <c r="V1339" s="523"/>
    </row>
    <row r="1340" spans="1:22" x14ac:dyDescent="0.3">
      <c r="A1340" s="523"/>
      <c r="B1340" s="523"/>
      <c r="C1340" s="523"/>
      <c r="D1340" s="523"/>
      <c r="E1340" s="523"/>
      <c r="F1340" s="523"/>
      <c r="G1340" s="523"/>
      <c r="H1340" s="589"/>
      <c r="I1340" s="523"/>
      <c r="J1340" s="589"/>
      <c r="K1340" s="589"/>
      <c r="L1340" s="523"/>
      <c r="M1340" s="589"/>
      <c r="N1340" s="523"/>
      <c r="O1340" s="524"/>
      <c r="P1340" s="523"/>
      <c r="Q1340" s="523"/>
      <c r="R1340" s="523"/>
      <c r="S1340" s="523"/>
      <c r="T1340" s="524"/>
      <c r="U1340" s="523"/>
      <c r="V1340" s="523"/>
    </row>
    <row r="1341" spans="1:22" x14ac:dyDescent="0.3">
      <c r="A1341" s="523"/>
      <c r="B1341" s="523"/>
      <c r="C1341" s="523"/>
      <c r="D1341" s="523"/>
      <c r="E1341" s="523"/>
      <c r="F1341" s="523"/>
      <c r="G1341" s="523"/>
      <c r="H1341" s="589"/>
      <c r="I1341" s="523"/>
      <c r="J1341" s="589"/>
      <c r="K1341" s="589"/>
      <c r="L1341" s="523"/>
      <c r="M1341" s="589"/>
      <c r="N1341" s="523"/>
      <c r="O1341" s="524"/>
      <c r="P1341" s="523"/>
      <c r="Q1341" s="523"/>
      <c r="R1341" s="523"/>
      <c r="S1341" s="523"/>
      <c r="T1341" s="524"/>
      <c r="U1341" s="523"/>
      <c r="V1341" s="523"/>
    </row>
    <row r="1342" spans="1:22" x14ac:dyDescent="0.3">
      <c r="A1342" s="523"/>
      <c r="B1342" s="523"/>
      <c r="C1342" s="523"/>
      <c r="D1342" s="523"/>
      <c r="E1342" s="523"/>
      <c r="F1342" s="523"/>
      <c r="G1342" s="523"/>
      <c r="H1342" s="589"/>
      <c r="I1342" s="523"/>
      <c r="J1342" s="589"/>
      <c r="K1342" s="589"/>
      <c r="L1342" s="523"/>
      <c r="M1342" s="589"/>
      <c r="N1342" s="523"/>
      <c r="O1342" s="524"/>
      <c r="P1342" s="523"/>
      <c r="Q1342" s="523"/>
      <c r="R1342" s="523"/>
      <c r="S1342" s="523"/>
      <c r="T1342" s="524"/>
      <c r="U1342" s="523"/>
      <c r="V1342" s="523"/>
    </row>
    <row r="1343" spans="1:22" x14ac:dyDescent="0.3">
      <c r="A1343" s="523"/>
      <c r="B1343" s="523"/>
      <c r="C1343" s="523"/>
      <c r="D1343" s="523"/>
      <c r="E1343" s="523"/>
      <c r="F1343" s="523"/>
      <c r="G1343" s="523"/>
      <c r="H1343" s="589"/>
      <c r="I1343" s="523"/>
      <c r="J1343" s="589"/>
      <c r="K1343" s="589"/>
      <c r="L1343" s="523"/>
      <c r="M1343" s="589"/>
      <c r="N1343" s="523"/>
      <c r="O1343" s="524"/>
      <c r="P1343" s="523"/>
      <c r="Q1343" s="523"/>
      <c r="R1343" s="523"/>
      <c r="S1343" s="523"/>
      <c r="T1343" s="524"/>
      <c r="U1343" s="523"/>
      <c r="V1343" s="523"/>
    </row>
    <row r="1344" spans="1:22" x14ac:dyDescent="0.3">
      <c r="A1344" s="523"/>
      <c r="B1344" s="523"/>
      <c r="C1344" s="523"/>
      <c r="D1344" s="523"/>
      <c r="E1344" s="523"/>
      <c r="F1344" s="523"/>
      <c r="G1344" s="523"/>
      <c r="H1344" s="589"/>
      <c r="I1344" s="523"/>
      <c r="J1344" s="589"/>
      <c r="K1344" s="589"/>
      <c r="L1344" s="523"/>
      <c r="M1344" s="589"/>
      <c r="N1344" s="523"/>
      <c r="O1344" s="524"/>
      <c r="P1344" s="523"/>
      <c r="Q1344" s="523"/>
      <c r="R1344" s="523"/>
      <c r="S1344" s="523"/>
      <c r="T1344" s="524"/>
      <c r="U1344" s="523"/>
      <c r="V1344" s="523"/>
    </row>
  </sheetData>
  <sortState xmlns:xlrd2="http://schemas.microsoft.com/office/spreadsheetml/2017/richdata2" ref="A5:V204">
    <sortCondition ref="O4"/>
  </sortState>
  <mergeCells count="17">
    <mergeCell ref="A1:V1"/>
    <mergeCell ref="G2:G3"/>
    <mergeCell ref="H2:J2"/>
    <mergeCell ref="K2:M2"/>
    <mergeCell ref="N2:N3"/>
    <mergeCell ref="P2:P3"/>
    <mergeCell ref="O2:O3"/>
    <mergeCell ref="A2:A3"/>
    <mergeCell ref="B2:B3"/>
    <mergeCell ref="C2:C3"/>
    <mergeCell ref="D2:D3"/>
    <mergeCell ref="E2:E3"/>
    <mergeCell ref="F2:F3"/>
    <mergeCell ref="Q2:S2"/>
    <mergeCell ref="T2:T3"/>
    <mergeCell ref="U2:U3"/>
    <mergeCell ref="V2:V3"/>
  </mergeCells>
  <hyperlinks>
    <hyperlink ref="N6" r:id="rId1" xr:uid="{00000000-0004-0000-0000-000000000000}"/>
    <hyperlink ref="N10" r:id="rId2" xr:uid="{00000000-0004-0000-0000-000001000000}"/>
    <hyperlink ref="N5" r:id="rId3" xr:uid="{00000000-0004-0000-0000-000002000000}"/>
    <hyperlink ref="N7" r:id="rId4" xr:uid="{00000000-0004-0000-0000-000003000000}"/>
    <hyperlink ref="N8" r:id="rId5" xr:uid="{00000000-0004-0000-0000-000004000000}"/>
    <hyperlink ref="N11" r:id="rId6" xr:uid="{00000000-0004-0000-0000-000005000000}"/>
    <hyperlink ref="N12" r:id="rId7" xr:uid="{00000000-0004-0000-0000-000006000000}"/>
    <hyperlink ref="N13" r:id="rId8" xr:uid="{00000000-0004-0000-0000-000007000000}"/>
    <hyperlink ref="N14" r:id="rId9" xr:uid="{00000000-0004-0000-0000-000008000000}"/>
    <hyperlink ref="N15" r:id="rId10" xr:uid="{00000000-0004-0000-0000-000009000000}"/>
    <hyperlink ref="N16" r:id="rId11" xr:uid="{00000000-0004-0000-0000-00000A000000}"/>
    <hyperlink ref="N9" r:id="rId12" xr:uid="{00000000-0004-0000-0000-00000B000000}"/>
    <hyperlink ref="N17" r:id="rId13" xr:uid="{00000000-0004-0000-0000-00000C000000}"/>
    <hyperlink ref="N18" r:id="rId14" xr:uid="{00000000-0004-0000-0000-00000D000000}"/>
    <hyperlink ref="P18" r:id="rId15" display="https://my.zakupki.prom.ua/remote/dispatcher/state_purchase_view/39591644" xr:uid="{00000000-0004-0000-0000-00000E000000}"/>
    <hyperlink ref="N19" r:id="rId16" xr:uid="{00000000-0004-0000-0000-00000F000000}"/>
    <hyperlink ref="P19" r:id="rId17" display="https://my.zakupki.prom.ua/remote/dispatcher/state_purchase_view/39730352" xr:uid="{00000000-0004-0000-0000-000010000000}"/>
    <hyperlink ref="P20" r:id="rId18" display="https://my.zakupki.prom.ua/remote/dispatcher/state_purchase_view/40092155" xr:uid="{00000000-0004-0000-0000-000011000000}"/>
    <hyperlink ref="P21" r:id="rId19" display="https://my.zakupki.prom.ua/remote/dispatcher/state_purchase_view/40092152" xr:uid="{00000000-0004-0000-0000-000012000000}"/>
    <hyperlink ref="P22" r:id="rId20" display="https://my.zakupki.prom.ua/remote/dispatcher/state_purchase_view/40091969" xr:uid="{00000000-0004-0000-0000-000013000000}"/>
    <hyperlink ref="P23" r:id="rId21" display="https://my.zakupki.prom.ua/remote/dispatcher/state_purchase_view/40091965" xr:uid="{00000000-0004-0000-0000-000014000000}"/>
    <hyperlink ref="N20" r:id="rId22" xr:uid="{00000000-0004-0000-0000-000015000000}"/>
    <hyperlink ref="N21" r:id="rId23" xr:uid="{00000000-0004-0000-0000-000016000000}"/>
    <hyperlink ref="N22" r:id="rId24" xr:uid="{00000000-0004-0000-0000-000017000000}"/>
    <hyperlink ref="N23" r:id="rId25" xr:uid="{00000000-0004-0000-0000-000018000000}"/>
    <hyperlink ref="N24" r:id="rId26" xr:uid="{00000000-0004-0000-0000-000019000000}"/>
    <hyperlink ref="P24" r:id="rId27" display="https://my.zakupki.prom.ua/remote/dispatcher/state_purchase_view/40312420" xr:uid="{00000000-0004-0000-0000-00001A000000}"/>
    <hyperlink ref="N25" r:id="rId28" xr:uid="{00000000-0004-0000-0000-00001B000000}"/>
    <hyperlink ref="N26" r:id="rId29" xr:uid="{00000000-0004-0000-0000-00001C000000}"/>
    <hyperlink ref="P26" r:id="rId30" display="https://my.zakupki.prom.ua/remote/dispatcher/state_purchase_view/40518990" xr:uid="{00000000-0004-0000-0000-00001D000000}"/>
    <hyperlink ref="P105" r:id="rId31" display="https://my.zakupki.prom.ua/remote/dispatcher/state_purchase_view/41576956" xr:uid="{00000000-0004-0000-0000-00001E000000}"/>
    <hyperlink ref="P106" r:id="rId32" display="https://my.zakupki.prom.ua/remote/dispatcher/state_purchase_view/41563913" xr:uid="{00000000-0004-0000-0000-00001F000000}"/>
    <hyperlink ref="P103" r:id="rId33" display="https://my.zakupki.prom.ua/remote/dispatcher/state_purchase_view/41550489" xr:uid="{00000000-0004-0000-0000-000020000000}"/>
    <hyperlink ref="P104" r:id="rId34" display="https://my.zakupki.prom.ua/remote/dispatcher/state_purchase_view/41548910" xr:uid="{00000000-0004-0000-0000-000021000000}"/>
    <hyperlink ref="P85" r:id="rId35" display="https://my.zakupki.prom.ua/remote/dispatcher/state_purchase_view/41521877" xr:uid="{00000000-0004-0000-0000-000022000000}"/>
    <hyperlink ref="P86" r:id="rId36" display="https://my.zakupki.prom.ua/remote/dispatcher/state_purchase_view/41521176" xr:uid="{00000000-0004-0000-0000-000023000000}"/>
    <hyperlink ref="P87" r:id="rId37" display="https://my.zakupki.prom.ua/remote/dispatcher/state_purchase_view/41520898" xr:uid="{00000000-0004-0000-0000-000024000000}"/>
    <hyperlink ref="P88" r:id="rId38" display="https://my.zakupki.prom.ua/remote/dispatcher/state_purchase_view/41520613" xr:uid="{00000000-0004-0000-0000-000025000000}"/>
    <hyperlink ref="P89" r:id="rId39" display="https://my.zakupki.prom.ua/remote/dispatcher/state_purchase_view/41520444" xr:uid="{00000000-0004-0000-0000-000026000000}"/>
    <hyperlink ref="P90" r:id="rId40" display="https://my.zakupki.prom.ua/remote/dispatcher/state_purchase_view/41520379" xr:uid="{00000000-0004-0000-0000-000027000000}"/>
    <hyperlink ref="P91" r:id="rId41" display="https://my.zakupki.prom.ua/remote/dispatcher/state_purchase_view/41520214" xr:uid="{00000000-0004-0000-0000-000028000000}"/>
    <hyperlink ref="P92" r:id="rId42" display="https://my.zakupki.prom.ua/remote/dispatcher/state_purchase_view/41520193" xr:uid="{00000000-0004-0000-0000-000029000000}"/>
    <hyperlink ref="P93" r:id="rId43" display="https://my.zakupki.prom.ua/remote/dispatcher/state_purchase_view/41520067" xr:uid="{00000000-0004-0000-0000-00002A000000}"/>
    <hyperlink ref="P94" r:id="rId44" display="https://my.zakupki.prom.ua/remote/dispatcher/state_purchase_view/41519874" xr:uid="{00000000-0004-0000-0000-00002B000000}"/>
    <hyperlink ref="P95" r:id="rId45" display="https://my.zakupki.prom.ua/remote/dispatcher/state_purchase_view/41519753" xr:uid="{00000000-0004-0000-0000-00002C000000}"/>
    <hyperlink ref="P96" r:id="rId46" display="https://my.zakupki.prom.ua/remote/dispatcher/state_purchase_view/41519653" xr:uid="{00000000-0004-0000-0000-00002D000000}"/>
    <hyperlink ref="P97" r:id="rId47" display="https://my.zakupki.prom.ua/remote/dispatcher/state_purchase_view/41519552" xr:uid="{00000000-0004-0000-0000-00002E000000}"/>
    <hyperlink ref="P98" r:id="rId48" display="https://my.zakupki.prom.ua/remote/dispatcher/state_purchase_view/41519534" xr:uid="{00000000-0004-0000-0000-00002F000000}"/>
    <hyperlink ref="P99" r:id="rId49" display="https://my.zakupki.prom.ua/remote/dispatcher/state_purchase_view/41519330" xr:uid="{00000000-0004-0000-0000-000030000000}"/>
    <hyperlink ref="P100" r:id="rId50" display="https://my.zakupki.prom.ua/remote/dispatcher/state_purchase_view/41519085" xr:uid="{00000000-0004-0000-0000-000031000000}"/>
    <hyperlink ref="P101" r:id="rId51" display="https://my.zakupki.prom.ua/remote/dispatcher/state_purchase_view/41512826" xr:uid="{00000000-0004-0000-0000-000032000000}"/>
    <hyperlink ref="P102" r:id="rId52" display="https://my.zakupki.prom.ua/remote/dispatcher/state_purchase_view/41510975" xr:uid="{00000000-0004-0000-0000-000033000000}"/>
    <hyperlink ref="P70" r:id="rId53" display="https://my.zakupki.prom.ua/remote/dispatcher/state_purchase_view/41435209" xr:uid="{00000000-0004-0000-0000-000034000000}"/>
    <hyperlink ref="P71" r:id="rId54" display="https://my.zakupki.prom.ua/remote/dispatcher/state_purchase_view/41434270" xr:uid="{00000000-0004-0000-0000-000035000000}"/>
    <hyperlink ref="P72" r:id="rId55" display="https://my.zakupki.prom.ua/remote/dispatcher/state_purchase_view/41432337" xr:uid="{00000000-0004-0000-0000-000036000000}"/>
    <hyperlink ref="P73" r:id="rId56" display="https://my.zakupki.prom.ua/remote/dispatcher/state_purchase_view/41429057" xr:uid="{00000000-0004-0000-0000-000037000000}"/>
    <hyperlink ref="P74" r:id="rId57" display="https://my.zakupki.prom.ua/remote/dispatcher/state_purchase_view/41428807" xr:uid="{00000000-0004-0000-0000-000038000000}"/>
    <hyperlink ref="P75" r:id="rId58" display="https://my.zakupki.prom.ua/remote/dispatcher/state_purchase_view/41428016" xr:uid="{00000000-0004-0000-0000-000039000000}"/>
    <hyperlink ref="P76" r:id="rId59" display="https://my.zakupki.prom.ua/remote/dispatcher/state_purchase_view/41427937" xr:uid="{00000000-0004-0000-0000-00003A000000}"/>
    <hyperlink ref="P77" r:id="rId60" display="https://my.zakupki.prom.ua/remote/dispatcher/state_purchase_view/41427498" xr:uid="{00000000-0004-0000-0000-00003B000000}"/>
    <hyperlink ref="P78" r:id="rId61" display="https://my.zakupki.prom.ua/remote/dispatcher/state_purchase_view/41427101" xr:uid="{00000000-0004-0000-0000-00003C000000}"/>
    <hyperlink ref="P79" r:id="rId62" display="https://my.zakupki.prom.ua/remote/dispatcher/state_purchase_view/41426939" xr:uid="{00000000-0004-0000-0000-00003D000000}"/>
    <hyperlink ref="P80" r:id="rId63" display="https://my.zakupki.prom.ua/remote/dispatcher/state_purchase_view/41426867" xr:uid="{00000000-0004-0000-0000-00003E000000}"/>
    <hyperlink ref="P81" r:id="rId64" display="https://my.zakupki.prom.ua/remote/dispatcher/state_purchase_view/41426613" xr:uid="{00000000-0004-0000-0000-00003F000000}"/>
    <hyperlink ref="P82" r:id="rId65" display="https://my.zakupki.prom.ua/remote/dispatcher/state_purchase_view/41426508" xr:uid="{00000000-0004-0000-0000-000040000000}"/>
    <hyperlink ref="P83" r:id="rId66" display="https://my.zakupki.prom.ua/remote/dispatcher/state_purchase_view/41426342" xr:uid="{00000000-0004-0000-0000-000041000000}"/>
    <hyperlink ref="P84" r:id="rId67" display="https://my.zakupki.prom.ua/remote/dispatcher/state_purchase_view/41425999" xr:uid="{00000000-0004-0000-0000-000042000000}"/>
    <hyperlink ref="P67" r:id="rId68" display="https://my.zakupki.prom.ua/remote/dispatcher/state_purchase_view/41401307" xr:uid="{00000000-0004-0000-0000-000043000000}"/>
    <hyperlink ref="P68" r:id="rId69" display="https://my.zakupki.prom.ua/remote/dispatcher/state_purchase_view/41385730" xr:uid="{00000000-0004-0000-0000-000044000000}"/>
    <hyperlink ref="P69" r:id="rId70" display="https://my.zakupki.prom.ua/remote/dispatcher/state_purchase_view/41385337" xr:uid="{00000000-0004-0000-0000-000045000000}"/>
    <hyperlink ref="P65" r:id="rId71" display="https://my.zakupki.prom.ua/remote/dispatcher/state_purchase_view/41371338" xr:uid="{00000000-0004-0000-0000-000046000000}"/>
    <hyperlink ref="P66" r:id="rId72" display="https://my.zakupki.prom.ua/remote/dispatcher/state_purchase_view/41363968" xr:uid="{00000000-0004-0000-0000-000047000000}"/>
    <hyperlink ref="P55" r:id="rId73" display="https://my.zakupki.prom.ua/remote/dispatcher/state_purchase_view/41339013" xr:uid="{00000000-0004-0000-0000-000048000000}"/>
    <hyperlink ref="P56" r:id="rId74" display="https://my.zakupki.prom.ua/remote/dispatcher/state_purchase_view/41336632" xr:uid="{00000000-0004-0000-0000-000049000000}"/>
    <hyperlink ref="P57" r:id="rId75" display="https://my.zakupki.prom.ua/remote/dispatcher/state_purchase_view/41329517" xr:uid="{00000000-0004-0000-0000-00004A000000}"/>
    <hyperlink ref="P58" r:id="rId76" display="https://my.zakupki.prom.ua/remote/dispatcher/state_purchase_view/41329000" xr:uid="{00000000-0004-0000-0000-00004B000000}"/>
    <hyperlink ref="P59" r:id="rId77" display="https://my.zakupki.prom.ua/remote/dispatcher/state_purchase_view/41328966" xr:uid="{00000000-0004-0000-0000-00004C000000}"/>
    <hyperlink ref="P60" r:id="rId78" display="https://my.zakupki.prom.ua/remote/dispatcher/state_purchase_view/41328917" xr:uid="{00000000-0004-0000-0000-00004D000000}"/>
    <hyperlink ref="P61" r:id="rId79" display="https://my.zakupki.prom.ua/remote/dispatcher/state_purchase_view/41328890" xr:uid="{00000000-0004-0000-0000-00004E000000}"/>
    <hyperlink ref="P62" r:id="rId80" display="https://my.zakupki.prom.ua/remote/dispatcher/state_purchase_view/41328762" xr:uid="{00000000-0004-0000-0000-00004F000000}"/>
    <hyperlink ref="P63" r:id="rId81" display="https://my.zakupki.prom.ua/remote/dispatcher/state_purchase_view/41328752" xr:uid="{00000000-0004-0000-0000-000050000000}"/>
    <hyperlink ref="P64" r:id="rId82" display="https://my.zakupki.prom.ua/remote/dispatcher/state_purchase_view/41328638" xr:uid="{00000000-0004-0000-0000-000051000000}"/>
    <hyperlink ref="P51" r:id="rId83" display="https://my.zakupki.prom.ua/remote/dispatcher/state_purchase_view/41235144" xr:uid="{00000000-0004-0000-0000-000052000000}"/>
    <hyperlink ref="P52" r:id="rId84" display="https://my.zakupki.prom.ua/remote/dispatcher/state_purchase_view/41234669" xr:uid="{00000000-0004-0000-0000-000053000000}"/>
    <hyperlink ref="P53" r:id="rId85" display="https://my.zakupki.prom.ua/remote/dispatcher/state_purchase_view/41234599" xr:uid="{00000000-0004-0000-0000-000054000000}"/>
    <hyperlink ref="P54" r:id="rId86" display="https://my.zakupki.prom.ua/remote/dispatcher/state_purchase_view/41234545" xr:uid="{00000000-0004-0000-0000-000055000000}"/>
    <hyperlink ref="P49" r:id="rId87" display="https://my.zakupki.prom.ua/remote/dispatcher/state_purchase_view/41222289" xr:uid="{00000000-0004-0000-0000-000056000000}"/>
    <hyperlink ref="P50" r:id="rId88" display="https://my.zakupki.prom.ua/remote/dispatcher/state_purchase_view/41204144" xr:uid="{00000000-0004-0000-0000-000057000000}"/>
    <hyperlink ref="P40" r:id="rId89" display="https://my.zakupki.prom.ua/remote/dispatcher/state_purchase_view/41196363" xr:uid="{00000000-0004-0000-0000-000058000000}"/>
    <hyperlink ref="P41" r:id="rId90" display="https://my.zakupki.prom.ua/remote/dispatcher/state_purchase_view/41193065" xr:uid="{00000000-0004-0000-0000-000059000000}"/>
    <hyperlink ref="P42" r:id="rId91" display="https://my.zakupki.prom.ua/remote/dispatcher/state_purchase_view/41191954" xr:uid="{00000000-0004-0000-0000-00005A000000}"/>
    <hyperlink ref="P43" r:id="rId92" display="https://my.zakupki.prom.ua/remote/dispatcher/state_purchase_view/41191613" xr:uid="{00000000-0004-0000-0000-00005B000000}"/>
    <hyperlink ref="P44" r:id="rId93" display="https://my.zakupki.prom.ua/remote/dispatcher/state_purchase_view/41190509" xr:uid="{00000000-0004-0000-0000-00005C000000}"/>
    <hyperlink ref="P45" r:id="rId94" display="https://my.zakupki.prom.ua/remote/dispatcher/state_purchase_view/41190348" xr:uid="{00000000-0004-0000-0000-00005D000000}"/>
    <hyperlink ref="P46" r:id="rId95" display="https://my.zakupki.prom.ua/remote/dispatcher/state_purchase_view/41189548" xr:uid="{00000000-0004-0000-0000-00005E000000}"/>
    <hyperlink ref="P47" r:id="rId96" display="https://my.zakupki.prom.ua/remote/dispatcher/state_purchase_view/41189546" xr:uid="{00000000-0004-0000-0000-00005F000000}"/>
    <hyperlink ref="P48" r:id="rId97" display="https://my.zakupki.prom.ua/remote/dispatcher/state_purchase_view/41188280" xr:uid="{00000000-0004-0000-0000-000060000000}"/>
    <hyperlink ref="P39" r:id="rId98" display="https://my.zakupki.prom.ua/remote/dispatcher/state_purchase_view/41115637" xr:uid="{00000000-0004-0000-0000-000061000000}"/>
    <hyperlink ref="P38" r:id="rId99" display="https://my.zakupki.prom.ua/remote/dispatcher/state_purchase_view/41077146" xr:uid="{00000000-0004-0000-0000-000062000000}"/>
    <hyperlink ref="P37" r:id="rId100" display="https://my.zakupki.prom.ua/remote/dispatcher/state_purchase_view/41034280" xr:uid="{00000000-0004-0000-0000-000063000000}"/>
    <hyperlink ref="P33" r:id="rId101" display="https://my.zakupki.prom.ua/remote/dispatcher/state_purchase_view/40976345" xr:uid="{00000000-0004-0000-0000-000064000000}"/>
    <hyperlink ref="P34" r:id="rId102" display="https://my.zakupki.prom.ua/remote/dispatcher/state_purchase_view/40975928" xr:uid="{00000000-0004-0000-0000-000065000000}"/>
    <hyperlink ref="P35" r:id="rId103" display="https://my.zakupki.prom.ua/remote/dispatcher/state_purchase_view/40975550" xr:uid="{00000000-0004-0000-0000-000066000000}"/>
    <hyperlink ref="P36" r:id="rId104" display="https://my.zakupki.prom.ua/remote/dispatcher/state_purchase_view/40975514" xr:uid="{00000000-0004-0000-0000-000067000000}"/>
    <hyperlink ref="P32" r:id="rId105" display="https://my.zakupki.prom.ua/remote/dispatcher/state_purchase_view/40896071" xr:uid="{00000000-0004-0000-0000-000068000000}"/>
    <hyperlink ref="P29" r:id="rId106" display="https://my.zakupki.prom.ua/remote/dispatcher/state_purchase_view/40865826" xr:uid="{00000000-0004-0000-0000-000069000000}"/>
    <hyperlink ref="P30" r:id="rId107" display="https://my.zakupki.prom.ua/remote/dispatcher/state_purchase_view/40865423" xr:uid="{00000000-0004-0000-0000-00006A000000}"/>
    <hyperlink ref="P31" r:id="rId108" display="https://my.zakupki.prom.ua/remote/dispatcher/state_purchase_view/40865081" xr:uid="{00000000-0004-0000-0000-00006B000000}"/>
    <hyperlink ref="P28" r:id="rId109" display="https://my.zakupki.prom.ua/remote/dispatcher/state_purchase_view/40817379" xr:uid="{00000000-0004-0000-0000-00006C000000}"/>
    <hyperlink ref="P27" r:id="rId110" display="https://my.zakupki.prom.ua/remote/dispatcher/state_purchase_view/40719635" xr:uid="{00000000-0004-0000-0000-00006D000000}"/>
    <hyperlink ref="N27" r:id="rId111" xr:uid="{00000000-0004-0000-0000-00006E000000}"/>
    <hyperlink ref="N28" r:id="rId112" xr:uid="{00000000-0004-0000-0000-00006F000000}"/>
    <hyperlink ref="N29" r:id="rId113" xr:uid="{00000000-0004-0000-0000-000070000000}"/>
    <hyperlink ref="N30" r:id="rId114" xr:uid="{00000000-0004-0000-0000-000071000000}"/>
    <hyperlink ref="N31" r:id="rId115" xr:uid="{00000000-0004-0000-0000-000072000000}"/>
    <hyperlink ref="N32" r:id="rId116" xr:uid="{00000000-0004-0000-0000-000073000000}"/>
    <hyperlink ref="N33" r:id="rId117" xr:uid="{00000000-0004-0000-0000-000074000000}"/>
    <hyperlink ref="N34" r:id="rId118" xr:uid="{00000000-0004-0000-0000-000075000000}"/>
    <hyperlink ref="N35" r:id="rId119" xr:uid="{00000000-0004-0000-0000-000076000000}"/>
    <hyperlink ref="N36" r:id="rId120" xr:uid="{00000000-0004-0000-0000-000077000000}"/>
    <hyperlink ref="N37" r:id="rId121" xr:uid="{00000000-0004-0000-0000-000078000000}"/>
    <hyperlink ref="N38" r:id="rId122" xr:uid="{00000000-0004-0000-0000-000079000000}"/>
    <hyperlink ref="N39" r:id="rId123" xr:uid="{00000000-0004-0000-0000-00007A000000}"/>
    <hyperlink ref="N40" r:id="rId124" xr:uid="{00000000-0004-0000-0000-00007B000000}"/>
    <hyperlink ref="N41" r:id="rId125" xr:uid="{00000000-0004-0000-0000-00007C000000}"/>
    <hyperlink ref="N42" r:id="rId126" xr:uid="{00000000-0004-0000-0000-00007D000000}"/>
    <hyperlink ref="N43" r:id="rId127" xr:uid="{00000000-0004-0000-0000-00007E000000}"/>
    <hyperlink ref="N44" r:id="rId128" xr:uid="{00000000-0004-0000-0000-00007F000000}"/>
    <hyperlink ref="N45" r:id="rId129" xr:uid="{00000000-0004-0000-0000-000080000000}"/>
    <hyperlink ref="N46" r:id="rId130" xr:uid="{00000000-0004-0000-0000-000081000000}"/>
    <hyperlink ref="N47" r:id="rId131" xr:uid="{00000000-0004-0000-0000-000082000000}"/>
    <hyperlink ref="N48" r:id="rId132" xr:uid="{00000000-0004-0000-0000-000083000000}"/>
    <hyperlink ref="N49" r:id="rId133" xr:uid="{00000000-0004-0000-0000-000084000000}"/>
    <hyperlink ref="N50" r:id="rId134" xr:uid="{00000000-0004-0000-0000-000085000000}"/>
    <hyperlink ref="N51" r:id="rId135" xr:uid="{00000000-0004-0000-0000-000086000000}"/>
    <hyperlink ref="N52" r:id="rId136" xr:uid="{00000000-0004-0000-0000-000087000000}"/>
    <hyperlink ref="N53" r:id="rId137" xr:uid="{00000000-0004-0000-0000-000088000000}"/>
    <hyperlink ref="N54" r:id="rId138" xr:uid="{00000000-0004-0000-0000-000089000000}"/>
    <hyperlink ref="P108" r:id="rId139" display="https://my.zakupki.prom.ua/remote/dispatcher/state_purchase_view/41607111" xr:uid="{00000000-0004-0000-0000-00008A000000}"/>
    <hyperlink ref="P109" r:id="rId140" display="https://my.zakupki.prom.ua/remote/dispatcher/state_purchase_view/41606604" xr:uid="{00000000-0004-0000-0000-00008B000000}"/>
    <hyperlink ref="P110" r:id="rId141" display="https://my.zakupki.prom.ua/remote/dispatcher/state_purchase_view/41606245" xr:uid="{00000000-0004-0000-0000-00008C000000}"/>
    <hyperlink ref="P111" r:id="rId142" display="https://my.zakupki.prom.ua/remote/dispatcher/state_purchase_view/41606005" xr:uid="{00000000-0004-0000-0000-00008D000000}"/>
    <hyperlink ref="P112" r:id="rId143" display="https://my.zakupki.prom.ua/remote/dispatcher/state_purchase_view/41605692" xr:uid="{00000000-0004-0000-0000-00008E000000}"/>
    <hyperlink ref="P113" r:id="rId144" display="https://my.zakupki.prom.ua/remote/dispatcher/state_purchase_view/41605571" xr:uid="{00000000-0004-0000-0000-00008F000000}"/>
    <hyperlink ref="P114" r:id="rId145" display="https://my.zakupki.prom.ua/remote/dispatcher/state_purchase_view/41605144" xr:uid="{00000000-0004-0000-0000-000090000000}"/>
    <hyperlink ref="P107" r:id="rId146" display="https://my.zakupki.prom.ua/remote/dispatcher/state_purchase_view/41563913" xr:uid="{00000000-0004-0000-0000-000091000000}"/>
    <hyperlink ref="N55" r:id="rId147" xr:uid="{00000000-0004-0000-0000-000092000000}"/>
    <hyperlink ref="N56" r:id="rId148" xr:uid="{00000000-0004-0000-0000-000093000000}"/>
    <hyperlink ref="N57" r:id="rId149" xr:uid="{00000000-0004-0000-0000-000094000000}"/>
    <hyperlink ref="N58" r:id="rId150" xr:uid="{00000000-0004-0000-0000-000095000000}"/>
    <hyperlink ref="N59" r:id="rId151" xr:uid="{00000000-0004-0000-0000-000096000000}"/>
    <hyperlink ref="N60" r:id="rId152" xr:uid="{00000000-0004-0000-0000-000097000000}"/>
    <hyperlink ref="N61" r:id="rId153" xr:uid="{00000000-0004-0000-0000-000098000000}"/>
    <hyperlink ref="N62" r:id="rId154" xr:uid="{00000000-0004-0000-0000-000099000000}"/>
    <hyperlink ref="N63" r:id="rId155" xr:uid="{00000000-0004-0000-0000-00009A000000}"/>
    <hyperlink ref="N64" r:id="rId156" xr:uid="{00000000-0004-0000-0000-00009B000000}"/>
    <hyperlink ref="N65" r:id="rId157" xr:uid="{00000000-0004-0000-0000-00009C000000}"/>
    <hyperlink ref="N66" r:id="rId158" xr:uid="{00000000-0004-0000-0000-00009D000000}"/>
    <hyperlink ref="N67" r:id="rId159" xr:uid="{00000000-0004-0000-0000-00009E000000}"/>
    <hyperlink ref="N68" r:id="rId160" xr:uid="{00000000-0004-0000-0000-00009F000000}"/>
    <hyperlink ref="N69" r:id="rId161" xr:uid="{00000000-0004-0000-0000-0000A0000000}"/>
    <hyperlink ref="N70" r:id="rId162" xr:uid="{00000000-0004-0000-0000-0000A1000000}"/>
    <hyperlink ref="N71" r:id="rId163" xr:uid="{00000000-0004-0000-0000-0000A2000000}"/>
    <hyperlink ref="N72" r:id="rId164" xr:uid="{00000000-0004-0000-0000-0000A3000000}"/>
    <hyperlink ref="N73" r:id="rId165" xr:uid="{00000000-0004-0000-0000-0000A4000000}"/>
    <hyperlink ref="N74" r:id="rId166" xr:uid="{00000000-0004-0000-0000-0000A5000000}"/>
    <hyperlink ref="N75" r:id="rId167" xr:uid="{00000000-0004-0000-0000-0000A6000000}"/>
    <hyperlink ref="N76" r:id="rId168" xr:uid="{00000000-0004-0000-0000-0000A7000000}"/>
    <hyperlink ref="N77" r:id="rId169" xr:uid="{00000000-0004-0000-0000-0000A8000000}"/>
    <hyperlink ref="N78" r:id="rId170" xr:uid="{00000000-0004-0000-0000-0000A9000000}"/>
    <hyperlink ref="N79" r:id="rId171" xr:uid="{00000000-0004-0000-0000-0000AA000000}"/>
    <hyperlink ref="N80" r:id="rId172" xr:uid="{00000000-0004-0000-0000-0000AB000000}"/>
    <hyperlink ref="N81" r:id="rId173" xr:uid="{00000000-0004-0000-0000-0000AC000000}"/>
    <hyperlink ref="N82" r:id="rId174" xr:uid="{00000000-0004-0000-0000-0000AD000000}"/>
    <hyperlink ref="N83" r:id="rId175" xr:uid="{00000000-0004-0000-0000-0000AE000000}"/>
    <hyperlink ref="N84" r:id="rId176" xr:uid="{00000000-0004-0000-0000-0000AF000000}"/>
    <hyperlink ref="N85" r:id="rId177" xr:uid="{00000000-0004-0000-0000-0000B0000000}"/>
    <hyperlink ref="N86" r:id="rId178" xr:uid="{00000000-0004-0000-0000-0000B1000000}"/>
    <hyperlink ref="N87" r:id="rId179" xr:uid="{00000000-0004-0000-0000-0000B2000000}"/>
    <hyperlink ref="N88" r:id="rId180" xr:uid="{00000000-0004-0000-0000-0000B3000000}"/>
    <hyperlink ref="N89" r:id="rId181" xr:uid="{00000000-0004-0000-0000-0000B4000000}"/>
    <hyperlink ref="N90" r:id="rId182" xr:uid="{00000000-0004-0000-0000-0000B5000000}"/>
    <hyperlink ref="N91" r:id="rId183" xr:uid="{00000000-0004-0000-0000-0000B6000000}"/>
    <hyperlink ref="N92" r:id="rId184" xr:uid="{00000000-0004-0000-0000-0000B7000000}"/>
    <hyperlink ref="N93" r:id="rId185" xr:uid="{00000000-0004-0000-0000-0000B8000000}"/>
    <hyperlink ref="N94" r:id="rId186" xr:uid="{00000000-0004-0000-0000-0000B9000000}"/>
    <hyperlink ref="N95" r:id="rId187" xr:uid="{00000000-0004-0000-0000-0000BA000000}"/>
    <hyperlink ref="N96" r:id="rId188" xr:uid="{00000000-0004-0000-0000-0000BB000000}"/>
    <hyperlink ref="N97" r:id="rId189" xr:uid="{00000000-0004-0000-0000-0000BC000000}"/>
    <hyperlink ref="N98" r:id="rId190" xr:uid="{00000000-0004-0000-0000-0000BD000000}"/>
    <hyperlink ref="N99" r:id="rId191" xr:uid="{00000000-0004-0000-0000-0000BE000000}"/>
    <hyperlink ref="N100" r:id="rId192" xr:uid="{00000000-0004-0000-0000-0000BF000000}"/>
    <hyperlink ref="N101" r:id="rId193" xr:uid="{00000000-0004-0000-0000-0000C0000000}"/>
    <hyperlink ref="N102" r:id="rId194" xr:uid="{00000000-0004-0000-0000-0000C1000000}"/>
    <hyperlink ref="N103" r:id="rId195" xr:uid="{00000000-0004-0000-0000-0000C2000000}"/>
    <hyperlink ref="N104" r:id="rId196" xr:uid="{00000000-0004-0000-0000-0000C3000000}"/>
    <hyperlink ref="N105" r:id="rId197" xr:uid="{00000000-0004-0000-0000-0000C4000000}"/>
    <hyperlink ref="N106" r:id="rId198" xr:uid="{00000000-0004-0000-0000-0000C5000000}"/>
    <hyperlink ref="N108" r:id="rId199" xr:uid="{00000000-0004-0000-0000-0000C6000000}"/>
    <hyperlink ref="N109" r:id="rId200" xr:uid="{00000000-0004-0000-0000-0000C7000000}"/>
    <hyperlink ref="N110" r:id="rId201" xr:uid="{00000000-0004-0000-0000-0000C8000000}"/>
    <hyperlink ref="N111" r:id="rId202" xr:uid="{00000000-0004-0000-0000-0000C9000000}"/>
    <hyperlink ref="N112" r:id="rId203" xr:uid="{00000000-0004-0000-0000-0000CA000000}"/>
    <hyperlink ref="N113" r:id="rId204" xr:uid="{00000000-0004-0000-0000-0000CB000000}"/>
    <hyperlink ref="N114" r:id="rId205" xr:uid="{00000000-0004-0000-0000-0000CC000000}"/>
    <hyperlink ref="N107" r:id="rId206" xr:uid="{00000000-0004-0000-0000-0000CD000000}"/>
    <hyperlink ref="P122" r:id="rId207" display="https://my.zakupki.prom.ua/remote/dispatcher/state_purchase_view/41677151" xr:uid="{00000000-0004-0000-0000-0000CE000000}"/>
    <hyperlink ref="P123" r:id="rId208" display="https://my.zakupki.prom.ua/remote/dispatcher/state_purchase_view/41675945" xr:uid="{00000000-0004-0000-0000-0000CF000000}"/>
    <hyperlink ref="P124" r:id="rId209" display="https://my.zakupki.prom.ua/remote/dispatcher/state_purchase_view/41675869" xr:uid="{00000000-0004-0000-0000-0000D0000000}"/>
    <hyperlink ref="P115" r:id="rId210" display="https://my.zakupki.prom.ua/remote/dispatcher/state_purchase_view/41650806" xr:uid="{00000000-0004-0000-0000-0000D1000000}"/>
    <hyperlink ref="P116" r:id="rId211" display="https://my.zakupki.prom.ua/remote/dispatcher/state_purchase_view/41649991" xr:uid="{00000000-0004-0000-0000-0000D2000000}"/>
    <hyperlink ref="P117" r:id="rId212" display="https://my.zakupki.prom.ua/remote/dispatcher/state_purchase_view/41648944" xr:uid="{00000000-0004-0000-0000-0000D3000000}"/>
    <hyperlink ref="P118" r:id="rId213" display="https://my.zakupki.prom.ua/remote/dispatcher/state_purchase_view/41648147" xr:uid="{00000000-0004-0000-0000-0000D4000000}"/>
    <hyperlink ref="P119" r:id="rId214" display="https://my.zakupki.prom.ua/remote/dispatcher/state_purchase_view/41647901" xr:uid="{00000000-0004-0000-0000-0000D5000000}"/>
    <hyperlink ref="P120" r:id="rId215" display="https://my.zakupki.prom.ua/remote/dispatcher/state_purchase_view/41645351" xr:uid="{00000000-0004-0000-0000-0000D6000000}"/>
    <hyperlink ref="P121" r:id="rId216" display="https://my.zakupki.prom.ua/remote/dispatcher/state_purchase_view/41644671" xr:uid="{00000000-0004-0000-0000-0000D7000000}"/>
    <hyperlink ref="N115" r:id="rId217" xr:uid="{00000000-0004-0000-0000-0000D8000000}"/>
    <hyperlink ref="N116" r:id="rId218" xr:uid="{00000000-0004-0000-0000-0000D9000000}"/>
    <hyperlink ref="N117" r:id="rId219" xr:uid="{00000000-0004-0000-0000-0000DA000000}"/>
    <hyperlink ref="N118" r:id="rId220" xr:uid="{00000000-0004-0000-0000-0000DB000000}"/>
    <hyperlink ref="N119" r:id="rId221" xr:uid="{00000000-0004-0000-0000-0000DC000000}"/>
    <hyperlink ref="N120" r:id="rId222" xr:uid="{00000000-0004-0000-0000-0000DD000000}"/>
    <hyperlink ref="N121" r:id="rId223" xr:uid="{00000000-0004-0000-0000-0000DE000000}"/>
    <hyperlink ref="N122" r:id="rId224" xr:uid="{00000000-0004-0000-0000-0000DF000000}"/>
    <hyperlink ref="N123" r:id="rId225" xr:uid="{00000000-0004-0000-0000-0000E0000000}"/>
    <hyperlink ref="N124" r:id="rId226" xr:uid="{00000000-0004-0000-0000-0000E1000000}"/>
    <hyperlink ref="P125" r:id="rId227" display="https://my.zakupki.prom.ua/remote/dispatcher/state_purchase_view/41678983" xr:uid="{00000000-0004-0000-0000-0000E2000000}"/>
    <hyperlink ref="P126" r:id="rId228" display="https://my.zakupki.prom.ua/remote/dispatcher/state_purchase_view/41677871" xr:uid="{00000000-0004-0000-0000-0000E3000000}"/>
    <hyperlink ref="P127" r:id="rId229" display="https://my.zakupki.prom.ua/remote/dispatcher/state_purchase_view/41677151" xr:uid="{00000000-0004-0000-0000-0000E4000000}"/>
    <hyperlink ref="N128" r:id="rId230" xr:uid="{00000000-0004-0000-0000-0000E5000000}"/>
    <hyperlink ref="N125" r:id="rId231" xr:uid="{00000000-0004-0000-0000-0000E6000000}"/>
    <hyperlink ref="N126" r:id="rId232" xr:uid="{00000000-0004-0000-0000-0000E7000000}"/>
    <hyperlink ref="N127" r:id="rId233" xr:uid="{00000000-0004-0000-0000-0000E8000000}"/>
    <hyperlink ref="N129" r:id="rId234" xr:uid="{00000000-0004-0000-0000-0000E9000000}"/>
    <hyperlink ref="P131" r:id="rId235" display="https://my.zakupki.prom.ua/remote/dispatcher/state_purchase_view/41720731" xr:uid="{00000000-0004-0000-0000-0000EA000000}"/>
    <hyperlink ref="P132" r:id="rId236" display="https://my.zakupki.prom.ua/remote/dispatcher/state_purchase_view/41720673" xr:uid="{00000000-0004-0000-0000-0000EB000000}"/>
    <hyperlink ref="P133" r:id="rId237" display="https://my.zakupki.prom.ua/remote/dispatcher/state_purchase_view/41720512" xr:uid="{00000000-0004-0000-0000-0000EC000000}"/>
    <hyperlink ref="P134" r:id="rId238" display="https://my.zakupki.prom.ua/remote/dispatcher/state_purchase_view/41720050" xr:uid="{00000000-0004-0000-0000-0000ED000000}"/>
    <hyperlink ref="P135" r:id="rId239" display="https://my.zakupki.prom.ua/remote/dispatcher/state_purchase_view/41719988" xr:uid="{00000000-0004-0000-0000-0000EE000000}"/>
    <hyperlink ref="P136" r:id="rId240" display="https://my.zakupki.prom.ua/remote/dispatcher/state_purchase_view/41719753" xr:uid="{00000000-0004-0000-0000-0000EF000000}"/>
    <hyperlink ref="P137" r:id="rId241" display="https://my.zakupki.prom.ua/remote/dispatcher/state_purchase_view/41719575" xr:uid="{00000000-0004-0000-0000-0000F0000000}"/>
    <hyperlink ref="P138" r:id="rId242" display="https://my.zakupki.prom.ua/remote/dispatcher/state_purchase_view/41719359" xr:uid="{00000000-0004-0000-0000-0000F1000000}"/>
    <hyperlink ref="N131" r:id="rId243" xr:uid="{00000000-0004-0000-0000-0000F2000000}"/>
    <hyperlink ref="N132" r:id="rId244" xr:uid="{00000000-0004-0000-0000-0000F3000000}"/>
    <hyperlink ref="N133" r:id="rId245" xr:uid="{00000000-0004-0000-0000-0000F4000000}"/>
    <hyperlink ref="N134" r:id="rId246" xr:uid="{00000000-0004-0000-0000-0000F5000000}"/>
    <hyperlink ref="N135" r:id="rId247" xr:uid="{00000000-0004-0000-0000-0000F6000000}"/>
    <hyperlink ref="N136" r:id="rId248" xr:uid="{00000000-0004-0000-0000-0000F7000000}"/>
    <hyperlink ref="N137" r:id="rId249" xr:uid="{00000000-0004-0000-0000-0000F8000000}"/>
    <hyperlink ref="N138" r:id="rId250" xr:uid="{00000000-0004-0000-0000-0000F9000000}"/>
    <hyperlink ref="N139" r:id="rId251" xr:uid="{00000000-0004-0000-0000-0000FA000000}"/>
    <hyperlink ref="N130" r:id="rId252" xr:uid="{00000000-0004-0000-0000-0000FB000000}"/>
    <hyperlink ref="P140" r:id="rId253" display="https://my.zakupki.prom.ua/remote/dispatcher/state_purchase_view/41743220" xr:uid="{00000000-0004-0000-0000-0000FC000000}"/>
    <hyperlink ref="P141" r:id="rId254" display="https://my.zakupki.prom.ua/remote/dispatcher/state_purchase_view/41742784" xr:uid="{00000000-0004-0000-0000-0000FD000000}"/>
    <hyperlink ref="P142" r:id="rId255" display="https://my.zakupki.prom.ua/remote/dispatcher/state_purchase_view/41740883" xr:uid="{00000000-0004-0000-0000-0000FE000000}"/>
    <hyperlink ref="P143" r:id="rId256" display="https://my.zakupki.prom.ua/remote/dispatcher/state_purchase_view/41740483" xr:uid="{00000000-0004-0000-0000-0000FF000000}"/>
    <hyperlink ref="P144" r:id="rId257" display="https://my.zakupki.prom.ua/remote/dispatcher/state_purchase_view/41739408" xr:uid="{00000000-0004-0000-0000-000000010000}"/>
    <hyperlink ref="P145" r:id="rId258" display="https://my.zakupki.prom.ua/remote/dispatcher/state_purchase_view/41738442" xr:uid="{00000000-0004-0000-0000-000001010000}"/>
    <hyperlink ref="P146" r:id="rId259" display="https://my.zakupki.prom.ua/remote/dispatcher/state_purchase_view/41737679" xr:uid="{00000000-0004-0000-0000-000002010000}"/>
    <hyperlink ref="N140" r:id="rId260" xr:uid="{00000000-0004-0000-0000-000003010000}"/>
    <hyperlink ref="N141" r:id="rId261" xr:uid="{00000000-0004-0000-0000-000004010000}"/>
    <hyperlink ref="N142" r:id="rId262" xr:uid="{00000000-0004-0000-0000-000005010000}"/>
    <hyperlink ref="N143" r:id="rId263" xr:uid="{00000000-0004-0000-0000-000006010000}"/>
    <hyperlink ref="N144" r:id="rId264" xr:uid="{00000000-0004-0000-0000-000007010000}"/>
    <hyperlink ref="N145" r:id="rId265" xr:uid="{00000000-0004-0000-0000-000008010000}"/>
    <hyperlink ref="N146" r:id="rId266" xr:uid="{00000000-0004-0000-0000-000009010000}"/>
    <hyperlink ref="P155" r:id="rId267" display="https://my.zakupki.prom.ua/remote/dispatcher/state_purchase_view/41781166" xr:uid="{00000000-0004-0000-0000-00000A010000}"/>
    <hyperlink ref="P156" r:id="rId268" display="https://my.zakupki.prom.ua/remote/dispatcher/state_purchase_view/41780913" xr:uid="{00000000-0004-0000-0000-00000B010000}"/>
    <hyperlink ref="P157" r:id="rId269" display="https://my.zakupki.prom.ua/remote/dispatcher/state_purchase_view/41780303" xr:uid="{00000000-0004-0000-0000-00000C010000}"/>
    <hyperlink ref="P158" r:id="rId270" display="https://my.zakupki.prom.ua/remote/dispatcher/state_purchase_view/41779624" xr:uid="{00000000-0004-0000-0000-00000D010000}"/>
    <hyperlink ref="P159" r:id="rId271" display="https://my.zakupki.prom.ua/remote/dispatcher/state_purchase_view/41779398" xr:uid="{00000000-0004-0000-0000-00000E010000}"/>
    <hyperlink ref="P147" r:id="rId272" display="https://my.zakupki.prom.ua/remote/dispatcher/state_purchase_view/41779380" xr:uid="{00000000-0004-0000-0000-00000F010000}"/>
    <hyperlink ref="P148" r:id="rId273" display="https://my.zakupki.prom.ua/remote/dispatcher/state_purchase_view/41777563" xr:uid="{00000000-0004-0000-0000-000010010000}"/>
    <hyperlink ref="P152" r:id="rId274" display="https://my.zakupki.prom.ua/remote/dispatcher/state_purchase_view/41777421" xr:uid="{00000000-0004-0000-0000-000011010000}"/>
    <hyperlink ref="P149" r:id="rId275" display="https://my.zakupki.prom.ua/remote/dispatcher/state_purchase_view/41777364" xr:uid="{00000000-0004-0000-0000-000012010000}"/>
    <hyperlink ref="P150" r:id="rId276" display="https://my.zakupki.prom.ua/remote/dispatcher/state_purchase_view/41777201" xr:uid="{00000000-0004-0000-0000-000013010000}"/>
    <hyperlink ref="P151" r:id="rId277" display="https://my.zakupki.prom.ua/remote/dispatcher/state_purchase_view/41776988" xr:uid="{00000000-0004-0000-0000-000014010000}"/>
    <hyperlink ref="P153" r:id="rId278" display="https://my.zakupki.prom.ua/remote/dispatcher/state_purchase_view/41776493" xr:uid="{00000000-0004-0000-0000-000015010000}"/>
    <hyperlink ref="P154" r:id="rId279" display="https://my.zakupki.prom.ua/remote/dispatcher/state_purchase_view/41755715" xr:uid="{00000000-0004-0000-0000-000016010000}"/>
    <hyperlink ref="N154" r:id="rId280" xr:uid="{00000000-0004-0000-0000-000017010000}"/>
    <hyperlink ref="N153" r:id="rId281" xr:uid="{00000000-0004-0000-0000-000018010000}"/>
    <hyperlink ref="N151" r:id="rId282" xr:uid="{00000000-0004-0000-0000-000019010000}"/>
    <hyperlink ref="N150" r:id="rId283" xr:uid="{00000000-0004-0000-0000-00001A010000}"/>
    <hyperlink ref="N149" r:id="rId284" xr:uid="{00000000-0004-0000-0000-00001B010000}"/>
    <hyperlink ref="N152" r:id="rId285" xr:uid="{00000000-0004-0000-0000-00001C010000}"/>
    <hyperlink ref="N148" r:id="rId286" xr:uid="{00000000-0004-0000-0000-00001D010000}"/>
    <hyperlink ref="N147" r:id="rId287" xr:uid="{00000000-0004-0000-0000-00001E010000}"/>
    <hyperlink ref="N159" r:id="rId288" xr:uid="{00000000-0004-0000-0000-00001F010000}"/>
    <hyperlink ref="N158" r:id="rId289" xr:uid="{00000000-0004-0000-0000-000020010000}"/>
    <hyperlink ref="N157" r:id="rId290" xr:uid="{00000000-0004-0000-0000-000021010000}"/>
    <hyperlink ref="N156" r:id="rId291" xr:uid="{00000000-0004-0000-0000-000022010000}"/>
    <hyperlink ref="N155" r:id="rId292" xr:uid="{00000000-0004-0000-0000-000023010000}"/>
    <hyperlink ref="N160" r:id="rId293" xr:uid="{00000000-0004-0000-0000-000024010000}"/>
    <hyperlink ref="P171" r:id="rId294" display="https://my.zakupki.prom.ua/remote/dispatcher/state_purchase_view/41866240" xr:uid="{00000000-0004-0000-0000-000025010000}"/>
    <hyperlink ref="P168" r:id="rId295" display="https://my.zakupki.prom.ua/remote/dispatcher/state_purchase_view/41830605" xr:uid="{00000000-0004-0000-0000-000026010000}"/>
    <hyperlink ref="P169" r:id="rId296" display="https://my.zakupki.prom.ua/remote/dispatcher/state_purchase_view/41829038" xr:uid="{00000000-0004-0000-0000-000027010000}"/>
    <hyperlink ref="P170" r:id="rId297" display="https://my.zakupki.prom.ua/remote/dispatcher/state_purchase_view/41816730" xr:uid="{00000000-0004-0000-0000-000028010000}"/>
    <hyperlink ref="P161" r:id="rId298" display="https://my.zakupki.prom.ua/remote/dispatcher/state_purchase_view/41781756" xr:uid="{00000000-0004-0000-0000-000029010000}"/>
    <hyperlink ref="P162" r:id="rId299" display="https://my.zakupki.prom.ua/remote/dispatcher/state_purchase_view/41781166" xr:uid="{00000000-0004-0000-0000-00002A010000}"/>
    <hyperlink ref="P163" r:id="rId300" display="https://my.zakupki.prom.ua/remote/dispatcher/state_purchase_view/41780913" xr:uid="{00000000-0004-0000-0000-00002B010000}"/>
    <hyperlink ref="P164" r:id="rId301" display="https://my.zakupki.prom.ua/remote/dispatcher/state_purchase_view/41780303" xr:uid="{00000000-0004-0000-0000-00002C010000}"/>
    <hyperlink ref="P165" r:id="rId302" display="https://my.zakupki.prom.ua/remote/dispatcher/state_purchase_view/41779624" xr:uid="{00000000-0004-0000-0000-00002D010000}"/>
    <hyperlink ref="P166" r:id="rId303" display="https://my.zakupki.prom.ua/remote/dispatcher/state_purchase_view/41779398" xr:uid="{00000000-0004-0000-0000-00002E010000}"/>
    <hyperlink ref="P167" r:id="rId304" display="https://my.zakupki.prom.ua/remote/dispatcher/state_purchase_view/41779380" xr:uid="{00000000-0004-0000-0000-00002F010000}"/>
    <hyperlink ref="N161" r:id="rId305" xr:uid="{00000000-0004-0000-0000-000030010000}"/>
    <hyperlink ref="N162" r:id="rId306" xr:uid="{00000000-0004-0000-0000-000031010000}"/>
    <hyperlink ref="N163" r:id="rId307" xr:uid="{00000000-0004-0000-0000-000032010000}"/>
    <hyperlink ref="N164" r:id="rId308" xr:uid="{00000000-0004-0000-0000-000033010000}"/>
    <hyperlink ref="N165" r:id="rId309" xr:uid="{00000000-0004-0000-0000-000034010000}"/>
    <hyperlink ref="N166" r:id="rId310" xr:uid="{00000000-0004-0000-0000-000035010000}"/>
    <hyperlink ref="N167" r:id="rId311" xr:uid="{00000000-0004-0000-0000-000036010000}"/>
    <hyperlink ref="N168" r:id="rId312" xr:uid="{00000000-0004-0000-0000-000037010000}"/>
    <hyperlink ref="N169" r:id="rId313" xr:uid="{00000000-0004-0000-0000-000038010000}"/>
    <hyperlink ref="N170" r:id="rId314" xr:uid="{00000000-0004-0000-0000-000039010000}"/>
    <hyperlink ref="N171" r:id="rId315" xr:uid="{00000000-0004-0000-0000-00003A010000}"/>
    <hyperlink ref="P174" r:id="rId316" display="https://my.zakupki.prom.ua/remote/dispatcher/state_purchase_view/42099519" xr:uid="{00000000-0004-0000-0000-00003B010000}"/>
    <hyperlink ref="P172" r:id="rId317" display="https://my.zakupki.prom.ua/remote/dispatcher/state_purchase_view/42015454" xr:uid="{00000000-0004-0000-0000-00003C010000}"/>
    <hyperlink ref="P173" r:id="rId318" display="https://my.zakupki.prom.ua/remote/dispatcher/state_purchase_view/42015243" xr:uid="{00000000-0004-0000-0000-00003D010000}"/>
    <hyperlink ref="N172" r:id="rId319" xr:uid="{00000000-0004-0000-0000-00003E010000}"/>
    <hyperlink ref="N173" r:id="rId320" xr:uid="{00000000-0004-0000-0000-00003F010000}"/>
    <hyperlink ref="N174" r:id="rId321" xr:uid="{00000000-0004-0000-0000-000040010000}"/>
    <hyperlink ref="P175" r:id="rId322" display="https://my.zakupki.prom.ua/remote/dispatcher/state_purchase_view/42175596" xr:uid="{00000000-0004-0000-0000-000041010000}"/>
    <hyperlink ref="P176" r:id="rId323" display="https://my.zakupki.prom.ua/remote/dispatcher/state_purchase_view/42175373" xr:uid="{00000000-0004-0000-0000-000042010000}"/>
    <hyperlink ref="P177" r:id="rId324" display="https://my.zakupki.prom.ua/remote/dispatcher/state_purchase_view/42166907" xr:uid="{00000000-0004-0000-0000-000043010000}"/>
    <hyperlink ref="N175" r:id="rId325" xr:uid="{00000000-0004-0000-0000-000044010000}"/>
    <hyperlink ref="N176" r:id="rId326" xr:uid="{00000000-0004-0000-0000-000045010000}"/>
    <hyperlink ref="N177" r:id="rId327" xr:uid="{00000000-0004-0000-0000-000046010000}"/>
    <hyperlink ref="P187" r:id="rId328" display="https://my.zakupki.prom.ua/remote/dispatcher/state_purchase_view/42379010" xr:uid="{00000000-0004-0000-0000-000047010000}"/>
    <hyperlink ref="P186" r:id="rId329" display="https://my.zakupki.prom.ua/remote/dispatcher/state_purchase_view/42377342" xr:uid="{00000000-0004-0000-0000-000048010000}"/>
    <hyperlink ref="P185" r:id="rId330" display="https://my.zakupki.prom.ua/remote/dispatcher/state_purchase_view/42376032" xr:uid="{00000000-0004-0000-0000-000049010000}"/>
    <hyperlink ref="P184" r:id="rId331" display="https://my.zakupki.prom.ua/remote/dispatcher/state_purchase_view/42279435" xr:uid="{00000000-0004-0000-0000-00004A010000}"/>
    <hyperlink ref="P183" r:id="rId332" display="https://my.zakupki.prom.ua/remote/dispatcher/state_purchase_view/42223552" xr:uid="{00000000-0004-0000-0000-00004B010000}"/>
    <hyperlink ref="P182" r:id="rId333" display="https://my.zakupki.prom.ua/remote/dispatcher/state_purchase_view/42221724" xr:uid="{00000000-0004-0000-0000-00004C010000}"/>
    <hyperlink ref="P181" r:id="rId334" display="https://my.zakupki.prom.ua/remote/dispatcher/state_purchase_view/42221401" xr:uid="{00000000-0004-0000-0000-00004D010000}"/>
    <hyperlink ref="P180" r:id="rId335" display="https://my.zakupki.prom.ua/remote/dispatcher/state_purchase_view/42220687" xr:uid="{00000000-0004-0000-0000-00004E010000}"/>
    <hyperlink ref="P179" r:id="rId336" display="https://my.zakupki.prom.ua/remote/dispatcher/state_purchase_view/42219107" xr:uid="{00000000-0004-0000-0000-00004F010000}"/>
    <hyperlink ref="N179" r:id="rId337" xr:uid="{00000000-0004-0000-0000-000050010000}"/>
    <hyperlink ref="N180" r:id="rId338" xr:uid="{00000000-0004-0000-0000-000051010000}"/>
    <hyperlink ref="N181" r:id="rId339" xr:uid="{00000000-0004-0000-0000-000052010000}"/>
    <hyperlink ref="N182" r:id="rId340" xr:uid="{00000000-0004-0000-0000-000053010000}"/>
    <hyperlink ref="N183" r:id="rId341" xr:uid="{00000000-0004-0000-0000-000054010000}"/>
    <hyperlink ref="N184" r:id="rId342" xr:uid="{00000000-0004-0000-0000-000055010000}"/>
    <hyperlink ref="N185" r:id="rId343" xr:uid="{00000000-0004-0000-0000-000056010000}"/>
    <hyperlink ref="N186" r:id="rId344" xr:uid="{00000000-0004-0000-0000-000057010000}"/>
    <hyperlink ref="N187" r:id="rId345" xr:uid="{00000000-0004-0000-0000-000058010000}"/>
    <hyperlink ref="N178" r:id="rId346" xr:uid="{00000000-0004-0000-0000-000059010000}"/>
    <hyperlink ref="P178" r:id="rId347" xr:uid="{00000000-0004-0000-0000-00005A010000}"/>
    <hyperlink ref="P196" r:id="rId348" display="https://my.zakupki.prom.ua/remote/dispatcher/state_purchase_view/42596750" xr:uid="{00000000-0004-0000-0000-00005B010000}"/>
    <hyperlink ref="P192" r:id="rId349" display="https://my.zakupki.prom.ua/remote/dispatcher/state_purchase_view/42556878" xr:uid="{00000000-0004-0000-0000-00005C010000}"/>
    <hyperlink ref="P193" r:id="rId350" display="https://my.zakupki.prom.ua/remote/dispatcher/state_purchase_view/42556376" xr:uid="{00000000-0004-0000-0000-00005D010000}"/>
    <hyperlink ref="P194" r:id="rId351" display="https://my.zakupki.prom.ua/remote/dispatcher/state_purchase_view/42556155" xr:uid="{00000000-0004-0000-0000-00005E010000}"/>
    <hyperlink ref="P195" r:id="rId352" display="https://my.zakupki.prom.ua/remote/dispatcher/state_purchase_view/42551980" xr:uid="{00000000-0004-0000-0000-00005F010000}"/>
    <hyperlink ref="P190" r:id="rId353" display="https://my.zakupki.prom.ua/remote/dispatcher/state_purchase_view/42520847" xr:uid="{00000000-0004-0000-0000-000060010000}"/>
    <hyperlink ref="P191" r:id="rId354" display="https://my.zakupki.prom.ua/remote/dispatcher/state_purchase_view/42520239" xr:uid="{00000000-0004-0000-0000-000061010000}"/>
    <hyperlink ref="P188" r:id="rId355" display="https://my.zakupki.prom.ua/remote/dispatcher/state_purchase_view/42505239" xr:uid="{00000000-0004-0000-0000-000062010000}"/>
    <hyperlink ref="P189" r:id="rId356" display="https://my.zakupki.prom.ua/remote/dispatcher/state_purchase_view/42504562" xr:uid="{00000000-0004-0000-0000-000063010000}"/>
    <hyperlink ref="N188" r:id="rId357" xr:uid="{00000000-0004-0000-0000-000064010000}"/>
    <hyperlink ref="N189" r:id="rId358" xr:uid="{00000000-0004-0000-0000-000065010000}"/>
    <hyperlink ref="N190" r:id="rId359" xr:uid="{00000000-0004-0000-0000-000066010000}"/>
    <hyperlink ref="N191" r:id="rId360" xr:uid="{00000000-0004-0000-0000-000067010000}"/>
    <hyperlink ref="N192" r:id="rId361" xr:uid="{00000000-0004-0000-0000-000068010000}"/>
    <hyperlink ref="N193" r:id="rId362" xr:uid="{00000000-0004-0000-0000-000069010000}"/>
    <hyperlink ref="N194" r:id="rId363" xr:uid="{00000000-0004-0000-0000-00006A010000}"/>
    <hyperlink ref="N195" r:id="rId364" xr:uid="{00000000-0004-0000-0000-00006B010000}"/>
    <hyperlink ref="N196" r:id="rId365" xr:uid="{00000000-0004-0000-0000-00006C010000}"/>
    <hyperlink ref="P198" r:id="rId366" display="https://my.zakupki.prom.ua/remote/dispatcher/state_purchase_view/43050145" xr:uid="{00000000-0004-0000-0000-00006D010000}"/>
    <hyperlink ref="P197" r:id="rId367" display="https://my.zakupki.prom.ua/remote/dispatcher/state_purchase_view/42937572" xr:uid="{00000000-0004-0000-0000-00006E010000}"/>
    <hyperlink ref="N197" r:id="rId368" xr:uid="{00000000-0004-0000-0000-00006F010000}"/>
    <hyperlink ref="N198" r:id="rId369" xr:uid="{00000000-0004-0000-0000-000070010000}"/>
    <hyperlink ref="P204" r:id="rId370" display="https://my.zakupki.prom.ua/remote/dispatcher/state_purchase_view/43724189" xr:uid="{00000000-0004-0000-0000-000071010000}"/>
    <hyperlink ref="P202" r:id="rId371" display="https://my.zakupki.prom.ua/remote/dispatcher/state_purchase_view/43702909" xr:uid="{00000000-0004-0000-0000-000072010000}"/>
    <hyperlink ref="P203" r:id="rId372" display="https://my.zakupki.prom.ua/remote/dispatcher/state_purchase_view/43702002" xr:uid="{00000000-0004-0000-0000-000073010000}"/>
    <hyperlink ref="P199" r:id="rId373" display="https://my.zakupki.prom.ua/remote/dispatcher/state_purchase_view/43318727" xr:uid="{00000000-0004-0000-0000-000074010000}"/>
    <hyperlink ref="P200" r:id="rId374" display="https://my.zakupki.prom.ua/remote/dispatcher/state_purchase_view/43318378" xr:uid="{00000000-0004-0000-0000-000075010000}"/>
    <hyperlink ref="P201" r:id="rId375" display="https://my.zakupki.prom.ua/remote/dispatcher/state_purchase_view/43318194" xr:uid="{00000000-0004-0000-0000-000076010000}"/>
    <hyperlink ref="N199" r:id="rId376" xr:uid="{00000000-0004-0000-0000-000077010000}"/>
    <hyperlink ref="N200" r:id="rId377" xr:uid="{00000000-0004-0000-0000-000078010000}"/>
    <hyperlink ref="N201" r:id="rId378" xr:uid="{00000000-0004-0000-0000-000079010000}"/>
    <hyperlink ref="N202" r:id="rId379" xr:uid="{00000000-0004-0000-0000-00007A010000}"/>
    <hyperlink ref="N203" r:id="rId380" xr:uid="{00000000-0004-0000-0000-00007B010000}"/>
    <hyperlink ref="N204" r:id="rId381" xr:uid="{00000000-0004-0000-0000-00007C010000}"/>
    <hyperlink ref="P219" r:id="rId382" display="https://my.zakupki.prom.ua/remote/dispatcher/state_purchase_view/44300695" xr:uid="{00000000-0004-0000-0000-00007D010000}"/>
    <hyperlink ref="P218" r:id="rId383" display="https://my.zakupki.prom.ua/remote/dispatcher/state_purchase_view/44291790" xr:uid="{00000000-0004-0000-0000-00007E010000}"/>
    <hyperlink ref="P215" r:id="rId384" display="https://my.zakupki.prom.ua/remote/dispatcher/state_purchase_view/44239848" xr:uid="{00000000-0004-0000-0000-00007F010000}"/>
    <hyperlink ref="P214" r:id="rId385" display="https://my.zakupki.prom.ua/remote/dispatcher/state_purchase_view/44239007" xr:uid="{00000000-0004-0000-0000-000080010000}"/>
    <hyperlink ref="P216" r:id="rId386" display="https://my.zakupki.prom.ua/remote/dispatcher/state_purchase_view/44237685" xr:uid="{00000000-0004-0000-0000-000081010000}"/>
    <hyperlink ref="P217" r:id="rId387" display="https://my.zakupki.prom.ua/remote/dispatcher/state_purchase_view/44236786" xr:uid="{00000000-0004-0000-0000-000082010000}"/>
    <hyperlink ref="P213" r:id="rId388" display="https://my.zakupki.prom.ua/remote/dispatcher/state_purchase_view/44182962" xr:uid="{00000000-0004-0000-0000-000083010000}"/>
    <hyperlink ref="P212" r:id="rId389" display="https://my.zakupki.prom.ua/remote/dispatcher/state_purchase_view/44182725" xr:uid="{00000000-0004-0000-0000-000084010000}"/>
    <hyperlink ref="P211" r:id="rId390" display="https://my.zakupki.prom.ua/remote/dispatcher/state_purchase_view/44105193" xr:uid="{00000000-0004-0000-0000-000085010000}"/>
    <hyperlink ref="P210" r:id="rId391" display="https://my.zakupki.prom.ua/remote/dispatcher/state_purchase_view/44101829" xr:uid="{00000000-0004-0000-0000-000086010000}"/>
    <hyperlink ref="P209" r:id="rId392" display="https://my.zakupki.prom.ua/remote/dispatcher/state_purchase_view/44101024" xr:uid="{00000000-0004-0000-0000-000087010000}"/>
    <hyperlink ref="P206" r:id="rId393" display="https://my.zakupki.prom.ua/remote/dispatcher/state_purchase_view/44004041" xr:uid="{00000000-0004-0000-0000-000088010000}"/>
    <hyperlink ref="P205" r:id="rId394" display="https://my.zakupki.prom.ua/remote/dispatcher/state_purchase_view/43891512" xr:uid="{00000000-0004-0000-0000-000089010000}"/>
    <hyperlink ref="P207" r:id="rId395" display="https://my.zakupki.prom.ua/remote/dispatcher/state_purchase_view/43867505" xr:uid="{00000000-0004-0000-0000-00008A010000}"/>
    <hyperlink ref="P208" r:id="rId396" display="https://my.zakupki.prom.ua/remote/dispatcher/state_purchase_view/43867505" xr:uid="{00000000-0004-0000-0000-00008B010000}"/>
    <hyperlink ref="N205" r:id="rId397" xr:uid="{00000000-0004-0000-0000-00008C010000}"/>
    <hyperlink ref="N206" r:id="rId398" xr:uid="{00000000-0004-0000-0000-00008D010000}"/>
    <hyperlink ref="N207" r:id="rId399" xr:uid="{00000000-0004-0000-0000-00008E010000}"/>
    <hyperlink ref="N208" r:id="rId400" xr:uid="{00000000-0004-0000-0000-00008F010000}"/>
    <hyperlink ref="N209" r:id="rId401" xr:uid="{00000000-0004-0000-0000-000090010000}"/>
    <hyperlink ref="N210" r:id="rId402" xr:uid="{00000000-0004-0000-0000-000091010000}"/>
    <hyperlink ref="N211" r:id="rId403" xr:uid="{00000000-0004-0000-0000-000092010000}"/>
    <hyperlink ref="N212" r:id="rId404" xr:uid="{00000000-0004-0000-0000-000093010000}"/>
    <hyperlink ref="N213" r:id="rId405" xr:uid="{00000000-0004-0000-0000-000094010000}"/>
    <hyperlink ref="N214" r:id="rId406" xr:uid="{00000000-0004-0000-0000-000095010000}"/>
    <hyperlink ref="N215" r:id="rId407" xr:uid="{00000000-0004-0000-0000-000096010000}"/>
    <hyperlink ref="N218" r:id="rId408" xr:uid="{00000000-0004-0000-0000-000097010000}"/>
    <hyperlink ref="N219" r:id="rId409" xr:uid="{00000000-0004-0000-0000-000098010000}"/>
    <hyperlink ref="N216" r:id="rId410" xr:uid="{00000000-0004-0000-0000-000099010000}"/>
    <hyperlink ref="N217" r:id="rId411" xr:uid="{00000000-0004-0000-0000-00009A010000}"/>
    <hyperlink ref="P228" r:id="rId412" display="https://my.zakupki.prom.ua/remote/dispatcher/state_purchase_view/44539346" xr:uid="{00000000-0004-0000-0000-00009B010000}"/>
    <hyperlink ref="P229" r:id="rId413" display="https://my.zakupki.prom.ua/remote/dispatcher/state_purchase_view/44535001" xr:uid="{00000000-0004-0000-0000-00009C010000}"/>
    <hyperlink ref="P230" r:id="rId414" display="https://my.zakupki.prom.ua/remote/dispatcher/state_purchase_view/44523546" xr:uid="{00000000-0004-0000-0000-00009D010000}"/>
    <hyperlink ref="P223" r:id="rId415" display="https://my.zakupki.prom.ua/remote/dispatcher/state_purchase_view/44450761" xr:uid="{00000000-0004-0000-0000-00009E010000}"/>
    <hyperlink ref="P224" r:id="rId416" display="https://my.zakupki.prom.ua/remote/dispatcher/state_purchase_view/44442189" xr:uid="{00000000-0004-0000-0000-00009F010000}"/>
    <hyperlink ref="P225" r:id="rId417" display="https://my.zakupki.prom.ua/remote/dispatcher/state_purchase_view/44441521" xr:uid="{00000000-0004-0000-0000-0000A0010000}"/>
    <hyperlink ref="P226" r:id="rId418" display="https://my.zakupki.prom.ua/remote/dispatcher/state_purchase_view/44441001" xr:uid="{00000000-0004-0000-0000-0000A1010000}"/>
    <hyperlink ref="P227" r:id="rId419" display="https://my.zakupki.prom.ua/remote/dispatcher/state_purchase_view/44433428" xr:uid="{00000000-0004-0000-0000-0000A2010000}"/>
    <hyperlink ref="P221" r:id="rId420" display="https://my.zakupki.prom.ua/remote/dispatcher/state_purchase_view/44418733" xr:uid="{00000000-0004-0000-0000-0000A3010000}"/>
    <hyperlink ref="P222" r:id="rId421" display="https://my.zakupki.prom.ua/remote/dispatcher/state_purchase_view/44411432" xr:uid="{00000000-0004-0000-0000-0000A4010000}"/>
    <hyperlink ref="P220" r:id="rId422" display="https://my.zakupki.prom.ua/remote/dispatcher/state_purchase_view/44396461" xr:uid="{00000000-0004-0000-0000-0000A5010000}"/>
    <hyperlink ref="N221" r:id="rId423" xr:uid="{00000000-0004-0000-0000-0000A6010000}"/>
    <hyperlink ref="N222" r:id="rId424" xr:uid="{00000000-0004-0000-0000-0000A7010000}"/>
    <hyperlink ref="N223" r:id="rId425" xr:uid="{00000000-0004-0000-0000-0000A8010000}"/>
    <hyperlink ref="N220" r:id="rId426" xr:uid="{00000000-0004-0000-0000-0000A9010000}"/>
    <hyperlink ref="N224" r:id="rId427" xr:uid="{00000000-0004-0000-0000-0000AA010000}"/>
    <hyperlink ref="N225" r:id="rId428" xr:uid="{00000000-0004-0000-0000-0000AB010000}"/>
    <hyperlink ref="N226" r:id="rId429" xr:uid="{00000000-0004-0000-0000-0000AC010000}"/>
    <hyperlink ref="N227" r:id="rId430" xr:uid="{00000000-0004-0000-0000-0000AD010000}"/>
    <hyperlink ref="N228" r:id="rId431" xr:uid="{00000000-0004-0000-0000-0000AE010000}"/>
    <hyperlink ref="N229" r:id="rId432" xr:uid="{00000000-0004-0000-0000-0000AF010000}"/>
    <hyperlink ref="N230" r:id="rId433" xr:uid="{00000000-0004-0000-0000-0000B0010000}"/>
    <hyperlink ref="P234" r:id="rId434" display="https://my.zakupki.prom.ua/remote/dispatcher/state_purchase_view/44727318" xr:uid="{00000000-0004-0000-0000-0000B1010000}"/>
    <hyperlink ref="P235" r:id="rId435" display="https://my.zakupki.prom.ua/remote/dispatcher/state_purchase_view/44720799" xr:uid="{00000000-0004-0000-0000-0000B2010000}"/>
    <hyperlink ref="P231" r:id="rId436" display="https://my.zakupki.prom.ua/remote/dispatcher/state_purchase_view/44706235" xr:uid="{00000000-0004-0000-0000-0000B3010000}"/>
    <hyperlink ref="P232" r:id="rId437" display="https://my.zakupki.prom.ua/remote/dispatcher/state_purchase_view/44705001" xr:uid="{00000000-0004-0000-0000-0000B4010000}"/>
    <hyperlink ref="P233" r:id="rId438" display="https://my.zakupki.prom.ua/remote/dispatcher/state_purchase_view/44701962" xr:uid="{00000000-0004-0000-0000-0000B5010000}"/>
    <hyperlink ref="N232" r:id="rId439" xr:uid="{00000000-0004-0000-0000-0000B6010000}"/>
    <hyperlink ref="N231" r:id="rId440" xr:uid="{00000000-0004-0000-0000-0000B7010000}"/>
    <hyperlink ref="N233" r:id="rId441" xr:uid="{00000000-0004-0000-0000-0000B8010000}"/>
    <hyperlink ref="N234" r:id="rId442" xr:uid="{00000000-0004-0000-0000-0000B9010000}"/>
    <hyperlink ref="N235" r:id="rId443" xr:uid="{00000000-0004-0000-0000-0000BA010000}"/>
    <hyperlink ref="P242" r:id="rId444" display="https://my.zakupki.prom.ua/remote/dispatcher/state_purchase_view/44902990" xr:uid="{35D7904F-6A05-430D-95AE-921EE2BDF315}"/>
    <hyperlink ref="N242" r:id="rId445" xr:uid="{0968AA8D-CEEA-4105-A016-A8CB11E53EDE}"/>
    <hyperlink ref="N236" r:id="rId446" xr:uid="{06967104-6791-45E5-A8E2-404B4D5B2FAD}"/>
    <hyperlink ref="P236" r:id="rId447" display="https://my.zakupki.prom.ua/remote/dispatcher/state_purchase_view/44771791" xr:uid="{DD0F95DD-BA8A-4DBA-A6E4-423DB37134E8}"/>
    <hyperlink ref="P237" r:id="rId448" display="https://my.zakupki.prom.ua/remote/dispatcher/state_purchase_view/44807604" xr:uid="{C482279C-B1CF-4199-93C7-EBAF4A8C0A22}"/>
    <hyperlink ref="N237" r:id="rId449" xr:uid="{D5047775-90C6-4742-9188-03FAD6A44898}"/>
    <hyperlink ref="N238" r:id="rId450" xr:uid="{268CDBE0-639A-4B01-82EA-83001419741E}"/>
    <hyperlink ref="P238" r:id="rId451" display="https://my.zakupki.prom.ua/remote/dispatcher/state_purchase_view/44854320" xr:uid="{B9D6FF44-8547-4608-8A8A-F453CAC36F06}"/>
    <hyperlink ref="P239" r:id="rId452" display="https://my.zakupki.prom.ua/remote/dispatcher/state_purchase_view/44854535" xr:uid="{D9871E73-F421-4516-8D4C-6ED8C9887A19}"/>
    <hyperlink ref="N239" r:id="rId453" xr:uid="{98C185DD-4A73-47D5-A9DD-88F9438CF12C}"/>
    <hyperlink ref="P240" r:id="rId454" display="https://my.zakupki.prom.ua/remote/dispatcher/state_purchase_view/44854889" xr:uid="{850869A0-25ED-478F-9F87-A5FFAC02C6BC}"/>
    <hyperlink ref="N240" r:id="rId455" xr:uid="{9905D307-1B9E-423A-89D8-BEAF1346201E}"/>
    <hyperlink ref="N241" r:id="rId456" xr:uid="{E305225F-2B9C-4375-8FB1-AFFE24D54534}"/>
    <hyperlink ref="P241" r:id="rId457" display="https://my.zakupki.prom.ua/remote/dispatcher/state_purchase_view/44895251" xr:uid="{F6618595-64A8-4149-8049-DA933376C302}"/>
    <hyperlink ref="P243" r:id="rId458" display="https://my.zakupki.prom.ua/remote/dispatcher/state_purchase_lot_view/1042853" xr:uid="{329855D4-BB93-4B45-B9A7-E653795A36D6}"/>
    <hyperlink ref="N243" r:id="rId459" xr:uid="{7D827F96-8F7F-47C9-B996-09176D77ED0E}"/>
    <hyperlink ref="P244" r:id="rId460" display="https://my.zakupki.prom.ua/remote/dispatcher/state_purchase_view/45103007" xr:uid="{CD4E3FD4-7FB1-48F9-8147-882F55798C0B}"/>
    <hyperlink ref="N244" r:id="rId461" xr:uid="{0F6430A1-459E-498D-8D68-B9769EAC8056}"/>
    <hyperlink ref="P245" r:id="rId462" display="https://my.zakupki.prom.ua/remote/dispatcher/state_purchase_view/45101986" xr:uid="{1E8E9070-90CA-4BA7-B1F5-92F1D5FEDC8C}"/>
    <hyperlink ref="P246" r:id="rId463" display="https://my.zakupki.prom.ua/remote/dispatcher/state_purchase_view/45099204" xr:uid="{462C8EA8-5C82-4395-B62B-8D49D1767571}"/>
    <hyperlink ref="N245" r:id="rId464" xr:uid="{F25FF92F-B3D3-4C18-B1D4-DBC24ED38A5B}"/>
    <hyperlink ref="N246" r:id="rId465" xr:uid="{77E0DE41-7AEF-482A-813E-C8340A13CC76}"/>
    <hyperlink ref="P247" r:id="rId466" display="https://my.zakupki.prom.ua/remote/dispatcher/state_purchase_view/44982124" xr:uid="{756FB20E-D299-454E-8B8E-32D1A2BBC739}"/>
    <hyperlink ref="N247" r:id="rId467" xr:uid="{2F124D32-D58F-4175-B1DE-5575A2E204E1}"/>
    <hyperlink ref="P248" r:id="rId468" display="https://my.zakupki.prom.ua/remote/dispatcher/state_purchase_view/44981628" xr:uid="{C2F78F6D-A80F-432B-897A-BE112E2FE2F7}"/>
    <hyperlink ref="N248" r:id="rId469" xr:uid="{D35582EE-9CF9-42C3-881B-B43C5576663E}"/>
    <hyperlink ref="P249" r:id="rId470" display="https://my.zakupki.prom.ua/remote/dispatcher/state_purchase_view/44980799" xr:uid="{1D5FB23A-B72A-40AC-A5BB-23DD2744E464}"/>
    <hyperlink ref="N249" r:id="rId471" xr:uid="{B2F53BDC-27FF-465D-A6C9-F4474915AF40}"/>
    <hyperlink ref="P250" r:id="rId472" display="https://my.zakupki.prom.ua/remote/dispatcher/state_purchase_view/44980722" xr:uid="{C3D201A9-DB56-4E56-B75D-13431E59C315}"/>
    <hyperlink ref="P251" r:id="rId473" display="https://my.zakupki.prom.ua/remote/dispatcher/state_purchase_view/44947327" xr:uid="{DE577EA6-727C-4F74-9350-3EE010A64F82}"/>
    <hyperlink ref="N250" r:id="rId474" xr:uid="{F32FE55F-98F5-4246-9981-90A5457702C2}"/>
    <hyperlink ref="N251" r:id="rId475" xr:uid="{10AB75FC-1F7D-4954-8EBC-5AA1518B74B8}"/>
    <hyperlink ref="P252" r:id="rId476" display="https://my.zakupki.prom.ua/remote/dispatcher/state_purchase_view/45239472" xr:uid="{58BAC323-554F-4D62-A30C-2537DF526475}"/>
    <hyperlink ref="N252" r:id="rId477" xr:uid="{6FCE57AB-E93D-4F7A-A10A-66B59E4A7B28}"/>
    <hyperlink ref="P253" r:id="rId478" display="https://my.zakupki.prom.ua/remote/dispatcher/state_purchase_view/45277635" xr:uid="{5DE78F3A-F3A8-44F6-8832-7898E37313C9}"/>
    <hyperlink ref="N253" r:id="rId479" xr:uid="{FE1534A9-CC11-41D7-8714-FE26D36E6330}"/>
    <hyperlink ref="P254" r:id="rId480" display="https://my.zakupki.prom.ua/remote/dispatcher/state_purchase_view/45319690" xr:uid="{81EAB63F-8E35-4537-9AB1-BC3B2DCE9B58}"/>
    <hyperlink ref="N254" r:id="rId481" xr:uid="{F8055CAB-38FD-4CF9-8140-B7FAC788660B}"/>
    <hyperlink ref="P255" r:id="rId482" display="https://my.zakupki.prom.ua/remote/dispatcher/state_purchase_view/45367412" xr:uid="{C9985C57-CCD4-403E-B2CC-8FBAAB158241}"/>
    <hyperlink ref="N255" r:id="rId483" xr:uid="{B659C239-2810-4935-9FBD-32C9FFC7B18D}"/>
    <hyperlink ref="N256" r:id="rId484" xr:uid="{DA57DEE5-FE32-4958-820F-EAFB4DFF4414}"/>
    <hyperlink ref="N257" r:id="rId485" xr:uid="{1089A316-B264-4583-8DB2-C697F6BB27FB}"/>
    <hyperlink ref="P258" r:id="rId486" display="https://my.zakupki.prom.ua/remote/dispatcher/state_purchase_view/45419703" xr:uid="{3B4F89D4-864B-4A61-8352-BAAAC03D206F}"/>
    <hyperlink ref="P257" r:id="rId487" display="https://my.zakupki.prom.ua/remote/dispatcher/state_purchase_view/45419691" xr:uid="{2DED3C51-B7C7-4A45-B27B-1D5C1C4588AA}"/>
    <hyperlink ref="N258" r:id="rId488" xr:uid="{7321C950-2F2B-432D-AA48-16AAE3DF085A}"/>
    <hyperlink ref="P259" r:id="rId489" display="https://my.zakupki.prom.ua/remote/dispatcher/state_purchase_view/45482565" xr:uid="{038A8280-BBB6-4AA9-9BE8-717F363E8323}"/>
    <hyperlink ref="N259" r:id="rId490" xr:uid="{4F08030B-DC66-45C1-82B0-F89DF8F698AC}"/>
    <hyperlink ref="P260" r:id="rId491" display="https://my.zakupki.prom.ua/remote/dispatcher/state_purchase_view/45483418" xr:uid="{705D0674-3AA3-404D-8328-FDE106EFC5B4}"/>
    <hyperlink ref="N260" r:id="rId492" xr:uid="{49F28E61-643F-4A32-A777-54973140DAE7}"/>
    <hyperlink ref="P261" r:id="rId493" display="https://my.zakupki.prom.ua/remote/dispatcher/state_purchase_view/45549412" xr:uid="{EECD0541-659E-4985-B775-96D6BB0A3729}"/>
    <hyperlink ref="N261" r:id="rId494" xr:uid="{D38A517F-D9D7-4EB2-9D6A-7B977B03B487}"/>
    <hyperlink ref="P262" r:id="rId495" display="https://my.zakupki.prom.ua/remote/dispatcher/state_purchase_view/45589939" xr:uid="{1B1FFD3B-F596-4344-9B80-27F4FCC78371}"/>
    <hyperlink ref="N262" r:id="rId496" xr:uid="{10CDF3F7-5F68-4620-8E7F-9433038ADEFE}"/>
    <hyperlink ref="P263" r:id="rId497" display="https://my.zakupki.prom.ua/remote/dispatcher/state_purchase_view/45723610" xr:uid="{76EDFC7B-8EF5-431E-B3BA-CE0B4E69E7FC}"/>
    <hyperlink ref="N263" r:id="rId498" xr:uid="{75BC5DA9-006C-451A-90FF-7D4D7F94BBD3}"/>
    <hyperlink ref="P264" r:id="rId499" display="https://my.zakupivli.pro/remote/dispatcher/state_purchase_view/45776105" xr:uid="{11BD9C71-088E-49F8-A1F9-0C85B158A7DE}"/>
    <hyperlink ref="N264" r:id="rId500" xr:uid="{42BF3D71-E0EC-409E-8A76-ED2DA0483A92}"/>
    <hyperlink ref="P265" r:id="rId501" display="https://my.zakupivli.pro/remote/dispatcher/state_purchase_view/45900809" xr:uid="{0F22DB34-A0E7-4F3D-A252-B35B59CE46D0}"/>
    <hyperlink ref="N265" r:id="rId502" xr:uid="{9C24C203-C182-464E-983A-09EFC3D5D798}"/>
    <hyperlink ref="N266" r:id="rId503" xr:uid="{B41AF960-359C-4E37-89E4-8C43D39099A7}"/>
    <hyperlink ref="P266" r:id="rId504" display="https://my.zakupivli.pro/remote/dispatcher/state_purchase_view/46124597" xr:uid="{88335306-1F58-411A-9A6E-14BAB748AD0A}"/>
    <hyperlink ref="P267" r:id="rId505" display="https://my.zakupivli.pro/remote/dispatcher/state_purchase_view/46132051" xr:uid="{2F7AE455-97F1-46AE-AC0F-75D9AA1D2FB5}"/>
    <hyperlink ref="N267" r:id="rId506" xr:uid="{5C486E5E-88B7-40B7-B6D0-EBD7A8E598B1}"/>
    <hyperlink ref="P268" r:id="rId507" display="https://my.zakupivli.pro/remote/dispatcher/state_purchase_view/46171793" xr:uid="{CA32A70B-0B2C-4C58-A7D0-D78EB55CEFB2}"/>
    <hyperlink ref="P269" r:id="rId508" display="https://my.zakupivli.pro/remote/dispatcher/state_purchase_view/46171789" xr:uid="{3E7E826B-999A-4A95-88BB-033833831793}"/>
    <hyperlink ref="P270" r:id="rId509" display="https://my.zakupivli.pro/remote/dispatcher/state_purchase_view/46171200" xr:uid="{326B98CE-F20F-414D-B782-C444D113E143}"/>
    <hyperlink ref="N268" r:id="rId510" xr:uid="{D043E030-09F5-4E37-8E84-1B427ACB8A11}"/>
    <hyperlink ref="N269" r:id="rId511" xr:uid="{AFA68A9E-697B-4FBB-B8FF-274302DF4B1E}"/>
    <hyperlink ref="N270" r:id="rId512" xr:uid="{523C7CE3-A7BD-42AC-A04F-5C3701CBE8ED}"/>
    <hyperlink ref="P271" r:id="rId513" display="https://my.zakupivli.pro/remote/dispatcher/state_purchase_view/46516934" xr:uid="{CC2092C9-7BF9-441F-8170-8D823347C61C}"/>
    <hyperlink ref="P272" r:id="rId514" display="https://my.zakupivli.pro/remote/dispatcher/state_purchase_view/46516207" xr:uid="{115B2E30-CF54-419B-A482-9E799E363263}"/>
    <hyperlink ref="N271" r:id="rId515" xr:uid="{6CEB5566-381D-49BD-A856-8C63AFE9D5AD}"/>
    <hyperlink ref="N272" r:id="rId516" xr:uid="{CD93EB01-D7D9-417E-859F-7988D0008E72}"/>
    <hyperlink ref="P273" r:id="rId517" display="https://my.zakupivli.pro/remote/dispatcher/state_purchase_view/46767750" xr:uid="{9E7D3B30-6A7A-4426-8912-C70548DBE37C}"/>
    <hyperlink ref="N273" r:id="rId518" xr:uid="{46EB2A81-B659-4644-A81E-32B030DEA499}"/>
    <hyperlink ref="P274" r:id="rId519" display="https://my.zakupivli.pro/remote/dispatcher/state_purchase_view/47062887" xr:uid="{D685BB15-6114-4E97-9524-6A4F1335861A}"/>
    <hyperlink ref="N274" r:id="rId520" xr:uid="{85D5536B-3FEA-4124-BDF8-F47FE7D991AC}"/>
    <hyperlink ref="P275" r:id="rId521" display="https://my.zakupivli.pro/remote/dispatcher/state_purchase_view/47064329" xr:uid="{95C8CABE-1271-499B-B0A3-CD7B877BF195}"/>
    <hyperlink ref="N275" r:id="rId522" xr:uid="{B76D6B3A-9D80-4D4E-898A-AA4D5E51F53A}"/>
    <hyperlink ref="P276" r:id="rId523" display="https://my.zakupivli.pro/remote/dispatcher/state_purchase_view/47068707" xr:uid="{11EA5FAF-8C27-4F21-BAEA-F46992F04C0F}"/>
    <hyperlink ref="N276" r:id="rId524" xr:uid="{7E5880D2-9237-47D6-B686-6A19FD4A758F}"/>
    <hyperlink ref="P277" r:id="rId525" display="https://my.zakupivli.pro/remote/dispatcher/state_purchase_view/47090594" xr:uid="{EFCBAA21-4892-4E8F-AF06-8865392F2321}"/>
    <hyperlink ref="N277" r:id="rId526" xr:uid="{5E8692FA-FC7C-4171-8AE7-1947AC56FEFC}"/>
    <hyperlink ref="P278" r:id="rId527" display="https://my.zakupivli.pro/remote/dispatcher/state_purchase_view/47164745" xr:uid="{5DAC383B-742F-4F56-B15E-9B13A50D4105}"/>
    <hyperlink ref="N278" r:id="rId528" xr:uid="{E1248D5E-3B1D-4275-9676-ADB3984D0819}"/>
    <hyperlink ref="P279" r:id="rId529" display="https://my.zakupivli.pro/remote/dispatcher/state_purchase_view/47166044" xr:uid="{DFBDB441-A057-4E66-925F-8E90753B6E0E}"/>
    <hyperlink ref="N279" r:id="rId530" xr:uid="{FB3022B2-6D7A-443C-9608-BE6F382391EC}"/>
    <hyperlink ref="P280" r:id="rId531" display="https://my.zakupivli.pro/remote/dispatcher/state_purchase_view/47305506" xr:uid="{5E54586E-E132-4F9D-AD36-0BAA31EEF781}"/>
    <hyperlink ref="N280" r:id="rId532" xr:uid="{A8680BCE-DF97-44D4-85D6-DB96DA6DC01A}"/>
    <hyperlink ref="P281" r:id="rId533" display="https://my.zakupivli.pro/remote/dispatcher/state_purchase_view/47307414" xr:uid="{7443F389-20D6-492E-9C76-617330C7716B}"/>
    <hyperlink ref="N281" r:id="rId534" xr:uid="{78941864-19A1-4513-A641-4D8E75C30F0D}"/>
    <hyperlink ref="P282" r:id="rId535" display="https://my.zakupivli.pro/remote/dispatcher/state_purchase_view/47317977" xr:uid="{83F3D83C-7240-4FAB-9F19-7720A0D9F148}"/>
    <hyperlink ref="N282" r:id="rId536" xr:uid="{316E5746-69EC-43FF-AC6E-0DDF4E8344DB}"/>
    <hyperlink ref="P283" r:id="rId537" display="https://my.zakupivli.pro/remote/dispatcher/state_purchase_view/47342805" xr:uid="{141473D2-5D3A-4057-82F9-AB639D2429CF}"/>
    <hyperlink ref="N283" r:id="rId538" xr:uid="{A7836F27-531F-4AE0-B29B-7995F34A0825}"/>
    <hyperlink ref="P284" r:id="rId539" display="https://my.zakupivli.pro/remote/dispatcher/state_purchase_view/47358944" xr:uid="{EE4C6348-9FE9-4BFA-83BE-29589CE3B0FA}"/>
    <hyperlink ref="N284" r:id="rId540" xr:uid="{3011F63D-7DD3-407E-8E7E-40E5ECA1F568}"/>
    <hyperlink ref="P285" r:id="rId541" display="https://my.zakupivli.pro/remote/dispatcher/state_purchase_view/47491667" xr:uid="{1B56DE05-C28D-48D6-80D2-FBF13C195033}"/>
    <hyperlink ref="N285" r:id="rId542" xr:uid="{4A84CD57-672F-4416-BEBA-C40C45C7642E}"/>
    <hyperlink ref="P286" r:id="rId543" display="https://my.zakupivli.pro/remote/dispatcher/state_purchase_view/47910696" xr:uid="{4287165F-BDDD-48BA-98F5-AA231576C35E}"/>
    <hyperlink ref="N286" r:id="rId544" xr:uid="{B623663F-0EB9-4425-99D3-F1BE7F2C2E33}"/>
    <hyperlink ref="P287" r:id="rId545" display="https://my.zakupivli.pro/remote/dispatcher/state_purchase_view/47633281" xr:uid="{2A256BEE-9E6A-45DC-B06B-1F17F6364C0E}"/>
    <hyperlink ref="P288" r:id="rId546" display="https://my.zakupivli.pro/remote/dispatcher/state_purchase_view/47633281" xr:uid="{E83AC779-79AF-4267-8CD8-FFD3AECB13A2}"/>
    <hyperlink ref="N287" r:id="rId547" xr:uid="{46E4BD30-86AC-481C-BA7C-37625FF9810E}"/>
    <hyperlink ref="N288" r:id="rId548" xr:uid="{F7268203-1F9D-4C68-88E6-399C6C0C1607}"/>
    <hyperlink ref="P289" r:id="rId549" display="https://my.zakupivli.pro/remote/dispatcher/state_purchase_view/48101499" xr:uid="{DC06E9C7-52E3-4B89-BCF0-1D6070E1B5FD}"/>
    <hyperlink ref="N289" r:id="rId550" xr:uid="{3CDA8FA0-89C3-4E2A-8C06-FD9293BE5366}"/>
    <hyperlink ref="P290" r:id="rId551" display="https://my.zakupivli.pro/remote/dispatcher/state_purchase_view/48103321" xr:uid="{7FB937D3-2DA5-457E-A386-40B3E7956360}"/>
    <hyperlink ref="N290" r:id="rId552" xr:uid="{60FF387B-0AF2-43CD-9291-C9C81F0EC386}"/>
    <hyperlink ref="P291" r:id="rId553" display="https://my.zakupivli.pro/remote/dispatcher/state_purchase_view/48105790" xr:uid="{7EDC3EF0-DB4D-482B-B6E3-3C6199523899}"/>
    <hyperlink ref="P292" r:id="rId554" display="https://my.zakupivli.pro/remote/dispatcher/state_purchase_view/48105477" xr:uid="{AAE3F011-237A-45CE-AA31-D426D54A1704}"/>
    <hyperlink ref="N291" r:id="rId555" xr:uid="{BFA7A750-2AF3-49AD-95F7-C201CF940A83}"/>
    <hyperlink ref="N292" r:id="rId556" xr:uid="{85215DB0-830A-4DEC-9844-4B01A0705EAA}"/>
    <hyperlink ref="P293" r:id="rId557" display="https://my.zakupivli.pro/remote/dispatcher/state_purchase_view/48106223" xr:uid="{87CFECF2-2C04-40EA-836D-22859C0F780D}"/>
    <hyperlink ref="N293" r:id="rId558" xr:uid="{700DA714-8EF4-47B4-A2C1-96297FCB39D7}"/>
    <hyperlink ref="P294" r:id="rId559" display="https://my.zakupivli.pro/remote/dispatcher/state_purchase_view/48106340" xr:uid="{36D00867-5B12-4217-A43B-90710ABA8CD7}"/>
    <hyperlink ref="N294" r:id="rId560" xr:uid="{63EF3F9E-BC74-40DB-81A3-B9F5D55C856A}"/>
    <hyperlink ref="P295" r:id="rId561" display="https://my.zakupivli.pro/remote/dispatcher/state_purchase_view/48106581" xr:uid="{DC0EEE25-B2C1-4DDB-ABFE-2CE88E517228}"/>
    <hyperlink ref="N295" r:id="rId562" xr:uid="{E88F5A8F-3813-4AE6-9C6A-A17CDCD20630}"/>
    <hyperlink ref="P296" r:id="rId563" display="https://my.zakupivli.pro/remote/dispatcher/state_purchase_view/48111319" xr:uid="{7DA3CB46-5812-46EE-9289-59CFA2537FBE}"/>
    <hyperlink ref="P297" r:id="rId564" display="https://my.zakupivli.pro/remote/dispatcher/state_purchase_view/48111316" xr:uid="{CBD3FE5B-23BC-4CFA-88B7-A167600B68C1}"/>
    <hyperlink ref="N296" r:id="rId565" xr:uid="{53531B3D-CC8E-4641-9C9C-8A7820FA81B7}"/>
    <hyperlink ref="N297" r:id="rId566" xr:uid="{0313DCB0-D095-4BD4-8BC2-B26AFE06ABBE}"/>
    <hyperlink ref="P298" r:id="rId567" display="https://my.zakupivli.pro/remote/dispatcher/state_purchase_view/48114851" xr:uid="{903168B5-3A6E-471D-A67B-3DAB784E8647}"/>
    <hyperlink ref="P299" r:id="rId568" display="https://my.zakupivli.pro/remote/dispatcher/state_purchase_view/48113034" xr:uid="{AA61A7C0-2F9C-4770-A34A-82BBD0E4A8E3}"/>
    <hyperlink ref="P300" r:id="rId569" display="https://my.zakupivli.pro/remote/dispatcher/state_purchase_view/48111399" xr:uid="{E3C50B9A-622A-4512-93F2-603B0039CAEC}"/>
    <hyperlink ref="N298" r:id="rId570" xr:uid="{FB83EDA4-B568-44AE-8DB6-4642D2E768E0}"/>
    <hyperlink ref="N299" r:id="rId571" xr:uid="{E4019105-D935-4C73-9284-FCA0F2E5121E}"/>
    <hyperlink ref="N300" r:id="rId572" xr:uid="{6C33E922-A727-486F-9248-0A1FE8FA10C8}"/>
    <hyperlink ref="P301" r:id="rId573" display="https://my.zakupivli.pro/remote/dispatcher/state_purchase_view/48185148" xr:uid="{4E282C55-A843-429E-B791-25C7F6E65D2E}"/>
    <hyperlink ref="P302" r:id="rId574" display="https://my.zakupivli.pro/remote/dispatcher/state_purchase_view/48184528" xr:uid="{94FA9A30-B224-49A8-9873-C51C8623798F}"/>
    <hyperlink ref="N301" r:id="rId575" xr:uid="{2C743287-37D0-40C5-B1CB-0AAFA5E59DDB}"/>
    <hyperlink ref="N302" r:id="rId576" xr:uid="{E7B2726B-A2D8-4E2C-9252-097BF1186DC0}"/>
    <hyperlink ref="P303" r:id="rId577" display="https://my.zakupivli.pro/remote/dispatcher/state_purchase_view/48208692" xr:uid="{3D57D774-F8AB-402B-950B-A64D469EFA1A}"/>
    <hyperlink ref="P304" r:id="rId578" display="https://my.zakupivli.pro/remote/dispatcher/state_purchase_view/48208212" xr:uid="{874BD522-38D2-4837-864C-483D18D5BBFB}"/>
    <hyperlink ref="P305" r:id="rId579" display="https://my.zakupivli.pro/remote/dispatcher/state_purchase_view/48207479" xr:uid="{CF49DBBF-12D4-45E7-8BFA-E29B459C733C}"/>
    <hyperlink ref="N303" r:id="rId580" xr:uid="{77B65C9B-0F19-4AAC-9EE5-57192EDC5789}"/>
    <hyperlink ref="N304" r:id="rId581" xr:uid="{8015C633-DAAD-4A30-9C9A-8C33E2D8FC52}"/>
    <hyperlink ref="N305" r:id="rId582" xr:uid="{1291359B-E24B-4946-A1D4-6A697B1A0CB0}"/>
    <hyperlink ref="P306" r:id="rId583" display="https://my.zakupivli.pro/remote/dispatcher/state_purchase_view/48220144" xr:uid="{EE947850-1850-4481-B564-DDF42370044A}"/>
    <hyperlink ref="P307" r:id="rId584" display="https://my.zakupivli.pro/remote/dispatcher/state_purchase_view/48217755" xr:uid="{18E003D2-FB17-4A57-B564-8A8C80F9B49A}"/>
    <hyperlink ref="P308" r:id="rId585" display="https://my.zakupivli.pro/remote/dispatcher/state_purchase_view/48216345" xr:uid="{FCF3F677-914A-4ED4-9050-A3F076100605}"/>
    <hyperlink ref="N306" r:id="rId586" xr:uid="{4DD744ED-4149-4504-8208-58CE11FA836C}"/>
    <hyperlink ref="N307" r:id="rId587" xr:uid="{9A8DC495-11D2-4222-A8A5-979059742F66}"/>
    <hyperlink ref="N308" r:id="rId588" xr:uid="{142711BD-027F-498F-8BC2-41AEC3545613}"/>
    <hyperlink ref="P309" r:id="rId589" display="https://my.zakupivli.pro/remote/dispatcher/state_purchase_view/48292143" xr:uid="{217886C9-25B4-43F7-9448-0457FA726BBA}"/>
    <hyperlink ref="N309" r:id="rId590" xr:uid="{FE8B2297-60B2-4ADC-8FAD-842BA445CEBE}"/>
    <hyperlink ref="P310" r:id="rId591" display="https://my.zakupivli.pro/remote/dispatcher/state_purchase_view/48324796" xr:uid="{B94FD368-D080-4CD5-81FA-A65EE63220D7}"/>
    <hyperlink ref="P311" r:id="rId592" display="https://my.zakupivli.pro/remote/dispatcher/state_purchase_view/48324529" xr:uid="{A13A9EC0-7482-45CB-B14F-6E939143ABE0}"/>
    <hyperlink ref="N310" r:id="rId593" xr:uid="{54E90211-D408-43B1-A6AF-382152E348E3}"/>
    <hyperlink ref="N311" r:id="rId594" xr:uid="{7EB9BE67-7D50-4162-B61B-F41F694270F9}"/>
    <hyperlink ref="N312" r:id="rId595" xr:uid="{A5E14C4B-54BB-49D4-89F4-A59309850F34}"/>
    <hyperlink ref="P312" r:id="rId596" display="https://my.zakupivli.pro/remote/dispatcher/state_purchase_view/48328503" xr:uid="{5334CBA9-2F4C-4355-841B-C546B464ADEB}"/>
    <hyperlink ref="P313" r:id="rId597" display="https://my.zakupivli.pro/remote/dispatcher/state_purchase_view/48328528" xr:uid="{74AD298C-6552-4F2B-8D58-0F28B01DBB0F}"/>
    <hyperlink ref="N313" r:id="rId598" xr:uid="{ACB014C0-0AC3-4A7D-9A19-C3A72DCC4379}"/>
    <hyperlink ref="P314" r:id="rId599" display="https://my.zakupivli.pro/remote/dispatcher/state_purchase_view/48409874" xr:uid="{8380F0F1-58B7-46FF-B39D-DF9F0B7BA81D}"/>
    <hyperlink ref="P315" r:id="rId600" display="https://my.zakupivli.pro/remote/dispatcher/state_purchase_view/48409206" xr:uid="{9E8F10F3-8FE8-43CD-BC86-0525E1B7070E}"/>
    <hyperlink ref="N314" r:id="rId601" xr:uid="{8FED02A8-4A6B-4AB8-99BA-2CF3C4A14D0A}"/>
    <hyperlink ref="N315" r:id="rId602" xr:uid="{626B9152-25A3-49B5-8478-3D411CBA6AFF}"/>
    <hyperlink ref="P316" r:id="rId603" display="https://my.zakupivli.pro/remote/dispatcher/state_purchase_view/48421027" xr:uid="{84CA5F86-22B6-4C5C-A827-02C16DAF95C5}"/>
    <hyperlink ref="N316" r:id="rId604" xr:uid="{0B348DE7-DD52-4A1F-B4C7-BF3469EFB9E9}"/>
    <hyperlink ref="P317" r:id="rId605" display="https://my.zakupivli.pro/remote/dispatcher/state_purchase_view/48458403" xr:uid="{C8506A59-4ACB-44BC-8B11-43824F050AA1}"/>
    <hyperlink ref="N317" r:id="rId606" xr:uid="{A5BF20BC-4FFD-415E-849E-A7F319171501}"/>
    <hyperlink ref="P318" r:id="rId607" display="https://my.zakupivli.pro/remote/dispatcher/state_purchase_view/48459128" xr:uid="{23EAE21C-34D6-4A97-B7A6-9FFEB886D05B}"/>
    <hyperlink ref="N318" r:id="rId608" xr:uid="{09D8B72A-C9EE-4B02-BC5E-B02E758EEBB5}"/>
    <hyperlink ref="P319" r:id="rId609" display="https://my.zakupivli.pro/remote/dispatcher/state_purchase_view/48459984" xr:uid="{98A22E82-71F1-45BB-8DC9-80B182E710EC}"/>
    <hyperlink ref="N319" r:id="rId610" xr:uid="{48E9FAFC-0A59-41F2-A94B-853960B2FF84}"/>
    <hyperlink ref="P320" r:id="rId611" display="https://my.zakupivli.pro/remote/dispatcher/state_purchase_view/48461006" xr:uid="{EE39E6A2-E0E9-4B5B-902D-F9926AFA9924}"/>
    <hyperlink ref="N320" r:id="rId612" xr:uid="{E4EFA022-161B-4108-9C5D-3336CB9F17C2}"/>
    <hyperlink ref="P321" r:id="rId613" display="https://my.zakupivli.pro/remote/dispatcher/state_purchase_view/48469762" xr:uid="{533BB2A9-5389-4A99-B060-827417E2B525}"/>
    <hyperlink ref="N321" r:id="rId614" xr:uid="{8AD86BB2-331E-4900-A52E-9450B59C5A8C}"/>
    <hyperlink ref="P322" r:id="rId615" display="https://my.zakupivli.pro/remote/dispatcher/state_purchase_view/48479304" xr:uid="{9C4075EE-8EBC-478E-B081-C5B1948AD62D}"/>
    <hyperlink ref="N322" r:id="rId616" xr:uid="{D2BBD2C6-B598-4C25-AAA6-D67A6697D0F1}"/>
    <hyperlink ref="P323" r:id="rId617" display="https://my.zakupivli.pro/remote/dispatcher/state_purchase_view/48484797" xr:uid="{4D951A55-1AD5-42C8-B657-84D2C46DE94D}"/>
    <hyperlink ref="N323" r:id="rId618" xr:uid="{260480B7-2EE3-492E-BD83-E66F59F1A37C}"/>
    <hyperlink ref="P324" r:id="rId619" display="https://my.zakupivli.pro/remote/dispatcher/state_purchase_view/48486803" xr:uid="{CA6F2F88-3255-46EB-AEB6-6735281DA15F}"/>
    <hyperlink ref="N324" r:id="rId620" xr:uid="{C0A786EE-959C-42D2-8D38-4084A2D2C6B4}"/>
    <hyperlink ref="P325" r:id="rId621" display="https://my.zakupivli.pro/remote/dispatcher/state_purchase_view/48486096" xr:uid="{0F96EA38-620F-4BB3-8191-F04BFE69339F}"/>
    <hyperlink ref="N325" r:id="rId622" xr:uid="{CCF8DB01-46DE-4370-8F20-AD4D4C4DCD8E}"/>
    <hyperlink ref="P326" r:id="rId623" display="https://my.zakupivli.pro/remote/dispatcher/state_purchase_view/48488090" xr:uid="{5A8D749A-3AC4-4303-ADCB-7583CC3E02D3}"/>
    <hyperlink ref="N326" r:id="rId624" xr:uid="{099BBCEA-E90A-4E89-B389-0517299E2A78}"/>
    <hyperlink ref="P327" r:id="rId625" display="https://my.zakupivli.pro/remote/dispatcher/state_purchase_view/48492237" xr:uid="{4049A486-09D4-4FCC-94EB-2F5610E3A26C}"/>
    <hyperlink ref="N327" r:id="rId626" xr:uid="{521A0D01-585D-4F1D-BD73-E0D6D876CA1D}"/>
    <hyperlink ref="P328" r:id="rId627" display="https://my.zakupivli.pro/remote/dispatcher/state_purchase_view/48567018" xr:uid="{01EC758E-66BD-4592-9EEF-A1BBAAD42423}"/>
    <hyperlink ref="P329" r:id="rId628" display="https://my.zakupivli.pro/remote/dispatcher/state_purchase_view/48555711" xr:uid="{8B5F7998-AC5F-4BB4-BD17-1FFB60980770}"/>
    <hyperlink ref="P330" r:id="rId629" display="https://my.zakupivli.pro/remote/dispatcher/state_purchase_view/48552651" xr:uid="{371B5630-B3EB-4A5E-B9BE-187FC1A1CC07}"/>
    <hyperlink ref="P331" r:id="rId630" display="https://my.zakupivli.pro/remote/dispatcher/state_purchase_view/48552028" xr:uid="{55604A43-B993-41EB-9555-3F92BFB6EDD4}"/>
    <hyperlink ref="N328" r:id="rId631" xr:uid="{CE3F6164-D469-4D12-B61E-FB2373B40542}"/>
    <hyperlink ref="N329" r:id="rId632" xr:uid="{6A10F7B3-1C9A-42F5-B3FD-F3DA01548AFC}"/>
    <hyperlink ref="N330" r:id="rId633" xr:uid="{69430160-E421-48C1-A2A2-AD1A57322823}"/>
    <hyperlink ref="N331" r:id="rId634" xr:uid="{CB131B6D-FF08-40FA-96AD-8888C96F68AD}"/>
    <hyperlink ref="P332" r:id="rId635" display="https://my.zakupivli.pro/remote/dispatcher/state_purchase_view/48603959" xr:uid="{CCA9DA7A-8B02-4FFD-9110-93EBA0F826AA}"/>
    <hyperlink ref="N332" r:id="rId636" xr:uid="{14C8EDAD-BE6F-49B4-8BF8-EA1FB79C318A}"/>
    <hyperlink ref="P333" r:id="rId637" display="https://my.zakupivli.pro/remote/dispatcher/state_purchase_view/48579121" xr:uid="{32A60C36-B421-4D44-B76E-C8711C465114}"/>
    <hyperlink ref="P334" r:id="rId638" display="https://my.zakupivli.pro/remote/dispatcher/state_purchase_view/48579121" xr:uid="{1933C65F-5519-4FE8-A572-122BF8D123FB}"/>
    <hyperlink ref="P335" r:id="rId639" display="https://my.zakupivli.pro/remote/dispatcher/state_purchase_view/48579121" xr:uid="{80737388-8DD6-411C-8D55-6CD27DF6F12C}"/>
    <hyperlink ref="P336" r:id="rId640" display="https://my.zakupivli.pro/remote/dispatcher/state_purchase_view/48579121" xr:uid="{8E6899B4-9A3F-42C4-9C5C-8D1D769E4807}"/>
    <hyperlink ref="P337" r:id="rId641" display="https://my.zakupivli.pro/remote/dispatcher/state_purchase_view/48579121" xr:uid="{14210DC6-52F5-40DC-818A-4E2DB906E5B3}"/>
    <hyperlink ref="N333" r:id="rId642" xr:uid="{20BC443A-226B-41D1-AED2-81AF9E589628}"/>
    <hyperlink ref="N334" r:id="rId643" xr:uid="{C2BE1DEF-23E0-4018-9964-320A4F91C61A}"/>
    <hyperlink ref="N335" r:id="rId644" xr:uid="{1FA947E5-06A1-499B-86C9-662E15BC44CA}"/>
    <hyperlink ref="N336" r:id="rId645" xr:uid="{6F1264AA-F2EC-4C8A-BFFC-4AF90FE31542}"/>
    <hyperlink ref="N337" r:id="rId646" xr:uid="{13B2DC3B-82FE-4376-9DF6-9F39D087F6DB}"/>
    <hyperlink ref="P338" r:id="rId647" display="https://my.zakupivli.pro/remote/dispatcher/state_purchase_view/48628967" xr:uid="{48DCC166-56F9-47F1-B97E-20C39C1ECCDF}"/>
    <hyperlink ref="N338" r:id="rId648" xr:uid="{E9A9839E-7634-406F-9A29-D5EA3D9625B4}"/>
    <hyperlink ref="P339" r:id="rId649" display="https://my.zakupivli.pro/remote/dispatcher/state_purchase_view/48638355" xr:uid="{EBA13651-E6B0-427B-AD01-DC74DE1ADABC}"/>
    <hyperlink ref="P340" r:id="rId650" display="https://my.zakupivli.pro/remote/dispatcher/state_purchase_view/48638355" xr:uid="{FF726A5B-8093-482F-86D1-98D596FE3AE5}"/>
    <hyperlink ref="P341" r:id="rId651" display="https://my.zakupivli.pro/remote/dispatcher/state_purchase_view/48638355" xr:uid="{AA002FBD-C68C-42DA-AA56-F48EA82219D7}"/>
    <hyperlink ref="P342" r:id="rId652" display="https://my.zakupivli.pro/remote/dispatcher/state_purchase_view/48637783" xr:uid="{623D3D28-A3BD-4C56-A80C-DEAF64D6FF2C}"/>
    <hyperlink ref="N339" r:id="rId653" xr:uid="{E6A405FD-D317-4D5D-A6C0-0A3B9AAE7B01}"/>
    <hyperlink ref="N340" r:id="rId654" xr:uid="{431BE5DC-658E-413B-AC61-FE9810BF8A39}"/>
    <hyperlink ref="N341" r:id="rId655" xr:uid="{1A8F5067-149B-4645-B7F5-E115A87D21AB}"/>
    <hyperlink ref="N342" r:id="rId656" xr:uid="{1838FD33-B0A8-44A8-AA77-9D511A2663A4}"/>
    <hyperlink ref="P343" r:id="rId657" display="https://my.zakupivli.pro/remote/dispatcher/state_purchase_view/48664390" xr:uid="{F7084D50-5433-408E-B290-636B96D1ADAC}"/>
    <hyperlink ref="N343" r:id="rId658" xr:uid="{DC5D2E22-2BB5-48A6-B9F6-D67EF470F9BE}"/>
    <hyperlink ref="P344" r:id="rId659" display="https://my.zakupivli.pro/remote/dispatcher/state_purchase_view/48688184" xr:uid="{E446EF17-6369-436C-B434-267F38030B34}"/>
    <hyperlink ref="P345" r:id="rId660" display="https://my.zakupivli.pro/remote/dispatcher/state_purchase_view/48687397" xr:uid="{79357B14-B78A-4FB4-868A-01BEA5F099C7}"/>
    <hyperlink ref="P346" r:id="rId661" display="https://my.zakupivli.pro/remote/dispatcher/state_purchase_view/48686800" xr:uid="{FCA74AED-83EF-4BC5-81F5-EF989CE053D6}"/>
    <hyperlink ref="P347" r:id="rId662" display="https://my.zakupivli.pro/remote/dispatcher/state_purchase_view/48686589" xr:uid="{8CB7FD43-B3CB-48EF-A721-96BA50D6FF87}"/>
    <hyperlink ref="P348" r:id="rId663" display="https://my.zakupivli.pro/remote/dispatcher/state_purchase_view/48686004" xr:uid="{DE258B6E-ECBC-46B9-9A7F-641FD9D18513}"/>
    <hyperlink ref="P349" r:id="rId664" display="https://my.zakupivli.pro/remote/dispatcher/state_purchase_view/48685781" xr:uid="{BB8C5078-6357-40EB-AFDD-1B0E88D5F8B1}"/>
    <hyperlink ref="P350" r:id="rId665" display="https://my.zakupivli.pro/remote/dispatcher/state_purchase_view/48685400" xr:uid="{898A64C0-B939-4C2F-83F1-D5509B5BC6F1}"/>
    <hyperlink ref="N344" r:id="rId666" xr:uid="{AB314F08-0D50-45A6-9E3E-FE1B192300CB}"/>
    <hyperlink ref="N345" r:id="rId667" xr:uid="{697627D9-D76E-4BFA-BD6A-E3725DA7B9BF}"/>
    <hyperlink ref="N346" r:id="rId668" xr:uid="{D7FEA654-14B4-475A-B630-3EA30637B158}"/>
    <hyperlink ref="N347" r:id="rId669" xr:uid="{3B644385-4130-4FF6-AB21-75489FFD5FE9}"/>
    <hyperlink ref="N348" r:id="rId670" xr:uid="{E505330F-5214-4252-A20E-764CA0EFA586}"/>
    <hyperlink ref="N349" r:id="rId671" xr:uid="{1700885D-F4D2-484B-BBD7-0C3440715B08}"/>
    <hyperlink ref="N350" r:id="rId672" xr:uid="{DBDD28F0-7344-4ADA-BD59-310A29CC808F}"/>
    <hyperlink ref="P351" r:id="rId673" display="https://my.zakupivli.pro/remote/dispatcher/state_purchase_view/48742399" xr:uid="{2B778F3C-F222-4A67-ABC4-1FE2B5DFFA53}"/>
    <hyperlink ref="N351" r:id="rId674" xr:uid="{1C7F91B5-546C-4599-A987-911CE4009447}"/>
    <hyperlink ref="P352" r:id="rId675" display="https://my.zakupivli.pro/remote/dispatcher/state_purchase_view/48819624" xr:uid="{E15E446B-0AB7-44BA-8E83-D3F0D235EAF2}"/>
    <hyperlink ref="N352" r:id="rId676" xr:uid="{DAC22971-5EE5-474D-BEF0-DE4AE8CD6A23}"/>
    <hyperlink ref="P353" r:id="rId677" display="https://my.zakupivli.pro/remote/dispatcher/state_purchase_view/48824211" xr:uid="{04BA262F-BD80-4D3A-899E-F753C260ECCE}"/>
    <hyperlink ref="N353" r:id="rId678" xr:uid="{C9C5242B-C715-4F7E-BED8-DC19D70C2840}"/>
    <hyperlink ref="P354" r:id="rId679" display="https://my.zakupivli.pro/remote/dispatcher/state_purchase_view/48824354" xr:uid="{A1BF85A0-2AED-43D9-9F24-0700C519B75E}"/>
    <hyperlink ref="N354" r:id="rId680" xr:uid="{7496DFFE-03F0-4E51-9434-A00539FA6485}"/>
    <hyperlink ref="P355" r:id="rId681" display="https://my.zakupivli.pro/remote/dispatcher/state_purchase_view/48825205" xr:uid="{98691552-6D29-4E92-9E2E-E4A219076934}"/>
    <hyperlink ref="P356" r:id="rId682" display="https://my.zakupivli.pro/remote/dispatcher/state_purchase_view/48825190" xr:uid="{B3741931-B7C7-412B-AD4D-B00D2B21CFEA}"/>
    <hyperlink ref="N355" r:id="rId683" xr:uid="{4B912F45-6BE7-49C8-8A99-0DB87EE6EF17}"/>
    <hyperlink ref="N356" r:id="rId684" xr:uid="{C524A09C-07D6-4C0B-863F-74CC4886D40D}"/>
    <hyperlink ref="P357" r:id="rId685" display="https://my.zakupivli.pro/remote/dispatcher/state_purchase_view/48826096" xr:uid="{1CCEF8A2-6EEE-4D2B-A71C-8A632B61EA86}"/>
    <hyperlink ref="P358" r:id="rId686" display="https://my.zakupivli.pro/remote/dispatcher/state_purchase_view/48825340" xr:uid="{ED36AD7E-1B3B-4F4E-8268-0F7ADF0C8222}"/>
    <hyperlink ref="N357" r:id="rId687" xr:uid="{6C691EC4-1C8E-4F15-B024-481ED2BDD247}"/>
    <hyperlink ref="N358" r:id="rId688" xr:uid="{12546F4B-AD56-4116-ACBB-A4F834813232}"/>
    <hyperlink ref="P359" r:id="rId689" display="https://my.zakupivli.pro/remote/dispatcher/state_purchase_view/48826700" xr:uid="{85A89741-3493-4C66-AE7B-1A333EA60C19}"/>
    <hyperlink ref="N359" r:id="rId690" xr:uid="{164637BE-F163-4B14-9AA8-335DF7C53BB7}"/>
    <hyperlink ref="P360" r:id="rId691" display="https://my.zakupivli.pro/remote/dispatcher/state_purchase_view/48832012" xr:uid="{E2D56663-3B2E-41E9-B5C3-9CA8B0B56AF5}"/>
    <hyperlink ref="P361" r:id="rId692" display="https://my.zakupivli.pro/remote/dispatcher/state_purchase_view/48832012" xr:uid="{30A6DFB0-59BC-4858-90C0-95FE43E81A34}"/>
    <hyperlink ref="N360" r:id="rId693" xr:uid="{4E5C9DD2-C9CB-49B8-A634-1CCC842A3DE5}"/>
    <hyperlink ref="N361" r:id="rId694" xr:uid="{AD874A60-7D62-4F87-9E9E-A512AB8D3C3E}"/>
    <hyperlink ref="P362" r:id="rId695" display="https://my.zakupivli.pro/remote/dispatcher/state_purchase_view/48865177" xr:uid="{7A0046D8-65C0-46B9-9DB0-E5DBB3B8C493}"/>
    <hyperlink ref="N362" r:id="rId696" xr:uid="{92CC27E4-0C48-4DAC-8037-AB6499225BCB}"/>
    <hyperlink ref="P363" r:id="rId697" display="https://my.zakupivli.pro/remote/dispatcher/state_purchase_view/48871901" xr:uid="{60CF2A23-5AF2-4356-9CFF-CF41E7811849}"/>
    <hyperlink ref="N363" r:id="rId698" xr:uid="{EBDE42C6-479F-46AD-AF42-6876B18835D5}"/>
    <hyperlink ref="P364" r:id="rId699" display="https://my.zakupivli.pro/remote/dispatcher/state_purchase_view/48872463" xr:uid="{9CA97A8D-328F-44D4-B006-2C674B4804F9}"/>
    <hyperlink ref="P365" r:id="rId700" display="https://my.zakupivli.pro/remote/dispatcher/state_purchase_view/48872463" xr:uid="{6CF2C941-FAD1-4076-8974-D0E7049C609E}"/>
    <hyperlink ref="N364" r:id="rId701" xr:uid="{5EFD6AA9-BEDD-4CE9-8419-D73D3A209188}"/>
    <hyperlink ref="N365" r:id="rId702" xr:uid="{D5B78441-B691-4BAF-8804-561952BDDBB1}"/>
    <hyperlink ref="P366" r:id="rId703" display="https://my.zakupivli.pro/remote/dispatcher/state_purchase_view/48872774" xr:uid="{FBA97339-1321-42C3-9A13-70D4DF3BD1FF}"/>
    <hyperlink ref="N366" r:id="rId704" xr:uid="{B94B3E32-36E8-4A7D-A1C6-AFAB06A5C52D}"/>
    <hyperlink ref="P367" r:id="rId705" display="https://my.zakupivli.pro/remote/dispatcher/state_purchase_view/48907510" xr:uid="{7F352464-C42E-4A41-ACF5-F4737BE2B241}"/>
    <hyperlink ref="N367" r:id="rId706" xr:uid="{D2202B03-9EA3-4999-A833-B0D3B079EAEE}"/>
    <hyperlink ref="P368" r:id="rId707" display="https://my.zakupivli.pro/remote/dispatcher/state_purchase_view/48907510" xr:uid="{868C82D5-72B2-46CC-9B93-91D409814577}"/>
    <hyperlink ref="N368" r:id="rId708" xr:uid="{349C6CDD-C4A9-4E13-8BBE-11C0F2EABF3A}"/>
    <hyperlink ref="P369" r:id="rId709" display="https://my.zakupivli.pro/remote/dispatcher/state_purchase_view/48907505" xr:uid="{E3D4427A-6A05-4622-B2FA-C3D511A681C8}"/>
    <hyperlink ref="N369" r:id="rId710" xr:uid="{5D7F2190-3202-4106-83E8-F8E982BAF1FC}"/>
    <hyperlink ref="P370" r:id="rId711" display="https://my.zakupivli.pro/remote/dispatcher/state_purchase_view/48907317" xr:uid="{6377A03E-2A21-4923-949F-4074A9F25BE9}"/>
    <hyperlink ref="N370" r:id="rId712" xr:uid="{CCAF7898-CDAE-43A3-BA85-1F669684EBB6}"/>
    <hyperlink ref="P371" r:id="rId713" display="https://my.zakupivli.pro/remote/dispatcher/state_purchase_view/48907249" xr:uid="{3D325314-F6B2-4D44-B99D-17DE1072C4AA}"/>
    <hyperlink ref="N371" r:id="rId714" xr:uid="{20F6DEAD-AFB1-4F67-B47D-31315488C8A8}"/>
    <hyperlink ref="P372:P375" r:id="rId715" display="https://my.zakupivli.pro/remote/dispatcher/state_purchase_view/48906477" xr:uid="{5C70B8C4-FA0A-422B-BCC7-56C4156BFE02}"/>
    <hyperlink ref="N375" r:id="rId716" xr:uid="{F35F950B-EB99-4146-B377-AA63711D484A}"/>
    <hyperlink ref="N374" r:id="rId717" xr:uid="{1E1481C7-89A7-40CE-B588-7DA236CDE66B}"/>
    <hyperlink ref="N373" r:id="rId718" xr:uid="{90125CA2-81A4-4DC6-A57C-AFDDD6C50543}"/>
    <hyperlink ref="N372" r:id="rId719" xr:uid="{44DA6776-7D9F-4A56-8515-0485F4CC20B6}"/>
    <hyperlink ref="P376" r:id="rId720" display="https://my.zakupivli.pro/remote/dispatcher/state_purchase_view/48906433" xr:uid="{AFAB216E-72C5-44B8-BE74-BF75E1CC35A4}"/>
    <hyperlink ref="N376" r:id="rId721" xr:uid="{9A31200D-0255-4EA7-997F-C2FC5478F6E4}"/>
    <hyperlink ref="P377" r:id="rId722" display="https://my.zakupivli.pro/remote/dispatcher/state_purchase_view/48906057" xr:uid="{611110D1-67AC-48BA-84C7-205BEE5C13F1}"/>
    <hyperlink ref="P378" r:id="rId723" display="https://my.zakupivli.pro/remote/dispatcher/state_purchase_view/48906057" xr:uid="{809F2561-065F-4E32-A6D9-BA307E3B9DFE}"/>
    <hyperlink ref="N377" r:id="rId724" xr:uid="{CA7D5942-93C7-48CA-8A8D-F3DEF590BBAF}"/>
    <hyperlink ref="N378" r:id="rId725" xr:uid="{577F3143-F16B-417D-8207-877D4AFC45F6}"/>
    <hyperlink ref="P379" r:id="rId726" display="https://my.zakupivli.pro/remote/dispatcher/state_purchase_view/48905507" xr:uid="{1BA920DD-6267-4D17-AC72-AB8ECB9AC70F}"/>
    <hyperlink ref="N379" r:id="rId727" xr:uid="{1F681C5D-D1D8-44B9-9C14-4405C5B10F7B}"/>
    <hyperlink ref="P380" r:id="rId728" display="https://my.zakupivli.pro/remote/dispatcher/state_purchase_view/48905205" xr:uid="{2CACEF20-E913-48F2-93A2-5ADE59FFF0DB}"/>
    <hyperlink ref="N380" r:id="rId729" xr:uid="{B6644788-C833-41A5-AFFF-9A309C87E1AC}"/>
    <hyperlink ref="P381" r:id="rId730" display="https://my.zakupivli.pro/remote/dispatcher/state_purchase_view/48904634" xr:uid="{E8E8B2C8-4D86-4A64-B282-75B878A0ED0E}"/>
    <hyperlink ref="N381" r:id="rId731" xr:uid="{CCDE35B8-E8A5-403F-A267-7D95787E32DD}"/>
    <hyperlink ref="P382" r:id="rId732" display="https://my.zakupivli.pro/remote/dispatcher/state_purchase_view/48904467" xr:uid="{629519E1-99FF-4D77-B092-D1F9E3BF804D}"/>
    <hyperlink ref="N382" r:id="rId733" xr:uid="{4B131B59-37CF-4964-B79E-B9CA71F0F3C2}"/>
    <hyperlink ref="P383" r:id="rId734" display="https://my.zakupivli.pro/remote/dispatcher/state_purchase_view/48904066" xr:uid="{F8D8253D-4A4F-4412-8DA8-56CA69346ED5}"/>
    <hyperlink ref="N383" r:id="rId735" xr:uid="{750F6D17-E960-42DC-AB6E-5CEF37D1C95B}"/>
    <hyperlink ref="P384" r:id="rId736" display="https://my.zakupivli.pro/remote/dispatcher/state_purchase_view/48903944" xr:uid="{9072EFFA-1492-49BA-B77D-F099D1ABF3B1}"/>
    <hyperlink ref="P385" r:id="rId737" display="https://my.zakupivli.pro/remote/dispatcher/state_purchase_view/48903944" xr:uid="{C77D062A-E5C4-41DD-9D62-ED6125B963AF}"/>
    <hyperlink ref="N384" r:id="rId738" xr:uid="{5CCA5268-6A67-4670-BDE5-501E63E12987}"/>
    <hyperlink ref="N385" r:id="rId739" xr:uid="{949EE036-35E6-4529-AC93-83C18FFCE19B}"/>
    <hyperlink ref="P386" r:id="rId740" display="https://my.zakupivli.pro/remote/dispatcher/state_purchase_view/48903877" xr:uid="{5DB61E06-F82E-47F4-84CF-B4173BA0DD18}"/>
    <hyperlink ref="N386" r:id="rId741" xr:uid="{19C1EC7C-73C6-4B33-AB1A-FF84EF8B6F0F}"/>
    <hyperlink ref="P387" r:id="rId742" display="https://my.zakupivli.pro/remote/dispatcher/state_purchase_view/48903690" xr:uid="{9B69C3C9-EFC2-4E09-8DC3-1474495BA151}"/>
    <hyperlink ref="N387" r:id="rId743" xr:uid="{E78D05D4-8543-4A2E-B51D-4BC342E1B245}"/>
    <hyperlink ref="P388" r:id="rId744" display="https://my.zakupivli.pro/remote/dispatcher/state_purchase_view/48903252" xr:uid="{F1614E9F-37EE-47C2-BCBB-A9EF5A88D713}"/>
    <hyperlink ref="N388" r:id="rId745" xr:uid="{CC41300D-896C-40AF-92CE-09728CD34E66}"/>
    <hyperlink ref="P389" r:id="rId746" display="https://my.zakupivli.pro/remote/dispatcher/state_purchase_view/48903036" xr:uid="{D5CE2BA1-B36E-478D-935B-891E5B8E593D}"/>
    <hyperlink ref="N389" r:id="rId747" xr:uid="{5D3B7F37-8818-41B0-9639-A485D5E46F91}"/>
    <hyperlink ref="P390" r:id="rId748" display="https://my.zakupivli.pro/remote/dispatcher/state_purchase_view/48906947" xr:uid="{080AB875-B941-428B-8B97-A6D14C74D6DA}"/>
    <hyperlink ref="P391" r:id="rId749" display="https://my.zakupivli.pro/remote/dispatcher/state_purchase_view/48880326" xr:uid="{71426783-799A-4F0D-B257-574B8E1B52A9}"/>
    <hyperlink ref="P392" r:id="rId750" display="https://my.zakupivli.pro/remote/dispatcher/state_purchase_view/48879722" xr:uid="{FAB2F1F4-7DDA-41EC-8872-0A1C72B1A480}"/>
    <hyperlink ref="N390" r:id="rId751" xr:uid="{243FB5C6-D041-4E7B-87EA-257E01EDB105}"/>
    <hyperlink ref="N391" r:id="rId752" xr:uid="{7B7BE5FD-9D73-42C5-B81E-2F712C1E861C}"/>
    <hyperlink ref="N392" r:id="rId753" xr:uid="{E5589BE8-90DF-48EC-8EC6-E5FF735E0862}"/>
    <hyperlink ref="P393" r:id="rId754" display="https://my.zakupivli.pro/remote/dispatcher/state_purchase_view/48908684" xr:uid="{B9555AC1-1DA3-4FB3-8A0B-835860DCD125}"/>
    <hyperlink ref="N393" r:id="rId755" xr:uid="{AFE1FC45-E0E2-428D-A24B-5DC0AF0AA458}"/>
    <hyperlink ref="P394" r:id="rId756" display="https://my.zakupivli.pro/remote/dispatcher/state_purchase_view/48908032" xr:uid="{512FD74B-E8E0-4A07-89F4-0055D74623C9}"/>
    <hyperlink ref="P395" r:id="rId757" display="https://my.zakupivli.pro/remote/dispatcher/state_purchase_view/48908032" xr:uid="{40F46077-2A51-49E8-8461-90FF84B559DF}"/>
    <hyperlink ref="N394" r:id="rId758" xr:uid="{54D59C7B-0B8D-4BE6-B812-CC7D10C1BA53}"/>
    <hyperlink ref="N395" r:id="rId759" xr:uid="{77DD0F0F-8287-411F-AA3C-93DA70DEF849}"/>
    <hyperlink ref="P396" r:id="rId760" display="https://my.zakupivli.pro/remote/dispatcher/state_purchase_view/48907751" xr:uid="{560BE50C-AFEC-4A50-9ADB-33AAE17F2F80}"/>
    <hyperlink ref="P397" r:id="rId761" display="https://my.zakupivli.pro/remote/dispatcher/state_purchase_view/48907751" xr:uid="{376BF796-43FD-4FC0-AA4C-405209E036CF}"/>
    <hyperlink ref="N396" r:id="rId762" xr:uid="{8138C015-A214-4092-8A9C-7A40205BC1F3}"/>
    <hyperlink ref="N397" r:id="rId763" xr:uid="{47050AA5-C363-42C7-8C84-964CF19A118B}"/>
    <hyperlink ref="P398" r:id="rId764" display="https://my.zakupivli.pro/remote/dispatcher/state_purchase_view/48907725" xr:uid="{277982B8-E4B4-4B8D-B57E-47520CFFFFB3}"/>
    <hyperlink ref="P399" r:id="rId765" display="https://my.zakupivli.pro/remote/dispatcher/state_purchase_view/48907510" xr:uid="{CA0C2D0C-0FEA-4E4A-AAE2-47FB620AA83E}"/>
    <hyperlink ref="N398" r:id="rId766" xr:uid="{EB0C26EC-BFE4-4CD8-B778-63A3C4DA8C1A}"/>
    <hyperlink ref="N399" r:id="rId767" xr:uid="{DF4ADAD2-D2B1-46E2-B824-7DDD7D5D5A51}"/>
    <hyperlink ref="P400" r:id="rId768" display="https://my.zakupivli.pro/remote/dispatcher/state_purchase_view/48969987" xr:uid="{D4DC4293-5B08-4B36-BFF3-00DC3F5AC6F0}"/>
    <hyperlink ref="N400" r:id="rId769" xr:uid="{4B258591-BB95-4C7B-8702-C0F0CE667919}"/>
    <hyperlink ref="P401" r:id="rId770" display="https://my.zakupivli.pro/remote/dispatcher/state_purchase_view/48971877" xr:uid="{85B5F6E5-0005-47BA-AE45-AB5B9EF14F42}"/>
    <hyperlink ref="P402" r:id="rId771" display="https://my.zakupivli.pro/remote/dispatcher/state_purchase_view/48971877" xr:uid="{4FD94727-F9E2-4518-97C1-6F09578F22C7}"/>
    <hyperlink ref="P403" r:id="rId772" display="https://my.zakupivli.pro/remote/dispatcher/state_purchase_view/48971877" xr:uid="{843301A1-4E80-4144-8FCD-39AEBE3EBEE1}"/>
    <hyperlink ref="P404" r:id="rId773" display="https://my.zakupivli.pro/remote/dispatcher/state_purchase_view/48971877" xr:uid="{29980773-069A-43B4-A1B9-83DDC73559F6}"/>
    <hyperlink ref="P405" r:id="rId774" display="https://my.zakupivli.pro/remote/dispatcher/state_purchase_view/48971877" xr:uid="{96CDAEE6-01FB-49B2-B1AA-200A00459673}"/>
    <hyperlink ref="P406" r:id="rId775" display="https://my.zakupivli.pro/remote/dispatcher/state_purchase_view/48971877" xr:uid="{1D21EFF1-884C-4FB4-8F32-CD5F8DFAD5F5}"/>
    <hyperlink ref="N401" r:id="rId776" xr:uid="{74CFE48E-C178-4A14-A490-FE415178428F}"/>
    <hyperlink ref="N402" r:id="rId777" xr:uid="{BDBB5688-7271-40F5-A819-E62FC7AEA30C}"/>
    <hyperlink ref="N403" r:id="rId778" xr:uid="{C40524D4-2D6D-4FBB-8415-BD2B8DA0E117}"/>
    <hyperlink ref="N404" r:id="rId779" xr:uid="{83513169-FF81-41A0-9B14-399F7AA27E49}"/>
    <hyperlink ref="N405" r:id="rId780" xr:uid="{596B20B3-427D-4FFC-B5ED-75203A039DAC}"/>
    <hyperlink ref="N406" r:id="rId781" xr:uid="{97154894-A95F-4A8E-B273-45F6CB293249}"/>
    <hyperlink ref="P407" r:id="rId782" display="https://my.zakupivli.pro/remote/dispatcher/state_purchase_view/49007933" xr:uid="{A6A687E2-2BAE-4FD9-A137-7CBB3DBB29B1}"/>
    <hyperlink ref="N407" r:id="rId783" xr:uid="{E82D4125-B4B9-4519-841F-CC3EB5164DA6}"/>
    <hyperlink ref="P408" r:id="rId784" display="https://my.zakupivli.pro/remote/dispatcher/state_purchase_view/49014231" xr:uid="{74E518D7-3BF5-4FAD-9B10-C7867341CF20}"/>
    <hyperlink ref="P409" r:id="rId785" display="https://my.zakupivli.pro/remote/dispatcher/state_purchase_view/49012404" xr:uid="{AE55DFE3-A38B-4E63-AA7E-B3C283F05551}"/>
    <hyperlink ref="N408" r:id="rId786" xr:uid="{958041A6-D452-49ED-9288-4774DD940C6A}"/>
    <hyperlink ref="N409" r:id="rId787" xr:uid="{A8B82CC5-B4CA-4C43-94A5-A43926FA4B44}"/>
    <hyperlink ref="P410" r:id="rId788" display="https://my.zakupivli.pro/remote/dispatcher/state_purchase_view/49027603" xr:uid="{D457EDD3-F8E7-460B-BA9B-95D97A7BA033}"/>
    <hyperlink ref="P411" r:id="rId789" display="https://my.zakupivli.pro/remote/dispatcher/state_purchase_view/49027323" xr:uid="{1FA12495-BF30-4C31-A88C-97F63E2456FF}"/>
    <hyperlink ref="P412" r:id="rId790" display="https://my.zakupivli.pro/remote/dispatcher/state_purchase_view/49026827" xr:uid="{09B851AB-E0C9-40FC-81B1-7F17C73D176E}"/>
    <hyperlink ref="P413" r:id="rId791" display="https://my.zakupivli.pro/remote/dispatcher/state_purchase_view/49026308" xr:uid="{40E0C2D5-A813-4821-80EA-9669C4A1A9DD}"/>
    <hyperlink ref="P414" r:id="rId792" display="https://my.zakupivli.pro/remote/dispatcher/state_purchase_view/49025987" xr:uid="{2D58739F-1730-49DE-B4BA-BD4F2E0F8755}"/>
    <hyperlink ref="N410" r:id="rId793" xr:uid="{40F9B118-8211-4F31-9D6E-E567FFFCC2A7}"/>
    <hyperlink ref="N411" r:id="rId794" xr:uid="{7AA010D0-4E89-4FE4-BE1B-4B732B03975F}"/>
    <hyperlink ref="N412" r:id="rId795" xr:uid="{E1E3DED3-943C-4BC9-AAF1-3DA1772B8A97}"/>
    <hyperlink ref="N413" r:id="rId796" xr:uid="{0F4F0CD2-2080-43A7-9839-7E03FCCDB8F2}"/>
    <hyperlink ref="N414" r:id="rId797" xr:uid="{F3939C4F-9526-46B1-B169-8146C4223C95}"/>
    <hyperlink ref="P415" r:id="rId798" display="https://my.zakupivli.pro/remote/dispatcher/state_purchase_view/49051879" xr:uid="{69A47692-302D-4857-806F-ECA9FDD9F36D}"/>
    <hyperlink ref="P416" r:id="rId799" display="https://my.zakupivli.pro/remote/dispatcher/state_purchase_view/49051488" xr:uid="{54A062E1-3DDF-4AE8-AF12-FF212D368EB5}"/>
    <hyperlink ref="P417" r:id="rId800" display="https://my.zakupivli.pro/remote/dispatcher/state_purchase_view/49049714" xr:uid="{E29D6B14-C51F-48D2-97D9-0340B905D65E}"/>
    <hyperlink ref="N415" r:id="rId801" xr:uid="{993433EC-5335-4511-9152-8DE35C2C0EFA}"/>
    <hyperlink ref="N416" r:id="rId802" xr:uid="{0F0A8465-70C6-493E-8304-1AA08729F706}"/>
    <hyperlink ref="N417" r:id="rId803" xr:uid="{440C2A7B-A4C4-434C-A298-048134E715F5}"/>
    <hyperlink ref="P418" r:id="rId804" display="https://my.zakupivli.pro/remote/dispatcher/state_purchase_view/49052400" xr:uid="{18169DC9-1DB9-4C49-8CB9-2F1A7B1DC136}"/>
    <hyperlink ref="N418" r:id="rId805" xr:uid="{11686A7B-BBB0-4D36-883C-7ED11048A067}"/>
    <hyperlink ref="P419" r:id="rId806" display="https://my.zakupivli.pro/remote/dispatcher/state_purchase_view/49159801" xr:uid="{087D4856-3AFC-49CA-B225-EC9C36502FDA}"/>
    <hyperlink ref="P420" r:id="rId807" display="https://my.zakupivli.pro/remote/dispatcher/state_purchase_view/49159395" xr:uid="{20DFB32E-39B6-4041-AF62-5507975CDE11}"/>
    <hyperlink ref="P421" r:id="rId808" display="https://my.zakupivli.pro/remote/dispatcher/state_purchase_view/49159293" xr:uid="{21C0F159-1D11-4722-8304-874C5369E158}"/>
    <hyperlink ref="P422" r:id="rId809" display="https://my.zakupivli.pro/remote/dispatcher/state_purchase_view/49158931" xr:uid="{80384828-0CAB-48A3-97AA-19821654630D}"/>
    <hyperlink ref="N419" r:id="rId810" xr:uid="{7A730FAE-3CF1-4616-BEEA-698948DB4D0A}"/>
    <hyperlink ref="N420" r:id="rId811" xr:uid="{42EC0DC6-0786-4882-B272-927B0282BB59}"/>
    <hyperlink ref="N421" r:id="rId812" xr:uid="{B169A9F2-D99F-4DC7-8CDE-76FA6F82DD8D}"/>
    <hyperlink ref="N422" r:id="rId813" xr:uid="{1D325C34-32B1-4701-838E-A6A03F5E373F}"/>
    <hyperlink ref="P423" r:id="rId814" display="https://my.zakupivli.pro/remote/dispatcher/state_purchase_view/49215079" xr:uid="{D63E485E-E0E4-405D-8B60-C360C6578623}"/>
    <hyperlink ref="P424" r:id="rId815" display="https://my.zakupivli.pro/remote/dispatcher/state_purchase_view/49215079" xr:uid="{175DC858-5383-4CE5-8227-027D15D9ABAD}"/>
    <hyperlink ref="P425" r:id="rId816" display="https://my.zakupivli.pro/remote/dispatcher/state_purchase_view/49193482" xr:uid="{B1A1E638-3FBA-4ADB-BAA8-4010617920F7}"/>
    <hyperlink ref="N423" r:id="rId817" xr:uid="{33299A77-86A8-4DA8-90FB-E6D0F7061553}"/>
    <hyperlink ref="N424" r:id="rId818" xr:uid="{ECE3A457-0EC1-4FA9-A46F-BDF5E01370A0}"/>
    <hyperlink ref="N425" r:id="rId819" xr:uid="{FC112E9E-AC3F-41AE-9EBC-0F7F9F3943AF}"/>
    <hyperlink ref="P426" r:id="rId820" display="https://my.zakupivli.pro/remote/dispatcher/state_purchase_view/49262531" xr:uid="{03FBD0E9-1E5B-4434-AD00-9726A3F43429}"/>
    <hyperlink ref="N426" r:id="rId821" xr:uid="{D703FB56-DFAA-4837-B42A-A441B9AB1592}"/>
    <hyperlink ref="P427" r:id="rId822" display="https://my.zakupivli.pro/remote/dispatcher/state_purchase_view/49305636" xr:uid="{4B585FC4-2423-4914-BF2D-5E08B7A9A3AA}"/>
    <hyperlink ref="P428" r:id="rId823" display="https://my.zakupivli.pro/remote/dispatcher/state_purchase_view/49305242" xr:uid="{1BDE3EFA-5CFE-43B7-B09F-E0B163210860}"/>
    <hyperlink ref="P429" r:id="rId824" display="https://my.zakupivli.pro/remote/dispatcher/state_purchase_view/49304806" xr:uid="{07921567-6C19-4CC2-BAEA-4D4392DBDBE7}"/>
    <hyperlink ref="P430" r:id="rId825" display="https://my.zakupivli.pro/remote/dispatcher/state_purchase_view/49304261" xr:uid="{0F2F7DCF-9C78-4CE3-B843-1689D5A081F3}"/>
    <hyperlink ref="P431" r:id="rId826" display="https://my.zakupivli.pro/remote/dispatcher/state_purchase_view/49303437" xr:uid="{9E401BFE-96CF-4C7D-BCD3-ADB6251F9608}"/>
    <hyperlink ref="P432" r:id="rId827" display="https://my.zakupivli.pro/remote/dispatcher/state_purchase_view/49303427" xr:uid="{40C97616-6A60-4670-AF5C-7C022711B277}"/>
    <hyperlink ref="P433" r:id="rId828" display="https://my.zakupivli.pro/remote/dispatcher/state_purchase_view/49302519" xr:uid="{94253889-F8EA-40D5-9E48-46A8F312F57C}"/>
    <hyperlink ref="P434" r:id="rId829" display="https://my.zakupivli.pro/remote/dispatcher/state_purchase_view/49302173" xr:uid="{02455CAE-B1AA-40A9-AA8E-0004F895799E}"/>
    <hyperlink ref="P435" r:id="rId830" display="https://my.zakupivli.pro/remote/dispatcher/state_purchase_view/49301958" xr:uid="{01CB5599-76E0-466A-AAEA-7413BD7D4BA7}"/>
    <hyperlink ref="P436" r:id="rId831" display="https://my.zakupivli.pro/remote/dispatcher/state_purchase_view/49301487" xr:uid="{1A654219-3802-47DB-BA17-F333951FB99C}"/>
    <hyperlink ref="P437" r:id="rId832" display="https://my.zakupivli.pro/remote/dispatcher/state_purchase_view/49300786" xr:uid="{8633E3AE-CFFB-4155-9381-0FB4EB69B56E}"/>
    <hyperlink ref="P438" r:id="rId833" display="https://my.zakupivli.pro/remote/dispatcher/state_purchase_view/49300201" xr:uid="{0F39E1A6-C915-43CA-961F-25A4A88A6355}"/>
    <hyperlink ref="P439" r:id="rId834" display="https://my.zakupivli.pro/remote/dispatcher/state_purchase_view/49299714" xr:uid="{BBA7AC71-3737-4612-ADBB-DB073DB96492}"/>
    <hyperlink ref="P440" r:id="rId835" display="https://my.zakupivli.pro/remote/dispatcher/state_purchase_view/49299258" xr:uid="{C93EC53F-33C3-4B03-8B1D-635EABB87746}"/>
    <hyperlink ref="P441" r:id="rId836" display="https://my.zakupivli.pro/remote/dispatcher/state_purchase_view/49298239" xr:uid="{C397CDC2-D018-4B30-B476-BF3C97BBA5D2}"/>
    <hyperlink ref="P442" r:id="rId837" display="https://my.zakupivli.pro/remote/dispatcher/state_purchase_view/49296397" xr:uid="{E78CE382-8932-48EF-AA92-BB0F16E5D7A4}"/>
    <hyperlink ref="N427" r:id="rId838" xr:uid="{CCFFE874-BFB0-41F4-89E9-E42C704264EE}"/>
    <hyperlink ref="N428" r:id="rId839" xr:uid="{B34EBD4D-57B6-4D48-B4A2-7F383A7A6F14}"/>
    <hyperlink ref="N429" r:id="rId840" xr:uid="{7F84C2D1-4C22-4EA2-9EE2-1B0D5B8C29B3}"/>
    <hyperlink ref="N430" r:id="rId841" xr:uid="{330C7F65-E3C1-47E1-93AE-04BB997B300C}"/>
    <hyperlink ref="N431" r:id="rId842" xr:uid="{C9166A8E-F65B-4061-8061-5AD87155D545}"/>
    <hyperlink ref="N432" r:id="rId843" xr:uid="{8F5BD1D8-0CC4-475E-A2BD-31B9F45AEA6F}"/>
    <hyperlink ref="N433" r:id="rId844" xr:uid="{18E6E834-BCFD-4FBC-B241-7B8228501C13}"/>
    <hyperlink ref="N434" r:id="rId845" xr:uid="{32CDD1D1-0E9D-43D3-8F64-104AD30632AF}"/>
    <hyperlink ref="N435" r:id="rId846" xr:uid="{E0BA6607-2473-4CE9-AD3F-929C20E027DC}"/>
    <hyperlink ref="N436" r:id="rId847" xr:uid="{A51D04F8-211D-45FF-9108-F4119C601795}"/>
    <hyperlink ref="N437" r:id="rId848" xr:uid="{D9166BDA-C428-4731-AB53-937A962C77A4}"/>
    <hyperlink ref="N438" r:id="rId849" xr:uid="{2E008BAC-EB03-4F20-AC5E-E495FF57437F}"/>
    <hyperlink ref="N439" r:id="rId850" xr:uid="{3DADB66D-8079-4EC5-961B-4FD0AA174E63}"/>
    <hyperlink ref="N440" r:id="rId851" xr:uid="{33F41FA0-65B6-4EC3-8B69-281B1A5FC926}"/>
    <hyperlink ref="N441" r:id="rId852" xr:uid="{C3D843A0-5FAA-4FAD-923A-E798ACE06915}"/>
    <hyperlink ref="N442" r:id="rId853" xr:uid="{60D7D334-6FCF-4E1B-8641-F5CFE3AF4D6B}"/>
    <hyperlink ref="P443" r:id="rId854" display="https://my.zakupivli.pro/remote/dispatcher/state_purchase_view/49312970" xr:uid="{829CCE91-0B7A-4EAB-B8DB-C9E0F1635039}"/>
    <hyperlink ref="P444" r:id="rId855" display="https://my.zakupivli.pro/remote/dispatcher/state_purchase_view/49312594" xr:uid="{0CD27C5F-412F-4F07-9188-F9D60689DB33}"/>
    <hyperlink ref="P445" r:id="rId856" display="https://my.zakupivli.pro/remote/dispatcher/state_purchase_view/49312342" xr:uid="{3147DDD8-C257-48B2-AA9B-EA10A0C5CE49}"/>
    <hyperlink ref="N443" r:id="rId857" xr:uid="{F64C6E70-FFC9-4FF9-8F20-93AD1E53123F}"/>
    <hyperlink ref="N444" r:id="rId858" xr:uid="{3A094F05-F20F-4407-89E7-1ABF963C47E8}"/>
    <hyperlink ref="N445" r:id="rId859" xr:uid="{5158547E-A211-4B38-A736-155A1AAB9FEB}"/>
    <hyperlink ref="P446" r:id="rId860" display="https://my.zakupivli.pro/remote/dispatcher/state_purchase_view/49350980" xr:uid="{3714AD1C-7E19-46CF-93B2-C1776AF80E3C}"/>
    <hyperlink ref="P447" r:id="rId861" display="https://my.zakupivli.pro/remote/dispatcher/state_purchase_view/49348727" xr:uid="{DFB1F91F-9B78-4A67-A20E-E19807E43833}"/>
    <hyperlink ref="P448" r:id="rId862" display="https://my.zakupivli.pro/remote/dispatcher/state_purchase_view/49347008" xr:uid="{242FAF3C-CF61-4A2C-B9C0-C495863EB9BD}"/>
    <hyperlink ref="P449" r:id="rId863" display="https://my.zakupivli.pro/remote/dispatcher/state_purchase_view/49345061" xr:uid="{21E13581-A7F1-447B-B052-4655840E7682}"/>
    <hyperlink ref="P450" r:id="rId864" display="https://my.zakupivli.pro/remote/dispatcher/state_purchase_view/49344568" xr:uid="{877BBDE8-F256-4811-9BD9-2969CEC1D349}"/>
    <hyperlink ref="N446" r:id="rId865" xr:uid="{C723E3A8-D5F3-469F-B6BF-EFFB2CC09ACE}"/>
    <hyperlink ref="N447" r:id="rId866" xr:uid="{4A6DABFE-87C5-468A-9FC6-B12EB0F1171B}"/>
    <hyperlink ref="N448" r:id="rId867" xr:uid="{A948064E-13CD-467B-B919-05FFFD8A69D3}"/>
    <hyperlink ref="N449" r:id="rId868" xr:uid="{E1C4A102-6E14-4DD6-99FC-7310B659DE8D}"/>
    <hyperlink ref="N450" r:id="rId869" xr:uid="{2498A640-E834-4C2F-940F-90D89E1C3E7F}"/>
    <hyperlink ref="P451" r:id="rId870" display="https://my.zakupivli.pro/remote/dispatcher/state_purchase_view/49369718" xr:uid="{893C5028-0D64-48DB-83E0-58C75867A67E}"/>
    <hyperlink ref="P452" r:id="rId871" display="https://my.zakupivli.pro/remote/dispatcher/state_purchase_view/49369192" xr:uid="{E0258DEF-E688-435F-93CD-C69FEF17E9F1}"/>
    <hyperlink ref="N451" r:id="rId872" xr:uid="{960201D2-824D-4F5E-A6EC-E0E4537F8592}"/>
    <hyperlink ref="N452" r:id="rId873" xr:uid="{C73410A9-2EF9-43CD-A0C6-D554E10118CA}"/>
    <hyperlink ref="P453" r:id="rId874" display="https://my.zakupivli.pro/remote/dispatcher/state_purchase_view/49362827" xr:uid="{7D7C7DC1-F66D-4AB1-8C57-09640FE9BBB9}"/>
    <hyperlink ref="N453" r:id="rId875" xr:uid="{78447ADC-2FB2-4F67-8449-F8D7183050D4}"/>
    <hyperlink ref="P454" r:id="rId876" display="https://my.zakupivli.pro/remote/dispatcher/state_purchase_view/49381942" xr:uid="{AAB7D356-7049-4B6C-A26B-AE603E7A2B1C}"/>
    <hyperlink ref="P455" r:id="rId877" display="https://my.zakupivli.pro/remote/dispatcher/state_purchase_view/49380309" xr:uid="{35627651-FF9B-4002-A9A3-AB5E256E773F}"/>
    <hyperlink ref="N454" r:id="rId878" xr:uid="{DDE61AB3-4294-4F2C-AC32-55A0D05B59AA}"/>
    <hyperlink ref="N455" r:id="rId879" xr:uid="{D36537AF-EF7A-440C-812C-EB98684C226D}"/>
    <hyperlink ref="P456" r:id="rId880" display="https://my.zakupivli.pro/remote/dispatcher/state_purchase_view/49407849" xr:uid="{0C18CAD2-47F1-44E4-BE26-788161DAED8B}"/>
    <hyperlink ref="P457" r:id="rId881" display="https://my.zakupivli.pro/remote/dispatcher/state_purchase_view/49407682" xr:uid="{AFA5D2AE-68F2-4406-B8E5-EF0BAA056A82}"/>
    <hyperlink ref="N456" r:id="rId882" xr:uid="{D3A877C0-611D-4F52-8837-1C1000B0A35A}"/>
    <hyperlink ref="N457" r:id="rId883" xr:uid="{2D29D29F-F420-44AC-9B47-15CA69CFCD14}"/>
    <hyperlink ref="P458" r:id="rId884" display="https://my.zakupivli.pro/remote/dispatcher/state_purchase_view/49447825" xr:uid="{7237CCA3-F172-478A-A91B-A86F64305727}"/>
    <hyperlink ref="N458" r:id="rId885" xr:uid="{99C1E505-1F76-4177-A74D-B786FB82D616}"/>
    <hyperlink ref="P459" r:id="rId886" display="https://my.zakupivli.pro/remote/dispatcher/state_purchase_view/49472296" xr:uid="{54B41A40-1BAE-429A-88CF-CDE7EDB517D0}"/>
    <hyperlink ref="P460" r:id="rId887" display="https://my.zakupivli.pro/remote/dispatcher/state_purchase_view/49472296" xr:uid="{E6A44635-44EB-469C-B828-A3F3F0448D3F}"/>
    <hyperlink ref="P461" r:id="rId888" display="https://my.zakupivli.pro/remote/dispatcher/state_purchase_view/49472296" xr:uid="{B47F9AED-256D-46DA-A522-4B2E3AABE8A8}"/>
    <hyperlink ref="P462" r:id="rId889" display="https://my.zakupivli.pro/remote/dispatcher/state_purchase_view/49472296" xr:uid="{2FDC08FE-A43D-4A55-B440-119A2D6A783B}"/>
    <hyperlink ref="N459" r:id="rId890" xr:uid="{B13E82C6-D13B-4CE3-88CF-F97FF9B9EDEB}"/>
    <hyperlink ref="N460" r:id="rId891" xr:uid="{72C3937E-35A5-4F4C-B3E9-3305607BFE6A}"/>
    <hyperlink ref="N461" r:id="rId892" xr:uid="{E5072A95-1517-4AA0-A41B-0DCDF1A478A3}"/>
    <hyperlink ref="N462" r:id="rId893" xr:uid="{9157C959-7BC8-4320-B893-76FF1C73FF4D}"/>
    <hyperlink ref="P463" r:id="rId894" display="https://my.zakupivli.pro/remote/dispatcher/state_purchase_view/49508019" xr:uid="{881CFEC5-C6D1-4DD4-9FB6-DC646F94645A}"/>
    <hyperlink ref="N463" r:id="rId895" xr:uid="{0F598A23-7B05-4897-BDBC-4AE8A1D6D45E}"/>
    <hyperlink ref="P464" r:id="rId896" display="https://my.zakupivli.pro/remote/dispatcher/state_purchase_view/49535400" xr:uid="{DFA96173-1FB0-417E-A567-6956517DEC83}"/>
    <hyperlink ref="P465" r:id="rId897" display="https://my.zakupivli.pro/remote/dispatcher/state_purchase_view/49535400" xr:uid="{E36839AB-5A9E-4C0F-AE9A-018FCD810A89}"/>
    <hyperlink ref="N464" r:id="rId898" xr:uid="{15275FC1-E38B-42BC-A66F-7F0377A85E61}"/>
    <hyperlink ref="N465" r:id="rId899" xr:uid="{B6BD6FE2-8218-4596-AB25-C3D92393508F}"/>
    <hyperlink ref="P466" r:id="rId900" display="https://my.zakupivli.pro/remote/dispatcher/state_purchase_view/49571696" xr:uid="{855EC1DF-9F6F-4EA0-838C-FD811AC14741}"/>
    <hyperlink ref="P467" r:id="rId901" display="https://my.zakupivli.pro/remote/dispatcher/state_purchase_view/49571405" xr:uid="{AB82D695-B2C0-4D48-8228-0215C4E41F02}"/>
    <hyperlink ref="P468" r:id="rId902" display="https://my.zakupivli.pro/remote/dispatcher/state_purchase_view/49571405" xr:uid="{070B2F5C-8963-49A4-94C2-7F132D5F26D8}"/>
    <hyperlink ref="P469" r:id="rId903" display="https://my.zakupivli.pro/remote/dispatcher/state_purchase_view/49571405" xr:uid="{D5ED40CF-9E33-41DB-8647-779C9AB75DDF}"/>
    <hyperlink ref="P470" r:id="rId904" display="https://my.zakupivli.pro/remote/dispatcher/state_purchase_view/49563835" xr:uid="{93D0CEA0-085C-435E-B26B-62804FACCBD8}"/>
    <hyperlink ref="P471" r:id="rId905" display="https://my.zakupivli.pro/remote/dispatcher/state_purchase_view/49553110" xr:uid="{3D5FDE24-47EF-4BE0-ADF9-91BD4B6C9F1C}"/>
    <hyperlink ref="P472" r:id="rId906" display="https://my.zakupivli.pro/remote/dispatcher/state_purchase_view/49550686" xr:uid="{3701C05D-A4EE-4D36-B1F3-2DAC5B9CF05E}"/>
    <hyperlink ref="N466" r:id="rId907" xr:uid="{78E76D27-465B-479C-88CE-16EC11398642}"/>
    <hyperlink ref="N467" r:id="rId908" xr:uid="{AB382855-49CC-48D5-85C8-86EABBF3687A}"/>
    <hyperlink ref="N468" r:id="rId909" xr:uid="{E752ED41-512A-4D72-9678-C0C1875A5363}"/>
    <hyperlink ref="N469" r:id="rId910" xr:uid="{F74AE923-39E3-4796-86DF-FC35559F2EFF}"/>
    <hyperlink ref="N470" r:id="rId911" xr:uid="{265D0308-A465-4973-8B77-60CC2B0FBD75}"/>
    <hyperlink ref="N471" r:id="rId912" xr:uid="{0B662CC9-ED64-439E-B3F8-D4331B75EB4E}"/>
    <hyperlink ref="N472" r:id="rId913" xr:uid="{22A7DB43-D26D-49E3-992F-11C1BB6D8F17}"/>
    <hyperlink ref="P473" r:id="rId914" display="https://my.zakupivli.pro/remote/dispatcher/state_purchase_view/49603204" xr:uid="{FB98962F-9E67-47AB-A524-41F0D522033A}"/>
    <hyperlink ref="P474" r:id="rId915" display="https://my.zakupivli.pro/remote/dispatcher/state_purchase_view/49602717" xr:uid="{46168908-605B-4286-9C8C-1B2D5A19A58D}"/>
    <hyperlink ref="P475" r:id="rId916" display="https://my.zakupivli.pro/remote/dispatcher/state_purchase_view/49581286" xr:uid="{C96A49A7-2864-48AA-9ACA-6F607A13661E}"/>
    <hyperlink ref="N473" r:id="rId917" xr:uid="{2E7E4BDD-0C4D-47D5-9133-E17C0168B2B8}"/>
    <hyperlink ref="N474" r:id="rId918" xr:uid="{00B929E2-553F-44A8-9315-DB8F7F929E78}"/>
    <hyperlink ref="N475" r:id="rId919" xr:uid="{A2353227-CA8C-4176-B390-5B160E1D505C}"/>
    <hyperlink ref="P476" r:id="rId920" display="https://my.zakupivli.pro/remote/dispatcher/state_purchase_view/49613449" xr:uid="{E981C742-3DB6-412E-859F-55C760FEA362}"/>
    <hyperlink ref="P477" r:id="rId921" display="https://my.zakupivli.pro/remote/dispatcher/state_purchase_view/49612800" xr:uid="{83EFB5CF-54EE-40E8-9D37-80F0EEC80BEF}"/>
    <hyperlink ref="N476" r:id="rId922" xr:uid="{A2C13F15-AA55-4AB2-B8DE-FC62D7BAB5C2}"/>
    <hyperlink ref="N477" r:id="rId923" xr:uid="{1D30D424-1BD3-49DE-94F4-3A63911DC0D7}"/>
    <hyperlink ref="P478" r:id="rId924" display="https://my.zakupivli.pro/remote/dispatcher/state_purchase_view/49656895" xr:uid="{85D2653C-6B50-4754-8003-F13C60C37C08}"/>
    <hyperlink ref="P479" r:id="rId925" display="https://my.zakupivli.pro/remote/dispatcher/state_purchase_view/49647930" xr:uid="{148EB9EC-2379-4B75-B3DE-44FC095D9899}"/>
    <hyperlink ref="N478" r:id="rId926" xr:uid="{8983B8EA-8D60-4E4F-901E-D68FC1A62ABD}"/>
    <hyperlink ref="N479" r:id="rId927" xr:uid="{5DF0D9A3-D1ED-4272-B656-A6317E939A3F}"/>
    <hyperlink ref="P480" r:id="rId928" display="https://my.zakupivli.pro/remote/dispatcher/state_purchase_view/49691053" xr:uid="{A02A7646-EFEF-4FCC-B396-B6AAC6BC1616}"/>
    <hyperlink ref="P481" r:id="rId929" display="https://my.zakupivli.pro/remote/dispatcher/state_purchase_view/49690092" xr:uid="{5F55CE50-B70A-4E85-B612-ABD8EE03E975}"/>
    <hyperlink ref="P482" r:id="rId930" display="https://my.zakupivli.pro/remote/dispatcher/state_purchase_view/49689165" xr:uid="{57923B76-30E6-41ED-872F-75D74A837A89}"/>
    <hyperlink ref="P483" r:id="rId931" display="https://my.zakupivli.pro/remote/dispatcher/state_purchase_view/49688999" xr:uid="{26AB6E5A-82E9-4BFA-A003-94E8B1CD7F18}"/>
    <hyperlink ref="N480" r:id="rId932" xr:uid="{A2BB7F96-7D7B-4444-BDF9-804EFD4D515E}"/>
    <hyperlink ref="N481" r:id="rId933" xr:uid="{85C428C8-5829-4879-8915-671840DF13CC}"/>
    <hyperlink ref="N482" r:id="rId934" xr:uid="{43ED2B54-B4CC-411A-9D44-F270710C91A5}"/>
    <hyperlink ref="N483" r:id="rId935" xr:uid="{A947017F-1EDC-4A6E-B00A-BBE9FCF720DA}"/>
    <hyperlink ref="P484" r:id="rId936" display="https://my.zakupivli.pro/remote/dispatcher/state_purchase_view/49743496" xr:uid="{0662B4A0-2A2F-4122-A358-BEE9976F1B62}"/>
    <hyperlink ref="P485" r:id="rId937" display="https://my.zakupivli.pro/remote/dispatcher/state_purchase_view/49743496" xr:uid="{34D9035C-07E2-436D-A288-612402F299B2}"/>
    <hyperlink ref="P486" r:id="rId938" display="https://my.zakupivli.pro/remote/dispatcher/state_purchase_view/49737240" xr:uid="{69B85B5B-CF4F-4983-B905-784D95DBF750}"/>
    <hyperlink ref="P487" r:id="rId939" display="https://my.zakupivli.pro/remote/dispatcher/state_purchase_view/49736995" xr:uid="{BAB350BE-3212-4DC0-8EED-BA32B786D844}"/>
    <hyperlink ref="P488" r:id="rId940" display="https://my.zakupivli.pro/remote/dispatcher/state_purchase_view/49736304" xr:uid="{6EF8EE34-3823-465B-8C7A-0264AAA5B5CC}"/>
    <hyperlink ref="P489" r:id="rId941" display="https://my.zakupivli.pro/remote/dispatcher/state_purchase_view/49735637" xr:uid="{8BAD2CBD-1D26-4057-B5D3-34A0FABC4137}"/>
    <hyperlink ref="P490" r:id="rId942" display="https://my.zakupivli.pro/remote/dispatcher/state_purchase_view/49733918" xr:uid="{93875750-0013-4C79-B2BD-38D3DA4D050D}"/>
    <hyperlink ref="N484" r:id="rId943" xr:uid="{6B12AF01-668D-44A1-83F9-FE3F8F180D43}"/>
    <hyperlink ref="N485" r:id="rId944" xr:uid="{D1983E4A-A873-497D-8B5B-0207F48B8A3B}"/>
    <hyperlink ref="N486" r:id="rId945" xr:uid="{51679C9A-D0E7-4D2C-8FF3-E36EB50EC3A7}"/>
    <hyperlink ref="N487" r:id="rId946" xr:uid="{AE309165-699A-41FE-B2EB-4C4F2D17CBE8}"/>
    <hyperlink ref="N488" r:id="rId947" xr:uid="{11163B72-EB02-4F70-994E-DCE78A47159F}"/>
    <hyperlink ref="N489" r:id="rId948" xr:uid="{D0681D95-89D0-446E-948A-75ED47F225B5}"/>
    <hyperlink ref="N490" r:id="rId949" xr:uid="{4B18AFF9-942E-4266-BCE1-5640CD523D8B}"/>
    <hyperlink ref="P491" r:id="rId950" display="https://my.zakupivli.pro/remote/dispatcher/state_purchase_view/49754998" xr:uid="{1FD46089-D3E8-4D07-84C8-37433BC46D73}"/>
    <hyperlink ref="N491" r:id="rId951" xr:uid="{90C85FC4-0D23-41BD-8560-8BC980FF0A4B}"/>
    <hyperlink ref="P492" r:id="rId952" display="https://my.zakupivli.pro/remote/dispatcher/state_purchase_view/49800155" xr:uid="{76EC06D0-1AB1-447C-9D67-A9FED9358B89}"/>
    <hyperlink ref="P493" r:id="rId953" display="https://my.zakupivli.pro/remote/dispatcher/state_purchase_view/49788870" xr:uid="{859542B4-2F0E-46B6-9509-9665289D1442}"/>
    <hyperlink ref="P494" r:id="rId954" display="https://my.zakupivli.pro/remote/dispatcher/state_purchase_view/49783236" xr:uid="{6050A6DE-46E1-45C0-9AD0-D426E9F8E210}"/>
    <hyperlink ref="P495" r:id="rId955" display="https://my.zakupivli.pro/remote/dispatcher/state_purchase_view/49783236" xr:uid="{3D6EF6EE-688F-42C4-8AD3-187612032A4E}"/>
    <hyperlink ref="N492" r:id="rId956" xr:uid="{80B3870D-A4C8-48A3-B429-11F5E13BB713}"/>
    <hyperlink ref="N493" r:id="rId957" xr:uid="{8D977BD8-1B61-44CE-B460-36C61F7017DA}"/>
    <hyperlink ref="N494" r:id="rId958" xr:uid="{87459063-8B7F-43DA-9960-4ACF4A4350C3}"/>
    <hyperlink ref="N495" r:id="rId959" xr:uid="{F93E0CA4-079B-4D13-AA7F-E151DA49254D}"/>
    <hyperlink ref="P496" r:id="rId960" display="https://my.zakupivli.pro/remote/dispatcher/state_purchase_view/49830616" xr:uid="{FE7D301E-72F9-4A24-A64C-3BCD342C935C}"/>
    <hyperlink ref="P497" r:id="rId961" display="https://my.zakupivli.pro/remote/dispatcher/state_purchase_view/49830616" xr:uid="{6B0BC319-FDAF-4205-A63A-52F0F49DAF57}"/>
    <hyperlink ref="P498" r:id="rId962" display="https://my.zakupivli.pro/remote/dispatcher/state_purchase_view/49814380" xr:uid="{C7552AD8-FD00-4D58-B659-6BE1C3F85D32}"/>
    <hyperlink ref="N496" r:id="rId963" xr:uid="{39E1DDF2-8913-425D-9B6E-711500D693AE}"/>
    <hyperlink ref="N497" r:id="rId964" xr:uid="{E7FE4462-A34E-4386-A93B-20C285F2F33C}"/>
    <hyperlink ref="N498" r:id="rId965" xr:uid="{EE4ED72B-D060-448F-B0A6-D2BD6E43CEDE}"/>
    <hyperlink ref="P499" r:id="rId966" display="https://my.zakupivli.pro/remote/dispatcher/state_purchase_view/49855542" xr:uid="{65037CEB-46BE-4A1B-9250-5377E0C81A6B}"/>
    <hyperlink ref="N499" r:id="rId967" xr:uid="{7C166354-2132-46DE-AD27-AE5217C46BD2}"/>
    <hyperlink ref="P500" r:id="rId968" display="https://my.zakupivli.pro/remote/dispatcher/state_purchase_view/49910924" xr:uid="{4EFBE364-C3D2-4818-AFFC-C04E6FFE432D}"/>
    <hyperlink ref="N500" r:id="rId969" xr:uid="{CAE65F06-DE49-4C6D-ADF9-20731817BF67}"/>
    <hyperlink ref="P501" r:id="rId970" display="https://my.zakupivli.pro/remote/dispatcher/state_purchase_view/49949189" xr:uid="{4CDF992B-10E2-4CB6-8DA7-F5CBCE78325F}"/>
    <hyperlink ref="N501" r:id="rId971" xr:uid="{7AF529B6-28D6-44C2-8ACE-606E2B196439}"/>
    <hyperlink ref="P502" r:id="rId972" display="https://my.zakupivli.pro/remote/dispatcher/state_purchase_view/50009434" xr:uid="{AA79E06C-E738-4072-8A38-536866B72B70}"/>
    <hyperlink ref="P503" r:id="rId973" display="https://my.zakupivli.pro/remote/dispatcher/state_purchase_view/50008319" xr:uid="{33DCFA2F-890C-460E-AA46-73CD51A39595}"/>
    <hyperlink ref="N502" r:id="rId974" xr:uid="{72C8388F-E5C2-4F4A-9CCF-DDD39049A2EB}"/>
    <hyperlink ref="N503" r:id="rId975" xr:uid="{BB70E4AB-5910-4947-8FCD-1E0FC9107B6E}"/>
    <hyperlink ref="P504" r:id="rId976" display="https://my.zakupivli.pro/remote/dispatcher/state_purchase_view/49993551" xr:uid="{46A9EAF7-CDB6-449C-94B1-4F98F97CF81D}"/>
    <hyperlink ref="P505" r:id="rId977" display="https://my.zakupivli.pro/remote/dispatcher/state_purchase_view/49993454" xr:uid="{5B505E80-A522-4C45-A6D0-5896DAF7D03F}"/>
    <hyperlink ref="P506" r:id="rId978" display="https://my.zakupivli.pro/remote/dispatcher/state_purchase_view/49993314" xr:uid="{DABBC2B4-6A46-4E2B-9D90-3D4F9D5FCD74}"/>
    <hyperlink ref="N504" r:id="rId979" xr:uid="{7BACE742-527F-4112-81DC-97D4C62A7F66}"/>
    <hyperlink ref="N505" r:id="rId980" xr:uid="{D66C02BA-9517-4604-A769-4C068F75D8B9}"/>
    <hyperlink ref="N506" r:id="rId981" xr:uid="{AEC0BC65-65F6-46C2-A854-C77C7F2B697B}"/>
    <hyperlink ref="P507" r:id="rId982" display="https://my.zakupivli.pro/remote/dispatcher/state_purchase_view/49992857" xr:uid="{4F22F6B6-6266-4085-A854-42A8117AA5F1}"/>
    <hyperlink ref="P508" r:id="rId983" display="https://my.zakupivli.pro/remote/dispatcher/state_purchase_view/49992163" xr:uid="{DD01F70E-1344-4730-A050-86F3E986D838}"/>
    <hyperlink ref="P509" r:id="rId984" display="https://my.zakupivli.pro/remote/dispatcher/state_purchase_view/49991885" xr:uid="{CAEE1DB2-F9C8-41F2-92E5-88882A7CBC84}"/>
    <hyperlink ref="P510" r:id="rId985" display="https://my.zakupivli.pro/remote/dispatcher/state_purchase_view/49991401" xr:uid="{787E04D3-88F7-4C00-A886-58785F50D352}"/>
    <hyperlink ref="P511" r:id="rId986" display="https://my.zakupivli.pro/remote/dispatcher/state_purchase_view/49991359" xr:uid="{829FD3F4-DCC5-49A2-AC86-A316DB828B25}"/>
    <hyperlink ref="N507" r:id="rId987" xr:uid="{9441EFBD-57DF-4C5A-B0DE-B5E6667A5992}"/>
    <hyperlink ref="N508" r:id="rId988" xr:uid="{4C7C3B3A-36EF-4F2C-ADAD-60A31360F075}"/>
    <hyperlink ref="N509" r:id="rId989" xr:uid="{0DBA6C03-56B2-4354-9A02-F936E2A5341D}"/>
    <hyperlink ref="N510" r:id="rId990" xr:uid="{D7C6808F-4C19-457C-935E-10A327B2C3B8}"/>
    <hyperlink ref="N511" r:id="rId991" xr:uid="{953641C0-FECA-47A6-9884-652D51385988}"/>
    <hyperlink ref="P512" r:id="rId992" display="https://my.zakupivli.pro/remote/dispatcher/state_purchase_view/49991087" xr:uid="{BDC07F2B-8914-41AE-867C-316B425B09B8}"/>
    <hyperlink ref="P513" r:id="rId993" display="https://my.zakupivli.pro/remote/dispatcher/state_purchase_view/49990900" xr:uid="{66C95FE2-C6EF-44E0-927E-099640FB4105}"/>
    <hyperlink ref="P514" r:id="rId994" display="https://my.zakupivli.pro/remote/dispatcher/state_purchase_view/49990848" xr:uid="{EAED0306-8496-49D0-9ED1-959AB44D9B1A}"/>
    <hyperlink ref="P515" r:id="rId995" display="https://my.zakupivli.pro/remote/dispatcher/state_purchase_view/49990556" xr:uid="{FC0C152D-06CC-4CC6-8655-D6AE7CE0F0EC}"/>
    <hyperlink ref="P516" r:id="rId996" display="https://my.zakupivli.pro/remote/dispatcher/state_purchase_view/49990340" xr:uid="{1DB54D97-3084-4DED-9E10-52B538480608}"/>
    <hyperlink ref="N512" r:id="rId997" xr:uid="{3B5F5F9A-D7A4-4DB9-95B9-89B18C6A8BF9}"/>
    <hyperlink ref="N513" r:id="rId998" xr:uid="{DEBF3C20-D44F-4C2E-BE1D-6DAC4154A84B}"/>
    <hyperlink ref="N514" r:id="rId999" xr:uid="{212FD5DD-5522-48FA-B123-DCC0D0375EE7}"/>
    <hyperlink ref="N515" r:id="rId1000" xr:uid="{09835E77-9B7C-4399-AFDE-DBAD1ECE1E1F}"/>
    <hyperlink ref="N516" r:id="rId1001" xr:uid="{DEE45871-68ED-4A74-9A4E-684CF0DB2700}"/>
    <hyperlink ref="P517" r:id="rId1002" display="https://my.zakupivli.pro/remote/dispatcher/state_purchase_view/50096341" xr:uid="{45B082A0-E88C-48E1-805F-CB4B8EA2789D}"/>
    <hyperlink ref="N517" r:id="rId1003" xr:uid="{228CB5B3-C367-4359-A37F-88361DE05511}"/>
    <hyperlink ref="P518" r:id="rId1004" display="https://my.zakupivli.pro/remote/dispatcher/state_purchase_view/50133163" xr:uid="{DB86E49C-970C-4D69-8297-FCB43F58FA87}"/>
    <hyperlink ref="P519" r:id="rId1005" display="https://my.zakupivli.pro/remote/dispatcher/state_purchase_view/50132155" xr:uid="{53AA190A-834A-41FB-AEEF-89641DC92FCC}"/>
    <hyperlink ref="P520" r:id="rId1006" display="https://my.zakupivli.pro/remote/dispatcher/state_purchase_view/50131614" xr:uid="{E46D3C0F-8BB7-4651-A48C-7E2E43D562C5}"/>
    <hyperlink ref="P521" r:id="rId1007" display="https://my.zakupivli.pro/remote/dispatcher/state_purchase_view/50128934" xr:uid="{3C450747-FFD9-4974-82D3-2BDC45CDA51E}"/>
    <hyperlink ref="P522" r:id="rId1008" display="https://my.zakupivli.pro/remote/dispatcher/state_purchase_view/50128451" xr:uid="{8722A59D-AED0-4928-9A27-5D29E91CA8CB}"/>
    <hyperlink ref="P523" r:id="rId1009" display="https://my.zakupivli.pro/remote/dispatcher/state_purchase_view/50127903" xr:uid="{8CC4B486-79C7-4FD8-BE4D-B18C7D9DD655}"/>
    <hyperlink ref="N518" r:id="rId1010" xr:uid="{CA36D282-216D-47DE-AEFE-4836B74FCEAB}"/>
    <hyperlink ref="N519" r:id="rId1011" xr:uid="{C241A84C-3A7F-4E62-8ACB-5C3F25203196}"/>
    <hyperlink ref="N520" r:id="rId1012" xr:uid="{A8DE9B6A-E606-48DC-9992-034A5FD49122}"/>
    <hyperlink ref="N521" r:id="rId1013" xr:uid="{C6B6BF73-6134-46D6-A183-D68A590314A8}"/>
    <hyperlink ref="N522" r:id="rId1014" xr:uid="{9AA065E1-4F66-4BD0-B6E2-FC25BAC015C0}"/>
    <hyperlink ref="N523" r:id="rId1015" xr:uid="{D39E0A38-F3EA-4947-804C-918A1C5CA08D}"/>
    <hyperlink ref="P524" r:id="rId1016" display="https://my.zakupivli.pro/remote/dispatcher/state_purchase_view/50192772" xr:uid="{C511757E-8C2E-4D35-9036-FD7CAAC0504A}"/>
    <hyperlink ref="P525" r:id="rId1017" display="https://my.zakupivli.pro/remote/dispatcher/state_purchase_view/50192096" xr:uid="{E2E8F271-68F6-464E-8D16-C2AF6752B51E}"/>
    <hyperlink ref="P526" r:id="rId1018" display="https://my.zakupivli.pro/remote/dispatcher/state_purchase_view/50191401" xr:uid="{FF1C14D6-6061-4858-9BC3-902EA5957E0B}"/>
    <hyperlink ref="P527" r:id="rId1019" display="https://my.zakupivli.pro/remote/dispatcher/state_purchase_view/50191086" xr:uid="{BB87A206-47A6-4EBF-AFA5-F96BA8EC1EEC}"/>
    <hyperlink ref="P528" r:id="rId1020" display="https://my.zakupivli.pro/remote/dispatcher/state_purchase_view/50182890" xr:uid="{2F5A60A2-51B2-4B84-9E8C-3AAEA9C048AF}"/>
    <hyperlink ref="N524" r:id="rId1021" xr:uid="{7017793D-6A75-4BF3-BDD0-5AF7BBDB04F4}"/>
    <hyperlink ref="N525" r:id="rId1022" xr:uid="{E61E9A59-A684-4E15-B786-09AF1A3FCBE4}"/>
    <hyperlink ref="N526" r:id="rId1023" xr:uid="{CB18C563-496A-40D1-9084-B02E45FD41D6}"/>
    <hyperlink ref="N527" r:id="rId1024" xr:uid="{17A00285-1476-479D-A3C9-07128A7FD8ED}"/>
    <hyperlink ref="N528" r:id="rId1025" xr:uid="{9C7C5666-F36A-4C8C-A847-D6EE8BC7F5F1}"/>
    <hyperlink ref="P529" r:id="rId1026" display="https://my.zakupivli.pro/remote/dispatcher/state_purchase_view/50200329" xr:uid="{255D11D4-F310-471B-A335-1C6717C003BB}"/>
    <hyperlink ref="P530" r:id="rId1027" display="https://my.zakupivli.pro/remote/dispatcher/state_purchase_view/50200087" xr:uid="{F45C8094-8DB8-4DF3-940B-11AAD433FF56}"/>
    <hyperlink ref="P531" r:id="rId1028" display="https://my.zakupivli.pro/remote/dispatcher/state_purchase_view/50199730" xr:uid="{3C2F04FB-6BBC-41DC-8B27-279964213B84}"/>
    <hyperlink ref="N529" r:id="rId1029" xr:uid="{46D83F02-8BB2-4EC1-A6B7-06EB9E299967}"/>
    <hyperlink ref="N530" r:id="rId1030" xr:uid="{09D149F0-4651-444C-B061-CF0B0FF8AD5E}"/>
    <hyperlink ref="N531" r:id="rId1031" xr:uid="{A375271A-5554-4ECB-962F-259CB1E748DB}"/>
    <hyperlink ref="P532" r:id="rId1032" display="https://my.zakupivli.pro/remote/dispatcher/state_purchase_view/50200587" xr:uid="{5FC72DB6-18D6-4B05-9103-0A8D2085FE42}"/>
    <hyperlink ref="N532" r:id="rId1033" xr:uid="{5370EA1E-4E42-415E-A735-B2678565E482}"/>
    <hyperlink ref="P533" r:id="rId1034" display="https://my.zakupivli.pro/remote/dispatcher/state_purchase_view/50221480" xr:uid="{80401668-FD7F-4D62-9F27-C593DC26824B}"/>
    <hyperlink ref="N533" r:id="rId1035" xr:uid="{843BB94F-1740-4933-A316-50CCD4BB3D3C}"/>
    <hyperlink ref="P534" r:id="rId1036" display="https://my.zakupivli.pro/remote/dispatcher/state_purchase_view/50227478" xr:uid="{FDF96698-92FE-4A97-8FDE-7FC4B3A23054}"/>
    <hyperlink ref="N534" r:id="rId1037" xr:uid="{8573AB1F-F005-41B9-B287-418441CD5A9F}"/>
    <hyperlink ref="P535" r:id="rId1038" display="https://my.zakupivli.pro/remote/dispatcher/state_purchase_view/50272627" xr:uid="{D9268350-162E-4130-B64C-95CF166D144E}"/>
    <hyperlink ref="N535" r:id="rId1039" xr:uid="{1667E7BD-F552-484A-9680-E85EF2F8835A}"/>
    <hyperlink ref="P536" r:id="rId1040" display="https://my.zakupivli.pro/remote/dispatcher/state_purchase_view/50294092" xr:uid="{0A168133-D504-43F4-AE7E-93D9F163D5AD}"/>
    <hyperlink ref="P537" r:id="rId1041" display="https://my.zakupivli.pro/remote/dispatcher/state_purchase_view/50293396" xr:uid="{2173CD45-DDB9-474A-9BCB-E572D52907E9}"/>
    <hyperlink ref="P538" r:id="rId1042" display="https://my.zakupivli.pro/remote/dispatcher/state_purchase_view/50291280" xr:uid="{4BF83C95-B11E-4379-ACFC-499EDBA609A9}"/>
    <hyperlink ref="P539" r:id="rId1043" display="https://my.zakupivli.pro/remote/dispatcher/state_purchase_view/50290774" xr:uid="{348C9332-965B-412C-8D9E-4071140B1977}"/>
    <hyperlink ref="N536" r:id="rId1044" xr:uid="{1D9AD81A-DBDB-451A-9079-B15AAF693F12}"/>
    <hyperlink ref="N537" r:id="rId1045" xr:uid="{F6CEB508-1F2A-4953-83E9-583484E1722F}"/>
    <hyperlink ref="N538" r:id="rId1046" xr:uid="{AD3050C1-DC9F-4F3B-9F04-7E8FC95C29E5}"/>
    <hyperlink ref="N539" r:id="rId1047" xr:uid="{A136B639-FC84-4DE6-811C-531208C3ED0B}"/>
    <hyperlink ref="P540" r:id="rId1048" display="https://my.zakupivli.pro/remote/dispatcher/state_purchase_view/50317147" xr:uid="{084AB358-FCEA-4D98-B8AF-3807841DC664}"/>
    <hyperlink ref="N540" r:id="rId1049" xr:uid="{80BABF6D-3774-488A-B117-313C5FE258EE}"/>
    <hyperlink ref="P541" r:id="rId1050" display="https://my.zakupivli.pro/remote/dispatcher/state_purchase_view/50343438" xr:uid="{6FB60F6E-B7B3-4715-BF26-EEF59220D6F5}"/>
    <hyperlink ref="P542" r:id="rId1051" display="https://my.zakupivli.pro/remote/dispatcher/state_purchase_view/50326211" xr:uid="{575D2B72-A421-4793-8496-02752B0884C4}"/>
    <hyperlink ref="N541" r:id="rId1052" xr:uid="{9A048AEB-E43B-412C-9B73-5CDACE3F3DF9}"/>
    <hyperlink ref="N542" r:id="rId1053" xr:uid="{5694491B-D175-449E-80FF-B1BC5ECA8200}"/>
    <hyperlink ref="P543" r:id="rId1054" display="https://my.zakupivli.pro/remote/dispatcher/state_purchase_view/50369574" xr:uid="{CB7AD709-377E-4DDC-99E3-8BAC25676573}"/>
    <hyperlink ref="N543" r:id="rId1055" xr:uid="{CF76275C-9A00-4FB8-8698-1B0D88C645B3}"/>
    <hyperlink ref="P544" r:id="rId1056" display="https://my.zakupivli.pro/remote/dispatcher/state_purchase_view/50398330" xr:uid="{F10010EE-0EC0-47B4-9486-A736746F759F}"/>
    <hyperlink ref="N544" r:id="rId1057" xr:uid="{E52FAF69-6457-4AB5-8E30-A29BC552C87E}"/>
    <hyperlink ref="P545" r:id="rId1058" display="https://my.zakupivli.pro/remote/dispatcher/state_purchase_view/50434062" xr:uid="{5ACBF9CE-3F8D-4E29-BC78-297D6DD62703}"/>
    <hyperlink ref="N545" r:id="rId1059" xr:uid="{3ED789DE-9AA2-4123-AFD3-9B8BD1F877D5}"/>
    <hyperlink ref="P546" r:id="rId1060" display="https://my.zakupivli.pro/remote/dispatcher/state_purchase_view/50523737" xr:uid="{1CB6A750-3E75-4656-93A6-995790560FDD}"/>
    <hyperlink ref="P547" r:id="rId1061" display="https://my.zakupivli.pro/remote/dispatcher/state_purchase_view/50523214" xr:uid="{095EDC0E-C223-4138-905D-A95C38D9F050}"/>
    <hyperlink ref="P548" r:id="rId1062" display="https://my.zakupivli.pro/remote/dispatcher/state_purchase_view/50517136" xr:uid="{A2ED2486-FDD0-4049-8903-D969DCA0DCD6}"/>
    <hyperlink ref="N546" r:id="rId1063" xr:uid="{354A65CB-C566-44D3-9EBF-B7DFAC977912}"/>
    <hyperlink ref="N547" r:id="rId1064" xr:uid="{7080F139-583D-4255-9A34-AA30FB5FE687}"/>
    <hyperlink ref="N548" r:id="rId1065" xr:uid="{9B2498DA-4E43-4571-A219-A45897BB2C51}"/>
    <hyperlink ref="P549" r:id="rId1066" display="https://my.zakupivli.pro/remote/dispatcher/state_purchase_view/50625843" xr:uid="{D7F3B66A-73B1-4908-8FEA-AC459B4D50AB}"/>
    <hyperlink ref="N549" r:id="rId1067" xr:uid="{2F0E546C-1DC3-4CF1-9B0A-93D934DF337D}"/>
    <hyperlink ref="N550" r:id="rId1068" xr:uid="{44ABE071-698E-4271-9253-1ADE52E73A7E}"/>
    <hyperlink ref="P550" r:id="rId1069" xr:uid="{720CD3C8-7938-4570-9F13-A1E025E14F1B}"/>
    <hyperlink ref="P551" r:id="rId1070" display="https://my.zakupivli.pro/remote/dispatcher/state_purchase_view/50678782" xr:uid="{A8F55D9D-0A9E-45CB-B27A-6FBAAB5327B5}"/>
    <hyperlink ref="N551" r:id="rId1071" xr:uid="{C581673C-FF6F-4E58-B45B-6C3AD72B2B2D}"/>
    <hyperlink ref="P552" r:id="rId1072" display="https://my.zakupivli.pro/remote/dispatcher/state_purchase_view/50748827" xr:uid="{12E0B181-C583-4D38-AB58-5C4F3CA65934}"/>
    <hyperlink ref="P553" r:id="rId1073" display="https://my.zakupivli.pro/remote/dispatcher/state_purchase_view/50747345" xr:uid="{8412C443-B862-4CBE-8DF4-EC083EC3CBE6}"/>
    <hyperlink ref="P554" r:id="rId1074" display="https://my.zakupivli.pro/remote/dispatcher/state_purchase_view/50747236" xr:uid="{FB0DCD74-88F9-41AC-8F1E-AD4B3A3CF8D4}"/>
    <hyperlink ref="N552" r:id="rId1075" xr:uid="{1CCB0149-9511-4E7D-9C79-8853C9578D78}"/>
    <hyperlink ref="N553" r:id="rId1076" xr:uid="{A3A2289D-F2C7-41D9-A570-454E233E9435}"/>
    <hyperlink ref="N554" r:id="rId1077" xr:uid="{0E0CC275-9DE1-4540-810F-B2788A6C1F5C}"/>
    <hyperlink ref="P555" r:id="rId1078" display="https://my.zakupivli.pro/remote/dispatcher/state_purchase_view/50828435" xr:uid="{DCD36850-C7E9-42FE-A456-A1D00595D340}"/>
    <hyperlink ref="N555" r:id="rId1079" xr:uid="{04972F62-7FAF-49E1-8CE8-8045551B35D4}"/>
    <hyperlink ref="P556" r:id="rId1080" display="https://my.zakupivli.pro/remote/dispatcher/state_purchase_view/50840153" xr:uid="{4080FDBE-EFC6-4F46-B8B5-F5B93EF5AF91}"/>
    <hyperlink ref="N556" r:id="rId1081" xr:uid="{6773D9E0-054A-462E-963A-17F648DA3E0A}"/>
    <hyperlink ref="P557" r:id="rId1082" display="https://my.zakupivli.pro/remote/dispatcher/state_purchase_view/50870545" xr:uid="{2BCE507B-4842-4E25-9AAA-871E79B038EB}"/>
    <hyperlink ref="P558" r:id="rId1083" display="https://my.zakupivli.pro/remote/dispatcher/state_purchase_view/50869659" xr:uid="{29390402-D177-439D-B619-8C29A74C889E}"/>
    <hyperlink ref="N557" r:id="rId1084" xr:uid="{DE1B8AED-89AA-4639-B910-378A8EABC5B4}"/>
    <hyperlink ref="N558" r:id="rId1085" xr:uid="{00B8DB4A-F40B-442C-8B37-6584B5C96943}"/>
    <hyperlink ref="P559" r:id="rId1086" display="https://my.zakupivli.pro/remote/dispatcher/state_purchase_view/50900302" xr:uid="{DB2DF90A-17AF-42D1-8FD1-AB6CE8E7F63E}"/>
    <hyperlink ref="P560" r:id="rId1087" display="https://my.zakupivli.pro/remote/dispatcher/state_purchase_view/50899716" xr:uid="{35BC0933-E518-42EE-9E3F-EBAB8596ED29}"/>
    <hyperlink ref="N559" r:id="rId1088" xr:uid="{85D7C4EE-AEFF-47A3-8CEB-AC6AEADC5561}"/>
    <hyperlink ref="N560" r:id="rId1089" xr:uid="{A022FC66-66D6-4B06-ABFE-AF277B24AD6D}"/>
    <hyperlink ref="P561" r:id="rId1090" display="https://my.zakupivli.pro/remote/dispatcher/state_purchase_view/50942400" xr:uid="{A95D3C04-5B38-4D37-A47E-BC26D31EDDCB}"/>
    <hyperlink ref="P562" r:id="rId1091" display="https://my.zakupivli.pro/remote/dispatcher/state_purchase_view/50941461" xr:uid="{845B63AE-9A67-486E-B509-450D2121BF32}"/>
    <hyperlink ref="P563" r:id="rId1092" display="https://my.zakupivli.pro/remote/dispatcher/state_purchase_view/50941180" xr:uid="{B77DC5AC-FFD3-4F56-9BA5-93111BDC68D5}"/>
    <hyperlink ref="P564" r:id="rId1093" display="https://my.zakupivli.pro/remote/dispatcher/state_purchase_view/50934484" xr:uid="{8A020F7B-5155-4CCF-BCF2-02FCE04DAF4C}"/>
    <hyperlink ref="P565" r:id="rId1094" display="https://my.zakupivli.pro/remote/dispatcher/state_purchase_view/50933225" xr:uid="{E6AA1327-4234-442A-AE2E-C5E43E04DA0C}"/>
    <hyperlink ref="N561" r:id="rId1095" xr:uid="{D53E1B57-52B8-4332-994C-AAF238EF39D3}"/>
    <hyperlink ref="N562" r:id="rId1096" xr:uid="{85C33428-003C-44EA-8E71-79FDCDF2A267}"/>
    <hyperlink ref="N563" r:id="rId1097" xr:uid="{A994792D-7926-44A2-8EBA-9954865C6098}"/>
    <hyperlink ref="N564" r:id="rId1098" xr:uid="{0BCA068D-BB7F-4D57-9C67-59AE5400191A}"/>
    <hyperlink ref="N565" r:id="rId1099" xr:uid="{D1FD521C-95A7-482C-9EA3-C39127A7DFC2}"/>
    <hyperlink ref="P566" r:id="rId1100" display="https://my.zakupivli.pro/remote/dispatcher/state_purchase_view/50949996" xr:uid="{92C17058-2A6F-4EB8-9971-5FCCA17781FB}"/>
    <hyperlink ref="N566" r:id="rId1101" xr:uid="{F74B4D5C-9563-413D-A333-606E6EE3BB6B}"/>
    <hyperlink ref="P567" r:id="rId1102" display="https://my.zakupivli.pro/remote/dispatcher/state_purchase_view/50999556" xr:uid="{10EB4B9D-B51B-4DA9-B565-6B52C5692909}"/>
    <hyperlink ref="N567" r:id="rId1103" xr:uid="{97F61368-D2EE-4682-9998-BF8DE6BE50FD}"/>
    <hyperlink ref="P568" r:id="rId1104" display="https://my.zakupivli.pro/remote/dispatcher/state_purchase_view/51062772" xr:uid="{7F78C124-0805-4B3E-85CF-825D6B0BACC5}"/>
    <hyperlink ref="N568" r:id="rId1105" xr:uid="{2B4CCD70-DED2-4701-9FEC-83BA7045B49F}"/>
    <hyperlink ref="P569" r:id="rId1106" display="https://my.zakupivli.pro/remote/dispatcher/state_purchase_view/51111939" xr:uid="{A4EC041E-F704-4EE8-BF07-E1D614627F01}"/>
    <hyperlink ref="N569" r:id="rId1107" xr:uid="{EED3A23E-8DD6-46F1-B28D-0311A2DFE1A0}"/>
    <hyperlink ref="P570" r:id="rId1108" display="https://my.zakupivli.pro/remote/dispatcher/state_purchase_view/51125566" xr:uid="{083FCAB4-1FAD-4B0C-9E92-BEE670F77A9E}"/>
    <hyperlink ref="N570" r:id="rId1109" xr:uid="{9AEF14D7-EA9D-4E69-910E-EC910D61739B}"/>
    <hyperlink ref="P571" r:id="rId1110" display="https://my.zakupivli.pro/remote/dispatcher/state_purchase_view/51151129" xr:uid="{4F0A2AA7-D4B6-46D1-BAB7-1509EB483D86}"/>
    <hyperlink ref="N571" r:id="rId1111" xr:uid="{752D5761-768F-4C2B-998F-5DE1A96E070B}"/>
    <hyperlink ref="P572" r:id="rId1112" display="https://my.zakupivli.pro/remote/dispatcher/state_purchase_view/51190701" xr:uid="{48167725-9D71-4112-8B3E-974296449E45}"/>
    <hyperlink ref="P573" r:id="rId1113" display="https://my.zakupivli.pro/remote/dispatcher/state_purchase_view/51180705" xr:uid="{0C912B26-1397-470E-A39F-19CF09934D53}"/>
    <hyperlink ref="P574" r:id="rId1114" display="https://my.zakupivli.pro/remote/dispatcher/state_purchase_view/51179925" xr:uid="{CCFA06D7-B35B-4D65-9ACA-CA58C3BAE759}"/>
    <hyperlink ref="N572" r:id="rId1115" xr:uid="{84DC1533-B38D-464B-A95D-07737ED61671}"/>
    <hyperlink ref="N573" r:id="rId1116" xr:uid="{11ADD116-9166-412B-8EAE-577DD216876F}"/>
    <hyperlink ref="N574" r:id="rId1117" xr:uid="{B9F715F3-0475-4039-A2B8-659AA7007CA9}"/>
    <hyperlink ref="P575" r:id="rId1118" display="https://my.zakupivli.pro/remote/dispatcher/state_purchase_view/51263635" xr:uid="{BEA46668-F7FD-4763-8279-4989BDA8EF6F}"/>
    <hyperlink ref="P576" r:id="rId1119" display="https://my.zakupivli.pro/remote/dispatcher/state_purchase_view/51253027" xr:uid="{DC7D84EF-0896-4237-A58E-AE0E5C82A19B}"/>
    <hyperlink ref="P577" r:id="rId1120" display="https://my.zakupivli.pro/remote/dispatcher/state_purchase_view/51251693" xr:uid="{E1AB4294-69E4-4DF7-B025-EB5F84C92CD9}"/>
    <hyperlink ref="P578" r:id="rId1121" display="https://my.zakupivli.pro/remote/dispatcher/state_purchase_view/51251419" xr:uid="{267BEFC4-5BF3-4D06-818C-A4D4D073CBD5}"/>
    <hyperlink ref="P579" r:id="rId1122" display="https://my.zakupivli.pro/remote/dispatcher/state_purchase_view/51251184" xr:uid="{8C116149-46A1-4021-929E-BDE8000DE5E8}"/>
    <hyperlink ref="P580" r:id="rId1123" display="https://my.zakupivli.pro/remote/dispatcher/state_purchase_view/51251183" xr:uid="{EBA07C19-76A0-4B2E-A134-5606D9D7C762}"/>
    <hyperlink ref="P581" r:id="rId1124" display="https://my.zakupivli.pro/remote/dispatcher/state_purchase_view/51250880" xr:uid="{3B675598-62C8-4A65-91E5-EB15C097C532}"/>
    <hyperlink ref="N575" r:id="rId1125" xr:uid="{9A66338F-1FE2-406A-B0B0-12F5C5C056C3}"/>
    <hyperlink ref="N576" r:id="rId1126" xr:uid="{8CCC4007-2975-4016-8B84-158491C580C1}"/>
    <hyperlink ref="N577" r:id="rId1127" xr:uid="{3C7B3F07-1EF6-4DFB-A110-3431B4D13D8A}"/>
    <hyperlink ref="N578" r:id="rId1128" xr:uid="{234E66CC-30F8-49CC-874B-CCF32D5DB12E}"/>
    <hyperlink ref="N579" r:id="rId1129" xr:uid="{07A5E64A-4070-4629-870F-5F2738F1149D}"/>
    <hyperlink ref="N580" r:id="rId1130" xr:uid="{75C7A882-EC7F-41E3-BFA9-E557719FD86F}"/>
    <hyperlink ref="N581" r:id="rId1131" xr:uid="{BE86B49C-F6B3-4A95-95F9-287F3D4C282E}"/>
    <hyperlink ref="P582" r:id="rId1132" display="https://my.zakupivli.pro/remote/dispatcher/state_purchase_view/51322354" xr:uid="{3156606A-5D1C-4C5C-8E95-2933BEFE14A9}"/>
    <hyperlink ref="P583" r:id="rId1133" display="https://my.zakupivli.pro/remote/dispatcher/state_purchase_view/51322404" xr:uid="{76EF03C4-1A81-46DE-8E73-6F5A2615A5DC}"/>
    <hyperlink ref="N582" r:id="rId1134" xr:uid="{5CFFA026-5559-47B4-BE25-2E91A831E19F}"/>
    <hyperlink ref="N583" r:id="rId1135" xr:uid="{16669A37-E150-4EB7-8382-50324021482E}"/>
    <hyperlink ref="P584" r:id="rId1136" display="https://my.zakupivli.pro/remote/dispatcher/state_purchase_view/51354614" xr:uid="{ADB71389-ED7E-46FD-9DD3-4223AF1C862A}"/>
    <hyperlink ref="P585" r:id="rId1137" display="https://my.zakupivli.pro/remote/dispatcher/state_purchase_view/51362144" xr:uid="{9AA1D020-1237-45F1-A0CA-9B6BAF081FA0}"/>
    <hyperlink ref="N584" r:id="rId1138" xr:uid="{5990DA14-30BF-4CCE-A803-F1B0D1DD9C05}"/>
    <hyperlink ref="N585" r:id="rId1139" xr:uid="{FA5DF3E6-EC66-469B-A7C7-1071C7AFE5B5}"/>
    <hyperlink ref="N586" r:id="rId1140" xr:uid="{C65F0D2A-1E7E-4ADF-AD17-21FCB5A1B413}"/>
    <hyperlink ref="P586" r:id="rId1141" display="https://my.zakupivli.pro/remote/dispatcher/state_purchase_view/51397532" xr:uid="{5F5200D4-5140-475B-897C-3C8635DBD545}"/>
    <hyperlink ref="P587" r:id="rId1142" display="https://my.zakupivli.pro/remote/dispatcher/state_purchase_view/51454131" xr:uid="{A497A8FE-0883-4B46-B5B6-95561DD64B87}"/>
    <hyperlink ref="N587" r:id="rId1143" xr:uid="{415B9F90-5C0E-4B90-8D13-7CA7BF081661}"/>
    <hyperlink ref="P588" r:id="rId1144" display="https://my.zakupivli.pro/remote/dispatcher/state_purchase_view/51515216" xr:uid="{C1C38FB4-F800-431C-B640-031A1608F852}"/>
    <hyperlink ref="P589" r:id="rId1145" display="https://my.zakupivli.pro/remote/dispatcher/state_purchase_view/51515365" xr:uid="{A5CF9AEA-A15A-4B78-9337-BD182D1F86F0}"/>
    <hyperlink ref="N588" r:id="rId1146" xr:uid="{7E78700D-896B-471E-8F09-13FABD336DD8}"/>
    <hyperlink ref="N589" r:id="rId1147" xr:uid="{F3CB45A5-81D6-4064-8FC4-C9665E0F6A59}"/>
    <hyperlink ref="P590" r:id="rId1148" display="https://my.zakupivli.pro/remote/dispatcher/state_purchase_view/51547469" xr:uid="{C08603F4-4703-4D96-A7CA-92736165D117}"/>
    <hyperlink ref="N590" r:id="rId1149" xr:uid="{AF17D33F-F19E-416E-8913-69C7A5B10456}"/>
    <hyperlink ref="P591" r:id="rId1150" display="https://my.zakupivli.pro/remote/dispatcher/state_purchase_view/51611381" xr:uid="{8BDA39B7-178D-4C31-BFAF-DE79A1A585B2}"/>
    <hyperlink ref="N591" r:id="rId1151" xr:uid="{08ADE484-8A29-4AEC-B7DA-10FD4FCD9B16}"/>
    <hyperlink ref="P592" r:id="rId1152" display="https://my.zakupivli.pro/remote/dispatcher/state_purchase_view/51621292" xr:uid="{28B0F792-E217-4F5B-B357-2C8AB9F36C7A}"/>
    <hyperlink ref="N592" r:id="rId1153" xr:uid="{628EFA6B-B1F7-4AA4-84B9-0B4E41A41737}"/>
    <hyperlink ref="P593" r:id="rId1154" display="https://my.zakupivli.pro/remote/dispatcher/state_purchase_view/51625477" xr:uid="{CB749433-BE7E-4166-9535-E8FDEA508E13}"/>
    <hyperlink ref="N593" r:id="rId1155" xr:uid="{C6A8CF59-E827-491B-A27C-9F2DC0EB29D1}"/>
    <hyperlink ref="P594" r:id="rId1156" display="https://my.zakupivli.pro/remote/dispatcher/state_purchase_view/51698131" xr:uid="{2712B9CF-391A-4975-BFFB-76C6F9E337BC}"/>
    <hyperlink ref="P595" r:id="rId1157" display="https://my.zakupivli.pro/remote/dispatcher/state_purchase_view/51701959" xr:uid="{DC9E9AF8-0404-4E62-85D5-D91B28113215}"/>
    <hyperlink ref="N594" r:id="rId1158" xr:uid="{B7FC9496-AA10-4B3A-A550-E2D06956012B}"/>
    <hyperlink ref="N595" r:id="rId1159" xr:uid="{A63DE463-FE95-4DDA-8416-77178DF5EB66}"/>
    <hyperlink ref="P596" r:id="rId1160" display="https://my.zakupivli.pro/remote/dispatcher/state_purchase_view/51723896" xr:uid="{C4DD34DE-57DA-4C9F-A3DC-C3615D847634}"/>
    <hyperlink ref="N596" r:id="rId1161" xr:uid="{2F27DE04-5FF0-448B-9799-87DE1D2D8717}"/>
    <hyperlink ref="P597" r:id="rId1162" display="https://my.zakupivli.pro/remote/dispatcher/state_purchase_view/51759699" xr:uid="{1ED40384-402C-47D4-B91A-9138FABD6996}"/>
    <hyperlink ref="P598" r:id="rId1163" display="https://my.zakupivli.pro/remote/dispatcher/state_purchase_view/51759838" xr:uid="{1C0D01B9-436F-46D3-B154-5B8DA24B822A}"/>
    <hyperlink ref="P599" r:id="rId1164" display="https://my.zakupivli.pro/remote/dispatcher/state_purchase_view/51759365" xr:uid="{83C32D6B-B415-4729-BF74-0273B3C0F5C6}"/>
    <hyperlink ref="N597" r:id="rId1165" xr:uid="{D47C27C4-2902-4758-9A52-5A3375B481DD}"/>
    <hyperlink ref="N598" r:id="rId1166" xr:uid="{EED43C2E-C087-41F3-8C38-15BA6BECF553}"/>
    <hyperlink ref="N599" r:id="rId1167" xr:uid="{5848A8DC-8E06-46FB-8488-2D98C8465121}"/>
    <hyperlink ref="P600" r:id="rId1168" display="https://my.zakupivli.pro/remote/dispatcher/state_purchase_view/51822469" xr:uid="{6041A474-35B2-4D70-A82D-B56C07848E48}"/>
    <hyperlink ref="P601" r:id="rId1169" display="https://my.zakupivli.pro/remote/dispatcher/state_purchase_view/51820402" xr:uid="{D692ACA7-0983-45CB-8336-D5E2ABFFB861}"/>
    <hyperlink ref="P602" r:id="rId1170" display="https://my.zakupivli.pro/remote/dispatcher/state_purchase_view/51818650" xr:uid="{BA7894D5-4AA5-4187-A8AB-FEB3D9A38E79}"/>
    <hyperlink ref="P603" r:id="rId1171" display="https://my.zakupivli.pro/remote/dispatcher/state_purchase_view/51817543" xr:uid="{A043BD1C-5B5F-40E5-8ADB-43217E5F4461}"/>
    <hyperlink ref="P604" r:id="rId1172" display="https://my.zakupivli.pro/remote/dispatcher/state_purchase_view/51817314" xr:uid="{4ACB9574-295B-49F1-A9A5-A3CEA2370978}"/>
    <hyperlink ref="P605" r:id="rId1173" display="https://my.zakupivli.pro/remote/dispatcher/state_purchase_view/51817193" xr:uid="{D79AF7C0-775B-48E3-A16A-46024C3D012A}"/>
    <hyperlink ref="P606" r:id="rId1174" display="https://my.zakupivli.pro/remote/dispatcher/state_purchase_view/51817090" xr:uid="{DAB101F5-0753-49C8-85D7-F9FC9B0A3E47}"/>
    <hyperlink ref="P607" r:id="rId1175" display="https://my.zakupivli.pro/remote/dispatcher/state_purchase_view/51816944" xr:uid="{B0E05C0F-A468-48A5-94B9-AD12AFB113F8}"/>
    <hyperlink ref="N600" r:id="rId1176" xr:uid="{77EECE64-DB27-45BE-9B1B-941ECA303AE8}"/>
    <hyperlink ref="N601" r:id="rId1177" xr:uid="{8499F38C-0D9C-486D-8499-459C3510C738}"/>
    <hyperlink ref="N602" r:id="rId1178" xr:uid="{8FD6524D-512E-4304-AB26-B971DF3772B8}"/>
    <hyperlink ref="N603" r:id="rId1179" xr:uid="{669501FF-DA61-47E2-A118-A2FD5F4BE367}"/>
    <hyperlink ref="N604" r:id="rId1180" xr:uid="{01298805-D709-4E1F-B022-840EE88AEB9C}"/>
    <hyperlink ref="N605" r:id="rId1181" xr:uid="{5851DAA5-AE58-4FCE-A306-160CFC22D0DB}"/>
    <hyperlink ref="N606" r:id="rId1182" xr:uid="{63243D27-E3D5-4A42-A8C6-4FDB7AD5B3B1}"/>
    <hyperlink ref="N607" r:id="rId1183" xr:uid="{0A3C068C-4A84-4601-979C-2355CAC7F016}"/>
    <hyperlink ref="P608" r:id="rId1184" display="https://my.zakupivli.pro/remote/dispatcher/state_purchase_view/51864709" xr:uid="{42FBF9FA-204B-4E39-A1FA-CBFAF366382F}"/>
    <hyperlink ref="N608" r:id="rId1185" xr:uid="{FC6E0F1D-4333-432D-93AA-F294B1484315}"/>
    <hyperlink ref="P609" r:id="rId1186" display="https://my.zakupivli.pro/remote/dispatcher/state_purchase_view/51920404" xr:uid="{A77708F8-8D85-4CDC-94C3-FBD8B8D485EC}"/>
    <hyperlink ref="N609" r:id="rId1187" xr:uid="{A7337E73-AC64-4D2D-9F9A-00F09C8EE87F}"/>
    <hyperlink ref="P610" r:id="rId1188" display="https://my.zakupivli.pro/remote/dispatcher/state_purchase_view/51931077" xr:uid="{D207680B-8070-4BDE-98EB-0F8ABC63D27D}"/>
    <hyperlink ref="N610" r:id="rId1189" xr:uid="{4010C197-E6AD-4BBA-80F5-5E3819C635AC}"/>
    <hyperlink ref="P611" r:id="rId1190" display="https://my.zakupivli.pro/remote/dispatcher/state_purchase_view/51960186" xr:uid="{AA6CD28E-9BBA-4E19-8429-CB8FC7702211}"/>
    <hyperlink ref="P612" r:id="rId1191" display="https://my.zakupivli.pro/remote/dispatcher/state_purchase_view/51971165" xr:uid="{8B6AAB74-92D9-4B6A-9724-71CE965743BE}"/>
    <hyperlink ref="N611" r:id="rId1192" xr:uid="{8D4E66FE-BA12-4805-8876-FF42D8C534AD}"/>
    <hyperlink ref="N612" r:id="rId1193" xr:uid="{E327BF1B-7104-42BD-B035-3D2E3C684877}"/>
    <hyperlink ref="P613" r:id="rId1194" display="https://my.zakupivli.pro/remote/dispatcher/state_purchase_view/52043167" xr:uid="{73E5B699-3FCD-4A62-8DED-55D799EAEAC3}"/>
    <hyperlink ref="P614" r:id="rId1195" display="https://my.zakupivli.pro/remote/dispatcher/state_purchase_view/52044369" xr:uid="{7251162F-9356-452A-80BA-8F59C4BE5714}"/>
    <hyperlink ref="N613" r:id="rId1196" xr:uid="{E1FD3399-891C-4E25-BDFE-AD3D7F8E17B0}"/>
    <hyperlink ref="N614" r:id="rId1197" xr:uid="{7B3781CE-DC41-47BC-8AD5-970E2738E17B}"/>
    <hyperlink ref="P615" r:id="rId1198" display="https://my.zakupivli.pro/remote/dispatcher/state_purchase_view/52095853" xr:uid="{B20E3022-FC6E-417F-ADA0-750624AD9020}"/>
    <hyperlink ref="N615" r:id="rId1199" xr:uid="{2FB469D4-FBED-453A-AF4F-64CA7E0E5750}"/>
    <hyperlink ref="P616" r:id="rId1200" display="https://my.zakupivli.pro/remote/dispatcher/state_purchase_view/52153166" xr:uid="{6CAFAA8C-74D3-41D1-9F04-BA80009974DA}"/>
    <hyperlink ref="P617" r:id="rId1201" display="https://my.zakupivli.pro/remote/dispatcher/state_purchase_view/52153696" xr:uid="{C509B232-AD94-46F1-985E-3E6EF913FF18}"/>
    <hyperlink ref="P618" r:id="rId1202" display="https://my.zakupivli.pro/remote/dispatcher/state_purchase_view/52158746" xr:uid="{F34278D2-5082-4BEF-AE8F-0D9B3621AE1E}"/>
    <hyperlink ref="N616" r:id="rId1203" xr:uid="{544C2E92-632D-4B7A-8145-49002230A335}"/>
    <hyperlink ref="N617" r:id="rId1204" xr:uid="{B2E5AE92-A1DB-4E9F-95F0-ECF1E60E3028}"/>
    <hyperlink ref="N618" r:id="rId1205" xr:uid="{9CED0889-29CD-46DB-8042-A04135CA425B}"/>
    <hyperlink ref="P619" r:id="rId1206" display="https://my.zakupivli.pro/remote/dispatcher/state_purchase_view/52186008" xr:uid="{E87F7DDF-9CA8-402D-BF6E-03862536B38B}"/>
    <hyperlink ref="N619" r:id="rId1207" xr:uid="{CECA091D-1569-4542-9E14-F6F6A891BE77}"/>
    <hyperlink ref="P620" r:id="rId1208" display="https://my.zakupivli.pro/remote/dispatcher/state_purchase_view/52220424" xr:uid="{6E3BC5EB-377E-432B-BDC4-AD4F387207D4}"/>
    <hyperlink ref="P621" r:id="rId1209" display="https://my.zakupivli.pro/remote/dispatcher/state_purchase_view/52221727" xr:uid="{AF9AF634-A6A4-47D0-AA6D-9DB9314868FE}"/>
    <hyperlink ref="N620" r:id="rId1210" xr:uid="{D08A11C7-9434-4629-8468-6E30D912393D}"/>
    <hyperlink ref="N621" r:id="rId1211" xr:uid="{845D1231-5E33-4F73-B22D-AC74207F32B8}"/>
    <hyperlink ref="P622" r:id="rId1212" display="https://my.zakupivli.pro/remote/dispatcher/state_purchase_view/52265646" xr:uid="{50FFA8F7-45DA-4A48-B62A-9C23E2A74B80}"/>
    <hyperlink ref="P623" r:id="rId1213" display="https://my.zakupivli.pro/remote/dispatcher/state_purchase_view/52266655" xr:uid="{5E09074E-AAF3-499D-8CB0-184222114E84}"/>
    <hyperlink ref="P624" r:id="rId1214" display="https://my.zakupivli.pro/remote/dispatcher/state_purchase_view/52281063" xr:uid="{479D5977-701A-4417-91DB-14BE7994EA80}"/>
    <hyperlink ref="P625" r:id="rId1215" display="https://my.zakupivli.pro/remote/dispatcher/state_purchase_view/52281767" xr:uid="{8DE8CD72-DA01-476C-A31D-F2BA5794B320}"/>
    <hyperlink ref="P626" r:id="rId1216" display="https://my.zakupivli.pro/remote/dispatcher/state_purchase_view/52282158" xr:uid="{A6B6D075-A240-4103-91C8-FB6867236C17}"/>
    <hyperlink ref="N622" r:id="rId1217" xr:uid="{0F02753F-93A1-4B91-944B-9AD40B350472}"/>
    <hyperlink ref="N623" r:id="rId1218" xr:uid="{B55121DE-2878-466F-AE79-B06B9C64AAE6}"/>
    <hyperlink ref="N624" r:id="rId1219" xr:uid="{212CFEC5-29FE-407B-AF78-52DFCBB5B4AB}"/>
    <hyperlink ref="N625" r:id="rId1220" xr:uid="{7AE6DD6D-45BC-4A80-9EA8-BDC3E4421DD7}"/>
    <hyperlink ref="N626" r:id="rId1221" xr:uid="{6460F684-9FEA-49C4-B2E6-FCCFF54B7613}"/>
    <hyperlink ref="P627" r:id="rId1222" display="https://my.zakupivli.pro/remote/dispatcher/state_purchase_view/52298726" xr:uid="{B53E9B74-B9A9-4F16-994C-72F3E0C6A5ED}"/>
    <hyperlink ref="P628" r:id="rId1223" display="https://my.zakupivli.pro/remote/dispatcher/state_purchase_view/52299011" xr:uid="{3F4E9DAB-FB34-4972-89AD-B02DB61C3269}"/>
    <hyperlink ref="N627" r:id="rId1224" xr:uid="{0674B07C-77E8-4E83-A8E4-649617A0570E}"/>
    <hyperlink ref="N628" r:id="rId1225" xr:uid="{129BD3AE-5E03-423C-9661-5BE50821142E}"/>
    <hyperlink ref="P629" r:id="rId1226" display="https://my.zakupivli.pro/remote/dispatcher/state_purchase_view/52314049" xr:uid="{B0D538E7-B402-4671-B127-36309A569BC2}"/>
    <hyperlink ref="P630" r:id="rId1227" display="https://my.zakupivli.pro/remote/dispatcher/state_purchase_view/52314938" xr:uid="{E6FC9A02-B15A-4CF3-977F-01FF69AEC81C}"/>
    <hyperlink ref="P631" r:id="rId1228" display="https://my.zakupivli.pro/remote/dispatcher/state_purchase_view/52315339" xr:uid="{91072B33-A8E2-478A-97D7-BC35CD5FF0BE}"/>
    <hyperlink ref="P632" r:id="rId1229" display="https://my.zakupivli.pro/remote/dispatcher/state_purchase_view/52333680" xr:uid="{197B067D-596F-476A-B6A5-016016FD0ACC}"/>
    <hyperlink ref="N629" r:id="rId1230" xr:uid="{B15C43C9-5735-479C-856E-2205537D03B8}"/>
    <hyperlink ref="N630" r:id="rId1231" xr:uid="{FAEFA970-B6C1-4A29-82BE-7397F6009C02}"/>
    <hyperlink ref="N631" r:id="rId1232" xr:uid="{69BCFD2D-1782-4F4D-81B2-B45D339EB69C}"/>
    <hyperlink ref="N632" r:id="rId1233" xr:uid="{ECADFC76-5EF2-460D-B048-BEE57C242D71}"/>
    <hyperlink ref="P633" r:id="rId1234" display="https://my.zakupivli.pro/remote/dispatcher/state_purchase_view/52342173" xr:uid="{6B39CADC-E10B-4879-9D87-BAC69B1E6866}"/>
    <hyperlink ref="P634" r:id="rId1235" display="https://my.zakupivli.pro/remote/dispatcher/state_purchase_view/52343625" xr:uid="{091FE4D2-EAF5-4507-9061-8D37545F6F82}"/>
    <hyperlink ref="P635" r:id="rId1236" display="https://my.zakupivli.pro/remote/dispatcher/state_purchase_view/52344173" xr:uid="{1C933649-3972-4434-9D6F-4C6A91E4A83B}"/>
    <hyperlink ref="P636" r:id="rId1237" display="https://my.zakupivli.pro/remote/dispatcher/state_purchase_view/52349219" xr:uid="{0F8184DD-64A6-436E-B892-4EB8F8273407}"/>
    <hyperlink ref="P637" r:id="rId1238" display="https://my.zakupivli.pro/remote/dispatcher/state_purchase_view/52353571" xr:uid="{EB412070-7E82-472A-8761-B145A41917AC}"/>
    <hyperlink ref="N633" r:id="rId1239" xr:uid="{E0883AA9-F0BC-43EC-8F10-E0A8A82C3D52}"/>
    <hyperlink ref="N634" r:id="rId1240" xr:uid="{24B744B0-A04D-43D9-A936-1F2A9AFC3879}"/>
    <hyperlink ref="N635" r:id="rId1241" xr:uid="{18197D35-02A2-4ED8-AAA2-723F4A9F904D}"/>
    <hyperlink ref="N636" r:id="rId1242" xr:uid="{D827C3CA-ACF8-41E8-ACA2-19B0D9DB676D}"/>
    <hyperlink ref="N637" r:id="rId1243" xr:uid="{F04D4726-C0FB-4DC8-ABD9-CE5B9E9874EA}"/>
    <hyperlink ref="P638" r:id="rId1244" display="https://my.zakupivli.pro/remote/dispatcher/state_purchase_view/52388202" xr:uid="{09A5696E-7644-4539-9067-1F0587482B04}"/>
    <hyperlink ref="N638" r:id="rId1245" xr:uid="{7CAA140C-57E4-4CDF-9F73-106B20A1ED34}"/>
    <hyperlink ref="P639" r:id="rId1246" display="https://my.zakupivli.pro/remote/dispatcher/state_purchase_view/52465821" xr:uid="{EE2600DD-3A64-4ACF-8D74-0CC1E7ED2F45}"/>
    <hyperlink ref="N639" r:id="rId1247" xr:uid="{2C1220AA-9498-407F-AB64-A6337832916F}"/>
    <hyperlink ref="P640" r:id="rId1248" display="https://my.zakupivli.pro/remote/dispatcher/state_purchase_view/52516319" xr:uid="{67D433A6-E1C3-4C5B-809C-2A7D74C62F89}"/>
    <hyperlink ref="P641" r:id="rId1249" display="https://my.zakupivli.pro/remote/dispatcher/state_purchase_view/52516741" xr:uid="{59543AED-85D8-403C-BDB6-42E4BC011645}"/>
    <hyperlink ref="P642" r:id="rId1250" display="https://my.zakupivli.pro/remote/dispatcher/state_purchase_view/52519045" xr:uid="{70D68AFC-9A9A-4E7B-B99D-F584BB9EE4E2}"/>
    <hyperlink ref="P643" r:id="rId1251" display="https://my.zakupivli.pro/remote/dispatcher/state_purchase_view/52524003" xr:uid="{8CFF2D41-D66E-4DFB-8A9E-25D04E3CF242}"/>
    <hyperlink ref="N640" r:id="rId1252" xr:uid="{9A987A01-52DA-4BCB-8B28-E478F2D73F56}"/>
    <hyperlink ref="N641" r:id="rId1253" xr:uid="{E5471153-B61C-483C-85DD-4BA00C7113B5}"/>
    <hyperlink ref="N642" r:id="rId1254" xr:uid="{049B0152-6D0D-4F20-ACA4-4F7AA702EDBE}"/>
    <hyperlink ref="N643" r:id="rId1255" xr:uid="{B680BD4B-7AA3-4615-8741-D17F57163548}"/>
    <hyperlink ref="P644" r:id="rId1256" display="https://my.zakupivli.pro/remote/dispatcher/state_purchase_view/52587377" xr:uid="{FEA45281-6E3B-4986-8939-E2ADF85C2A93}"/>
    <hyperlink ref="P645" r:id="rId1257" display="https://my.zakupivli.pro/remote/dispatcher/state_purchase_view/52587767" xr:uid="{CB43AAA8-3A57-4BBE-A349-FE45FEA3D3DE}"/>
    <hyperlink ref="P646" r:id="rId1258" display="https://my.zakupivli.pro/remote/dispatcher/state_purchase_view/52589055" xr:uid="{B1842602-57A1-4F0A-A809-EE61982967BB}"/>
    <hyperlink ref="N644" r:id="rId1259" xr:uid="{C74AC524-8990-4DF3-8C89-1FCF14DDB9B4}"/>
    <hyperlink ref="N645" r:id="rId1260" xr:uid="{8949ABC2-1439-4E9F-9A0B-A7B621069BA3}"/>
    <hyperlink ref="N646" r:id="rId1261" xr:uid="{B3861E39-2773-4F09-A153-BA437F5E320E}"/>
    <hyperlink ref="P647" r:id="rId1262" display="https://my.zakupivli.pro/remote/dispatcher/state_purchase_view/52604904" xr:uid="{BA9B7E61-4ACB-4E81-A636-94B5F132F2D0}"/>
    <hyperlink ref="P648" r:id="rId1263" display="https://my.zakupivli.pro/remote/dispatcher/state_purchase_view/52605117" xr:uid="{5F1B33EE-6F81-49B2-AC15-70590C5434F1}"/>
    <hyperlink ref="P649" r:id="rId1264" display="https://my.zakupivli.pro/remote/dispatcher/state_purchase_view/52605307" xr:uid="{5FEE515C-DF4D-428E-8806-10FC2A39E397}"/>
    <hyperlink ref="P650" r:id="rId1265" display="https://my.zakupivli.pro/remote/dispatcher/state_purchase_view/52605472" xr:uid="{4126BA4E-FFA4-4316-BB39-271C7F1DBD42}"/>
    <hyperlink ref="N647" r:id="rId1266" xr:uid="{6FB7702C-8023-400B-80A2-55A9F374AD71}"/>
    <hyperlink ref="N648" r:id="rId1267" xr:uid="{BEA09F80-E8AE-41C2-A02E-E46299F51189}"/>
    <hyperlink ref="N649" r:id="rId1268" xr:uid="{3DE8069D-B0B8-4E8A-B473-3D3B9ACE5061}"/>
    <hyperlink ref="N650" r:id="rId1269" xr:uid="{EE082D57-3BBD-4674-BD4A-0E2BC7D38882}"/>
    <hyperlink ref="P651" r:id="rId1270" display="https://my.zakupivli.pro/remote/dispatcher/state_purchase_view/52855486" xr:uid="{68D1590C-CCC8-4BCC-B155-B08494EF1BA7}"/>
    <hyperlink ref="P652" r:id="rId1271" display="https://my.zakupivli.pro/remote/dispatcher/state_purchase_view/52855277" xr:uid="{0156FEF1-4ED0-405A-B463-54BDFD11C5B3}"/>
    <hyperlink ref="P653" r:id="rId1272" display="https://my.zakupivli.pro/remote/dispatcher/state_purchase_view/52854599" xr:uid="{90AFC58B-99BA-496C-969A-DC09A778BCDE}"/>
    <hyperlink ref="P654" r:id="rId1273" display="https://my.zakupivli.pro/remote/dispatcher/state_purchase_view/52826404" xr:uid="{DC3AFF6B-BA46-4D4F-9AD3-BF5F20D057FA}"/>
    <hyperlink ref="P655" r:id="rId1274" display="https://my.zakupivli.pro/remote/dispatcher/state_purchase_view/52828280" xr:uid="{833403B3-4FFA-4C17-A9BF-E7FE41CBF3E5}"/>
    <hyperlink ref="P656" r:id="rId1275" display="https://my.zakupivli.pro/remote/dispatcher/state_purchase_view/52827119" xr:uid="{97D62623-FE94-4502-9F70-4F01E11C8BCB}"/>
    <hyperlink ref="P657" r:id="rId1276" display="https://my.zakupivli.pro/remote/dispatcher/state_purchase_view/52816266" xr:uid="{6DE25691-A66A-49A0-AB0B-F6342E5B5A86}"/>
    <hyperlink ref="P658" r:id="rId1277" display="https://my.zakupivli.pro/remote/dispatcher/state_purchase_view/52746547" xr:uid="{44ED2852-26EB-4B51-AFF1-6BC816BE0265}"/>
    <hyperlink ref="P659" r:id="rId1278" display="https://my.zakupivli.pro/remote/dispatcher/state_purchase_view/52745815" xr:uid="{C4615D39-6E1F-4291-8EF0-FFCA86F3EC52}"/>
    <hyperlink ref="P660" r:id="rId1279" display="https://my.zakupivli.pro/remote/dispatcher/state_purchase_view/52749428" xr:uid="{3C4A3D5B-4754-43D5-8963-2B177EBA050B}"/>
    <hyperlink ref="P661" r:id="rId1280" display="https://my.zakupivli.pro/remote/dispatcher/state_purchase_view/52757356" xr:uid="{34CFEDB5-E46E-4A0C-B466-8CB8D3707CCE}"/>
    <hyperlink ref="P662" r:id="rId1281" display="https://my.zakupivli.pro/remote/dispatcher/state_purchase_view/52758416" xr:uid="{B0B983EC-3781-4687-935F-C8639A4CABE9}"/>
    <hyperlink ref="P663" r:id="rId1282" display="https://my.zakupivli.pro/remote/dispatcher/state_purchase_view/52758890" xr:uid="{390F5AF5-2BB2-4613-81BA-A76EE6421F07}"/>
    <hyperlink ref="P664" r:id="rId1283" display="https://my.zakupivli.pro/remote/dispatcher/state_purchase_view/52723728" xr:uid="{F77E2F9D-1759-4AD2-8D28-4C6CE52C5A7F}"/>
    <hyperlink ref="P665" r:id="rId1284" display="https://my.zakupivli.pro/remote/dispatcher/state_purchase_view/52723515" xr:uid="{82EC1690-DC26-4E67-B9AF-0CE045EF5450}"/>
    <hyperlink ref="P666" r:id="rId1285" display="https://my.zakupivli.pro/remote/dispatcher/state_purchase_view/52687668" xr:uid="{4487DFCB-AF91-489D-9BC2-487DB6E80EEB}"/>
    <hyperlink ref="P667" r:id="rId1286" display="https://my.zakupivli.pro/remote/dispatcher/state_purchase_view/52706129" xr:uid="{690460FD-056D-4760-8502-610FF985F7B8}"/>
    <hyperlink ref="P668" r:id="rId1287" display="https://my.zakupivli.pro/remote/dispatcher/state_purchase_view/52684518" xr:uid="{BB559A3D-D883-48CE-A0A7-09987FFD9F30}"/>
    <hyperlink ref="P669" r:id="rId1288" display="https://my.zakupivli.pro/remote/dispatcher/state_purchase_view/52648015" xr:uid="{E6937EC6-3B16-4A8B-AAC9-2D1B75567795}"/>
    <hyperlink ref="P670" r:id="rId1289" display="https://my.zakupivli.pro/remote/dispatcher/state_purchase_view/52614637" xr:uid="{EC2C00C8-AFD1-4FED-82B8-50E07907AA43}"/>
    <hyperlink ref="N651" r:id="rId1290" xr:uid="{52647770-B884-4F13-BC1C-7D5C70805CDD}"/>
    <hyperlink ref="N652" r:id="rId1291" xr:uid="{2309DFA1-2ACD-4E28-80A4-4703D968D10C}"/>
    <hyperlink ref="N653" r:id="rId1292" xr:uid="{FD0DC1E0-BD24-4F52-A77E-3B29B4C74302}"/>
    <hyperlink ref="N654" r:id="rId1293" xr:uid="{A07AA722-A2A5-427F-B4F0-3543DFB92B22}"/>
    <hyperlink ref="N655" r:id="rId1294" xr:uid="{C1FBA96A-A19C-43CC-B6D9-01D7EEB95F3B}"/>
    <hyperlink ref="N656" r:id="rId1295" xr:uid="{F90F569E-6729-497F-A37C-CEBEE69DA11A}"/>
    <hyperlink ref="N657" r:id="rId1296" xr:uid="{10D813C0-8553-4AAC-8F3B-53F4580CB865}"/>
    <hyperlink ref="N658" r:id="rId1297" xr:uid="{AB6A79A4-E532-4866-B188-A5FA320E9350}"/>
    <hyperlink ref="N659" r:id="rId1298" xr:uid="{3941A439-C878-4AB5-A7DB-100E84CBE863}"/>
    <hyperlink ref="N660" r:id="rId1299" xr:uid="{B4A966D2-6BD3-4D2D-AE57-93D58C0BEFD5}"/>
    <hyperlink ref="N661" r:id="rId1300" xr:uid="{D7BDD581-0630-467E-B088-E5B653426825}"/>
    <hyperlink ref="N662" r:id="rId1301" xr:uid="{283CDB3E-0629-42C6-9454-7A566D9D9727}"/>
    <hyperlink ref="N663" r:id="rId1302" xr:uid="{45FC4FC0-59F8-4FD1-955A-D2A0780282FD}"/>
    <hyperlink ref="N664" r:id="rId1303" xr:uid="{D9DC3089-90A9-496D-B45E-F2D575EB0A92}"/>
    <hyperlink ref="N665" r:id="rId1304" xr:uid="{32135E26-F039-48BF-9C02-3EA4E34A4932}"/>
    <hyperlink ref="N666" r:id="rId1305" xr:uid="{C264A15F-7882-4D45-BB61-D9EEFB856D96}"/>
    <hyperlink ref="N667" r:id="rId1306" xr:uid="{1A22B9D2-7004-4619-B070-52D50DF71A80}"/>
    <hyperlink ref="N668" r:id="rId1307" xr:uid="{7AA24B95-E092-4CEA-9C3F-CE70164710C7}"/>
    <hyperlink ref="N669" r:id="rId1308" xr:uid="{48AA88A2-7077-441C-A1C1-A5C6347027DE}"/>
    <hyperlink ref="N670" r:id="rId1309" xr:uid="{087D16CE-4C7B-4C6E-9CA8-DB05A16149F0}"/>
    <hyperlink ref="P671" r:id="rId1310" display="https://my.zakupivli.pro/remote/dispatcher/state_purchase_view/52989866" xr:uid="{7E0926C8-022A-4EAA-8667-12A79B3F12BD}"/>
    <hyperlink ref="P672" r:id="rId1311" display="https://my.zakupivli.pro/remote/dispatcher/state_purchase_view/52990788" xr:uid="{BB63BAFC-5DAC-4C66-8945-85C512A63D23}"/>
    <hyperlink ref="N671" r:id="rId1312" xr:uid="{F07E4447-7E3B-4446-ADC4-427613711E28}"/>
    <hyperlink ref="N672" r:id="rId1313" xr:uid="{022E1660-846F-43E1-AE9E-E16250EE25B5}"/>
    <hyperlink ref="P673" r:id="rId1314" display="https://my.zakupivli.pro/remote/dispatcher/state_purchase_view/53031151" xr:uid="{46118D6E-205E-4AE4-B8AD-2E18B8513CA3}"/>
    <hyperlink ref="N673" r:id="rId1315" xr:uid="{58C96F4D-76E3-45BA-A002-F6F0DFC700A4}"/>
    <hyperlink ref="P674" r:id="rId1316" display="https://my.zakupivli.pro/remote/dispatcher/state_purchase_view/53131375" xr:uid="{EBA77014-5830-4BF7-A646-9A9DF5420AC3}"/>
    <hyperlink ref="N674" r:id="rId1317" xr:uid="{419C1CAC-799A-4DCF-AEDF-061AAC799BFD}"/>
    <hyperlink ref="P675" r:id="rId1318" display="https://my.zakupivli.pro/remote/dispatcher/state_purchase_view/53177341" xr:uid="{B5403759-9DC8-4F52-9C06-45B18F591A4A}"/>
    <hyperlink ref="P676" r:id="rId1319" display="https://my.zakupivli.pro/remote/dispatcher/state_purchase_view/53189619" xr:uid="{EF82A2DF-AFFB-4292-A0AD-0808A747DB18}"/>
    <hyperlink ref="N675" r:id="rId1320" xr:uid="{FC0C78AB-4C7C-49C6-906A-FEF397C829F3}"/>
    <hyperlink ref="N676" r:id="rId1321" xr:uid="{14AA84D3-3E5C-46CE-AB4E-9A65F45E92BA}"/>
    <hyperlink ref="P677" r:id="rId1322" display="https://my.zakupivli.pro/remote/dispatcher/state_purchase_view/53208764" xr:uid="{50D8C259-BF75-4AE9-852A-E7489800A54B}"/>
    <hyperlink ref="N677" r:id="rId1323" xr:uid="{FB110E96-A2A9-4A1B-8D1C-55372C0841E8}"/>
    <hyperlink ref="P678" r:id="rId1324" display="https://my.zakupivli.pro/remote/dispatcher/state_purchase_view/53237037" xr:uid="{4248F06F-68A7-46B0-BEED-9904097D5344}"/>
    <hyperlink ref="N678" r:id="rId1325" xr:uid="{B9EECE4D-8575-4B16-9C40-D6F73CB39C00}"/>
    <hyperlink ref="P679" r:id="rId1326" display="https://my.zakupivli.pro/remote/dispatcher/state_purchase_view/53279231" xr:uid="{74ECE959-BB5D-4B3C-855C-D08BD8E18C63}"/>
    <hyperlink ref="P680" r:id="rId1327" display="https://my.zakupivli.pro/remote/dispatcher/state_purchase_view/53281103" xr:uid="{D66CB85B-DAC5-49B5-93CF-F8BD0070F6A7}"/>
    <hyperlink ref="N679" r:id="rId1328" xr:uid="{4D186FC9-A1C4-4292-972B-375D6753B0CB}"/>
    <hyperlink ref="N680" r:id="rId1329" xr:uid="{76ECD9B8-D7C4-44B9-8B7B-A18DCE780DF5}"/>
    <hyperlink ref="P681" r:id="rId1330" display="https://my.zakupivli.pro/remote/dispatcher/state_purchase_view/53295317" xr:uid="{14CAD8D7-5B5A-44AE-A0A6-EF8FF4291E74}"/>
    <hyperlink ref="P682" r:id="rId1331" display="https://my.zakupivli.pro/remote/dispatcher/state_purchase_view/53297243" xr:uid="{6E902866-9F24-4B64-A3C9-645705E0483E}"/>
    <hyperlink ref="P683" r:id="rId1332" display="https://my.zakupivli.pro/remote/dispatcher/state_purchase_view/53311753" xr:uid="{5B1A62F0-888A-4332-A473-A909F2635385}"/>
    <hyperlink ref="P684" r:id="rId1333" display="https://my.zakupivli.pro/remote/dispatcher/state_purchase_view/53313149" xr:uid="{BC7E17C0-E946-46D4-946F-359D6611D179}"/>
    <hyperlink ref="N681" r:id="rId1334" xr:uid="{20EE73CF-33E0-4920-A4EC-21CC3FE6C41F}"/>
    <hyperlink ref="N682" r:id="rId1335" xr:uid="{C6F3CED2-5737-46BF-88E6-3BBE8B527A0F}"/>
    <hyperlink ref="N683" r:id="rId1336" xr:uid="{1782DE52-18F2-4490-BAE4-F9124265BEAD}"/>
    <hyperlink ref="N684" r:id="rId1337" xr:uid="{34B22765-D8A4-48DE-A564-50E6C2002C8E}"/>
    <hyperlink ref="P685" r:id="rId1338" display="https://my.zakupivli.pro/remote/dispatcher/state_purchase_view/53457069" xr:uid="{5C81F705-1CD8-4C38-AA8C-D5995A86B52E}"/>
    <hyperlink ref="P686" r:id="rId1339" display="https://my.zakupivli.pro/remote/dispatcher/state_purchase_view/53451774" xr:uid="{DBAF09DE-B3E7-4B3D-B789-7B1BB8B2C354}"/>
    <hyperlink ref="N685" r:id="rId1340" xr:uid="{2CB68A94-528C-44D0-A6ED-2989DF3086BF}"/>
    <hyperlink ref="N686" r:id="rId1341" xr:uid="{150A8A04-2534-40D4-8F16-71547363CC25}"/>
    <hyperlink ref="P687" r:id="rId1342" display="https://my.zakupivli.pro/remote/dispatcher/state_purchase_view/53509367" xr:uid="{6D9F8D00-C58F-4EBA-B002-3D250216624E}"/>
    <hyperlink ref="P688" r:id="rId1343" display="https://my.zakupivli.pro/remote/dispatcher/state_purchase_view/53498923" xr:uid="{6DE181FF-B2AC-4BE8-878F-3005CDD5159E}"/>
    <hyperlink ref="P689" r:id="rId1344" display="https://my.zakupivli.pro/remote/dispatcher/state_purchase_view/53497297" xr:uid="{AE0F8072-E341-4076-A1DF-C30FEB805AD3}"/>
    <hyperlink ref="P690" r:id="rId1345" display="https://my.zakupivli.pro/remote/dispatcher/state_purchase_view/53492810" xr:uid="{DBA14DF8-E51E-46B8-A55B-4C2883984AA2}"/>
    <hyperlink ref="P691" r:id="rId1346" display="https://my.zakupivli.pro/remote/dispatcher/state_purchase_view/53490995" xr:uid="{CDE8BB25-869A-44E4-BDCC-8E15A68B77BF}"/>
    <hyperlink ref="N687" r:id="rId1347" xr:uid="{4162F1EE-3B68-4BF1-9A95-18F7BA0CDCA0}"/>
    <hyperlink ref="N688" r:id="rId1348" xr:uid="{74426CE6-D6CD-40E6-8413-0B74592A617E}"/>
    <hyperlink ref="N689" r:id="rId1349" xr:uid="{5B8ABADC-9206-46F1-95E5-F320FEB55043}"/>
    <hyperlink ref="N690" r:id="rId1350" xr:uid="{4C322467-06A9-4050-BC03-F709E2A6E970}"/>
    <hyperlink ref="N691" r:id="rId1351" xr:uid="{E14E98EA-0058-4D8F-8C50-9F2D526F265C}"/>
    <hyperlink ref="P692" r:id="rId1352" display="https://my.zakupivli.pro/remote/dispatcher/state_purchase_view/53583248" xr:uid="{C24CDFE4-EAD6-4BA3-A817-6888B7AEE9A7}"/>
    <hyperlink ref="P693" r:id="rId1353" display="https://my.zakupivli.pro/remote/dispatcher/state_purchase_view/53577857" xr:uid="{F6D41B47-B670-4F55-AF48-C00A25399DEF}"/>
    <hyperlink ref="P694" r:id="rId1354" display="https://my.zakupivli.pro/remote/dispatcher/state_purchase_view/53556779" xr:uid="{61E62217-C439-45E7-8807-4ED89ECFA04B}"/>
    <hyperlink ref="P695" r:id="rId1355" display="https://my.zakupivli.pro/remote/dispatcher/state_purchase_view/53556554" xr:uid="{BB8F5462-2AF9-4F5A-AD4E-2F0FD931C2D3}"/>
    <hyperlink ref="P696" r:id="rId1356" display="https://my.zakupivli.pro/remote/dispatcher/state_purchase_view/53556470" xr:uid="{99F49229-A633-40F2-9EE5-97EBE128917B}"/>
    <hyperlink ref="P697" r:id="rId1357" display="https://my.zakupivli.pro/remote/dispatcher/state_purchase_view/53556454" xr:uid="{660C197B-746C-4D44-9FE2-9EAA5D4B1291}"/>
    <hyperlink ref="N692" r:id="rId1358" xr:uid="{2E55B613-73E4-4266-8543-88A8067B21F7}"/>
    <hyperlink ref="N693" r:id="rId1359" xr:uid="{044FE69A-718F-4EFC-957B-9A56DC539D8A}"/>
    <hyperlink ref="N694" r:id="rId1360" xr:uid="{EEF9CD24-FB82-434C-A461-845ED5FC0277}"/>
    <hyperlink ref="N695" r:id="rId1361" xr:uid="{72F52C9B-C013-497F-B0E7-BC31D1FD5984}"/>
    <hyperlink ref="N696" r:id="rId1362" xr:uid="{7AADABAD-65F2-4615-BFF7-9881416B0E56}"/>
    <hyperlink ref="N697" r:id="rId1363" xr:uid="{DFC185DD-CADA-417A-A2AA-324ED5050420}"/>
    <hyperlink ref="P698" r:id="rId1364" display="https://my.zakupivli.pro/remote/dispatcher/state_purchase_view/53622436" xr:uid="{F18E4B56-8B69-49FF-8D21-5E8E072DD7C7}"/>
    <hyperlink ref="P699" r:id="rId1365" display="https://my.zakupivli.pro/remote/dispatcher/state_purchase_view/53622364" xr:uid="{477146F0-4602-4F5A-9997-DAEB19526C4A}"/>
    <hyperlink ref="N698" r:id="rId1366" xr:uid="{DA26C09E-0A58-4511-AD62-2ED118F01FC0}"/>
    <hyperlink ref="N699" r:id="rId1367" xr:uid="{2FFED06C-8A87-4919-AF85-FC674F3341D2}"/>
    <hyperlink ref="P700" r:id="rId1368" display="https://my.zakupivli.pro/remote/dispatcher/state_purchase_view/53763368" xr:uid="{EAC80F68-40A9-4C50-B8E2-8A79E71DF086}"/>
    <hyperlink ref="P701" r:id="rId1369" display="https://my.zakupivli.pro/remote/dispatcher/state_purchase_view/53763004" xr:uid="{F02E2B6F-ADC7-43F8-97EB-6624806ED6A5}"/>
    <hyperlink ref="N700" r:id="rId1370" xr:uid="{8CBE1CB2-DC2C-4950-9E75-35E24A4C2F77}"/>
    <hyperlink ref="N701" r:id="rId1371" xr:uid="{BE564EC9-0B48-4DCD-93F0-49A45F415957}"/>
    <hyperlink ref="P702" r:id="rId1372" display="https://my.zakupivli.pro/remote/dispatcher/state_purchase_view/53861267" xr:uid="{BDFEB9E3-41D4-400A-9684-E85AD82C30D7}"/>
    <hyperlink ref="N702" r:id="rId1373" xr:uid="{E3ABCF6E-DAD2-4B81-87E3-3558285B3C8C}"/>
    <hyperlink ref="P703" r:id="rId1374" display="https://my.zakupivli.pro/remote/dispatcher/state_purchase_view/53984270" xr:uid="{AB81E3FC-A0B8-493B-87D1-F692B25D8350}"/>
    <hyperlink ref="P704" r:id="rId1375" display="https://my.zakupivli.pro/remote/dispatcher/state_purchase_view/53959780" xr:uid="{DEF9B026-5B4A-4B73-A15C-CF1C0DC08DC1}"/>
    <hyperlink ref="N703" r:id="rId1376" xr:uid="{8EA288A4-7630-4ED0-B32D-701366F4AC13}"/>
    <hyperlink ref="N704" r:id="rId1377" xr:uid="{8FBB2205-F4EE-472D-BBE8-79ECAF78A205}"/>
    <hyperlink ref="P705" r:id="rId1378" display="https://my.zakupivli.pro/remote/dispatcher/state_purchase_view/54054503" xr:uid="{3F158271-30CB-40EC-9100-9B02EB1DBFE5}"/>
    <hyperlink ref="N705" r:id="rId1379" xr:uid="{9D9EF7F7-7016-4FE9-8DF2-09644FCF3F14}"/>
    <hyperlink ref="P706" r:id="rId1380" display="https://my.zakupivli.pro/remote/dispatcher/state_purchase_view/54095106" xr:uid="{3E84682A-1A28-4B2C-8217-17B2F357FD75}"/>
    <hyperlink ref="P707" r:id="rId1381" display="https://my.zakupivli.pro/remote/dispatcher/state_purchase_view/54094727" xr:uid="{632C7799-BED8-441F-A1B5-621B02008294}"/>
    <hyperlink ref="P708" r:id="rId1382" display="https://my.zakupivli.pro/remote/dispatcher/state_purchase_view/54094640" xr:uid="{253AA622-1EA6-414D-8DF8-6C8E813BC032}"/>
    <hyperlink ref="P709" r:id="rId1383" display="https://my.zakupivli.pro/remote/dispatcher/state_purchase_view/54094443" xr:uid="{267E183F-A108-4CD0-AEF4-10EC2512917E}"/>
    <hyperlink ref="N706" r:id="rId1384" xr:uid="{FA5C80BC-1BF4-4D17-A07F-B6784482A63E}"/>
    <hyperlink ref="N707" r:id="rId1385" xr:uid="{B4FB6ACF-28D5-45EA-9A8B-D68D58D4A7AC}"/>
    <hyperlink ref="N708" r:id="rId1386" xr:uid="{369E2379-83E6-4FF1-987D-49E245EEEC0B}"/>
    <hyperlink ref="N709" r:id="rId1387" xr:uid="{9BE8C4C5-2A71-40A3-B08B-B628A58DF52D}"/>
    <hyperlink ref="P710" r:id="rId1388" display="https://my.zakupivli.pro/remote/dispatcher/state_purchase_view/54164412" xr:uid="{7976675F-5B2B-4C3A-B8EB-D55B1C632CDF}"/>
    <hyperlink ref="N710" r:id="rId1389" xr:uid="{86BD39AC-A314-4D3D-9852-9BADDB0A83F9}"/>
    <hyperlink ref="P711" r:id="rId1390" display="https://my.zakupivli.pro/remote/dispatcher/state_purchase_view/54304558" xr:uid="{35CB60E5-6B64-47B6-A2F4-BE09F6C34506}"/>
    <hyperlink ref="P712" r:id="rId1391" display="https://my.zakupivli.pro/remote/dispatcher/state_purchase_view/54293500" xr:uid="{BF893324-DDC4-4EB5-9D2A-609097115015}"/>
    <hyperlink ref="N711" r:id="rId1392" xr:uid="{C0D7079E-B7B9-471D-AABB-17DA87E78AA0}"/>
    <hyperlink ref="N712" r:id="rId1393" xr:uid="{E8F7AD2A-B08A-4334-9596-4B4E05C4AA08}"/>
    <hyperlink ref="P713" r:id="rId1394" display="https://my.zakupivli.pro/remote/dispatcher/state_purchase_view/54376960" xr:uid="{C3300439-FDFC-4ADF-8907-FBD9C6B4850E}"/>
    <hyperlink ref="P714" r:id="rId1395" display="https://my.zakupivli.pro/remote/dispatcher/state_purchase_view/54376354" xr:uid="{7D9A0511-DFD2-46DC-A393-CA481B6A1D36}"/>
    <hyperlink ref="P715" r:id="rId1396" display="https://my.zakupivli.pro/remote/dispatcher/state_purchase_view/54375854" xr:uid="{A7E2DBF5-DFEF-400A-8064-305A670C5312}"/>
    <hyperlink ref="P716" r:id="rId1397" display="https://my.zakupivli.pro/remote/dispatcher/state_purchase_view/54362853" xr:uid="{5B9E4A0B-F881-41E9-ABC6-193B467CDA31}"/>
    <hyperlink ref="N713" r:id="rId1398" xr:uid="{B07485C6-60DF-4D9D-8021-F01542C86118}"/>
    <hyperlink ref="N714" r:id="rId1399" xr:uid="{D0EADE44-86AC-4402-BF66-42CCA465AB9A}"/>
    <hyperlink ref="N715" r:id="rId1400" xr:uid="{4FFC655A-C06F-4D16-AAE9-5C1CF551A886}"/>
    <hyperlink ref="N716" r:id="rId1401" xr:uid="{7DC066F2-0B90-4B55-8303-87764C257864}"/>
    <hyperlink ref="P717" r:id="rId1402" display="https://my.zakupivli.pro/remote/dispatcher/state_purchase_view/54409626" xr:uid="{E61FDFE3-4147-489B-98AD-39A98B5AB1F3}"/>
    <hyperlink ref="P718" r:id="rId1403" display="https://my.zakupivli.pro/remote/dispatcher/state_purchase_view/54409008" xr:uid="{842B35CD-C9F4-4EDA-84FC-80A5B38C5B2C}"/>
    <hyperlink ref="P719" r:id="rId1404" display="https://my.zakupivli.pro/remote/dispatcher/state_purchase_view/54407139" xr:uid="{5D9EA10C-B16F-49D1-807A-8EAB8E2DFA5D}"/>
    <hyperlink ref="P720" r:id="rId1405" display="https://my.zakupivli.pro/remote/dispatcher/state_purchase_view/54403612" xr:uid="{93DC29AB-0073-4FB2-BD66-15FDBDADA7FC}"/>
    <hyperlink ref="N717" r:id="rId1406" xr:uid="{8415047A-AB8D-4581-9C46-77A90090CC64}"/>
    <hyperlink ref="N718" r:id="rId1407" xr:uid="{5618C0D2-1A97-4662-967C-A54068094AA6}"/>
    <hyperlink ref="N719" r:id="rId1408" xr:uid="{518AF7F0-EB17-4B18-A71B-A0192C420475}"/>
    <hyperlink ref="N720" r:id="rId1409" xr:uid="{3FF2ED25-CEA7-43C7-BB07-90A2C493ABA3}"/>
    <hyperlink ref="P721" r:id="rId1410" display="https://my.zakupivli.pro/remote/dispatcher/state_purchase_view/54476090" xr:uid="{D6BC8CE2-8736-4383-B0FD-EB2ED1869D60}"/>
    <hyperlink ref="P722" r:id="rId1411" display="https://my.zakupivli.pro/remote/dispatcher/state_purchase_view/54470389" xr:uid="{BD5EA245-7A44-466E-8B2F-BD7C7C508141}"/>
    <hyperlink ref="P723" r:id="rId1412" display="https://my.zakupivli.pro/remote/dispatcher/state_purchase_view/54459170" xr:uid="{7BE8623E-4E97-4891-A243-24738DFE5EA9}"/>
    <hyperlink ref="P724" r:id="rId1413" display="https://my.zakupivli.pro/remote/dispatcher/state_purchase_view/54453684" xr:uid="{D095A8AA-A2ED-40BE-8A2D-DBEE49D04C87}"/>
    <hyperlink ref="P725" r:id="rId1414" display="https://my.zakupivli.pro/remote/dispatcher/state_purchase_view/54453325" xr:uid="{6F6F1C4F-805B-4A35-A850-062E96EFEEB0}"/>
    <hyperlink ref="P726" r:id="rId1415" display="https://my.zakupivli.pro/remote/dispatcher/state_purchase_view/54453220" xr:uid="{41A320A1-08F3-4F19-A5BD-30FA1DAF0306}"/>
    <hyperlink ref="P727" r:id="rId1416" display="https://my.zakupivli.pro/remote/dispatcher/state_purchase_view/54453100" xr:uid="{483E26A1-264B-488F-8AEA-2880D37A79FA}"/>
    <hyperlink ref="N721" r:id="rId1417" xr:uid="{F0201A02-73B7-46E3-B5D0-507BA0BAD240}"/>
    <hyperlink ref="N722" r:id="rId1418" xr:uid="{153BB225-1497-4AA7-8050-66DF9B961852}"/>
    <hyperlink ref="N723" r:id="rId1419" xr:uid="{A01AC219-F45B-423D-9669-764DC30E3D73}"/>
    <hyperlink ref="N724" r:id="rId1420" xr:uid="{BD60D4DD-BA4C-449C-992D-1E59B9F768E8}"/>
    <hyperlink ref="N725" r:id="rId1421" xr:uid="{6D6F513E-2748-44BF-AFFD-7A3E6BB1A659}"/>
    <hyperlink ref="N726" r:id="rId1422" xr:uid="{D0FB2AE7-EC28-4E59-B385-79801C44C992}"/>
    <hyperlink ref="N727" r:id="rId1423" xr:uid="{A336414F-2DBB-47A1-A305-866415DDCC64}"/>
    <hyperlink ref="P728" r:id="rId1424" display="https://my.zakupivli.pro/remote/dispatcher/state_purchase_view/54552115" xr:uid="{A7A8F8B5-82C7-4559-B864-4F032C4752BB}"/>
    <hyperlink ref="N728" r:id="rId1425" xr:uid="{C8E5946A-F424-48C9-A9F7-223548A4C53F}"/>
    <hyperlink ref="P729" r:id="rId1426" display="https://my.zakupivli.pro/remote/dispatcher/state_purchase_view/54591270" xr:uid="{B57E2E40-EF0A-4CF5-BE99-0B1C489B0CDE}"/>
    <hyperlink ref="P730" r:id="rId1427" display="https://my.zakupivli.pro/remote/dispatcher/state_purchase_view/54590134" xr:uid="{D6CF6D5E-ABA8-4403-B9C5-B72A1F48B52E}"/>
    <hyperlink ref="P731" r:id="rId1428" display="https://my.zakupivli.pro/remote/dispatcher/state_purchase_view/54588242" xr:uid="{BC64E9F2-92EA-4E08-BD7F-15C51B79ECDB}"/>
    <hyperlink ref="N729" r:id="rId1429" xr:uid="{82DBC792-2447-48D6-AF62-D44F3EF31C84}"/>
    <hyperlink ref="N730" r:id="rId1430" xr:uid="{79E4BDC1-7EB6-48AD-80D0-0BB0CEA7E131}"/>
    <hyperlink ref="N731" r:id="rId1431" xr:uid="{F5665C8F-D15C-4F10-8343-EE289D94A73A}"/>
    <hyperlink ref="P732" r:id="rId1432" display="https://my.zakupivli.pro/remote/dispatcher/state_purchase_view/54604192" xr:uid="{81F2EC49-2B83-428D-B17D-829F94B87D7F}"/>
    <hyperlink ref="N732" r:id="rId1433" xr:uid="{E461D22F-C665-43F4-9342-9E5BF9523F8E}"/>
    <hyperlink ref="P733" r:id="rId1434" display="https://my.zakupivli.pro/remote/dispatcher/state_purchase_view/54641995" xr:uid="{B78ABACF-8EEB-4821-80C2-6D6BFE5C8F4D}"/>
    <hyperlink ref="P734" r:id="rId1435" display="https://my.zakupivli.pro/remote/dispatcher/state_purchase_view/54640544" xr:uid="{2D49BC62-11F6-460A-8A04-8F74B2E6BC30}"/>
    <hyperlink ref="P735" r:id="rId1436" display="https://my.zakupivli.pro/remote/dispatcher/state_purchase_view/54634822" xr:uid="{AB84CE94-70DC-40B3-9C91-47CEC93320A3}"/>
    <hyperlink ref="N733" r:id="rId1437" xr:uid="{1AC470FD-FE6A-4797-AE82-CFFD6B6115C0}"/>
    <hyperlink ref="N734" r:id="rId1438" xr:uid="{CD958A0B-497C-415A-9375-119A31F68904}"/>
    <hyperlink ref="N735" r:id="rId1439" xr:uid="{CBF0D4E2-46B0-40DE-870F-D4F880A91429}"/>
    <hyperlink ref="P736" r:id="rId1440" display="https://my.zakupivli.pro/remote/dispatcher/state_purchase_view/54732542" xr:uid="{579D54A1-E69F-498F-862D-3BCEC4B36D04}"/>
    <hyperlink ref="P737" r:id="rId1441" display="https://my.zakupivli.pro/remote/dispatcher/state_purchase_view/54732316" xr:uid="{F2412ABD-535F-4512-87F7-48E37544B716}"/>
    <hyperlink ref="N736" r:id="rId1442" xr:uid="{070C5207-9B09-42AC-AE95-819B1B494086}"/>
    <hyperlink ref="N737" r:id="rId1443" xr:uid="{F8D493F6-5283-4B1A-A78B-20E0A89DFA31}"/>
    <hyperlink ref="P738" r:id="rId1444" display="https://my.zakupivli.pro/remote/dispatcher/state_purchase_view/54822874" xr:uid="{8E55B832-6987-4D74-B774-FAF1AD7443D1}"/>
    <hyperlink ref="P739" r:id="rId1445" display="https://my.zakupivli.pro/remote/dispatcher/state_purchase_view/54822010" xr:uid="{88FBFC1C-A1BE-4ECF-A700-62D91C482739}"/>
    <hyperlink ref="P740" r:id="rId1446" display="https://my.zakupivli.pro/remote/dispatcher/state_purchase_view/54821149" xr:uid="{6F69D4B2-9499-48AC-96C0-7FA575E0521D}"/>
    <hyperlink ref="P741" r:id="rId1447" display="https://my.zakupivli.pro/remote/dispatcher/state_purchase_view/54820976" xr:uid="{E4E6DB50-7DDE-4121-ABD3-2C924A7C123F}"/>
    <hyperlink ref="P742" r:id="rId1448" display="https://my.zakupivli.pro/remote/dispatcher/state_purchase_view/54820835" xr:uid="{595E00A3-4CDE-44A9-8E6C-EBBE7C22D1FD}"/>
    <hyperlink ref="P743" r:id="rId1449" display="https://my.zakupivli.pro/remote/dispatcher/state_purchase_view/54820777" xr:uid="{09B78B4F-1E31-4A25-A2C3-251E4D5C604C}"/>
    <hyperlink ref="P744" r:id="rId1450" display="https://my.zakupivli.pro/remote/dispatcher/state_purchase_view/54820687" xr:uid="{0E2DD7A6-0B8F-4BF2-9D4C-D6BAD8F2131B}"/>
    <hyperlink ref="P745" r:id="rId1451" display="https://my.zakupivli.pro/remote/dispatcher/state_purchase_view/54820495" xr:uid="{F5AC5A11-6F95-4FBE-9D94-E2618BD50810}"/>
    <hyperlink ref="P746" r:id="rId1452" display="https://my.zakupivli.pro/remote/dispatcher/state_purchase_view/54820196" xr:uid="{131C09FD-18AA-4A65-BE21-3502665AB0DB}"/>
    <hyperlink ref="P747" r:id="rId1453" display="https://my.zakupivli.pro/remote/dispatcher/state_purchase_view/54820177" xr:uid="{D45C7848-08EB-4CA9-B9BE-868372F79CC6}"/>
    <hyperlink ref="P748" r:id="rId1454" display="https://my.zakupivli.pro/remote/dispatcher/state_purchase_view/54819986" xr:uid="{E058C2A1-B0DA-4E85-A8A1-CCE1F9BFDDB0}"/>
    <hyperlink ref="P749" r:id="rId1455" display="https://my.zakupivli.pro/remote/dispatcher/state_purchase_view/54797048" xr:uid="{801AA175-3763-4430-973E-196FA3625AA0}"/>
    <hyperlink ref="P750" r:id="rId1456" display="https://my.zakupivli.pro/remote/dispatcher/state_purchase_view/54789788" xr:uid="{8240C2C9-A8C1-420A-BBD9-AB9806BE8AD1}"/>
    <hyperlink ref="N738" r:id="rId1457" xr:uid="{9949AB0F-764A-466B-A3EA-7165135C0E12}"/>
    <hyperlink ref="N739" r:id="rId1458" xr:uid="{63E99555-692B-45CA-9F20-DE32D3803491}"/>
    <hyperlink ref="N740" r:id="rId1459" xr:uid="{18A0E862-CE0B-4249-84EA-2D1B9019CB4A}"/>
    <hyperlink ref="N741" r:id="rId1460" xr:uid="{1CD6267B-E560-490A-892F-7C7967B30132}"/>
    <hyperlink ref="N742" r:id="rId1461" xr:uid="{B889725B-8090-43F6-849C-3433778D6C1F}"/>
    <hyperlink ref="N743" r:id="rId1462" xr:uid="{FB914B78-4118-4AEA-B886-40CFE9C352BD}"/>
    <hyperlink ref="N744" r:id="rId1463" xr:uid="{37AA2222-FA12-41E3-94EA-D922464C33F0}"/>
    <hyperlink ref="N745" r:id="rId1464" xr:uid="{D6EBA75A-1277-457C-B81E-6751A692C9E1}"/>
    <hyperlink ref="N746" r:id="rId1465" xr:uid="{958E09CB-040D-4076-890A-3FDCD6E28AE7}"/>
    <hyperlink ref="N747" r:id="rId1466" xr:uid="{42735E93-14FB-4F93-8E49-57A305458C94}"/>
    <hyperlink ref="N748" r:id="rId1467" xr:uid="{DA86ACC4-3748-46E3-BC8A-B668C64EBC2C}"/>
    <hyperlink ref="N749" r:id="rId1468" xr:uid="{263D76C6-28CB-4877-A2EA-EDD970D960C1}"/>
    <hyperlink ref="N750" r:id="rId1469" xr:uid="{CC5465D6-27F5-4047-A06F-1A5975C6742C}"/>
    <hyperlink ref="P751" r:id="rId1470" display="https://my.zakupivli.pro/remote/dispatcher/state_purchase_view/54856895" xr:uid="{85508283-77F5-4B27-A695-335A57079FC9}"/>
    <hyperlink ref="P752" r:id="rId1471" display="https://my.zakupivli.pro/remote/dispatcher/state_purchase_view/54856641" xr:uid="{44EBFC08-F4EC-491E-B1AA-234217E1EFF9}"/>
    <hyperlink ref="P753" r:id="rId1472" display="https://my.zakupivli.pro/remote/dispatcher/state_purchase_view/54856228" xr:uid="{BA3FDEDF-798B-4FBD-9E2A-56E3E724841D}"/>
    <hyperlink ref="P754" r:id="rId1473" display="https://my.zakupivli.pro/remote/dispatcher/state_purchase_view/54855962" xr:uid="{643A5C3D-E498-4F35-BC81-DC9966655434}"/>
    <hyperlink ref="P755" r:id="rId1474" display="https://my.zakupivli.pro/remote/dispatcher/state_purchase_view/54837075" xr:uid="{5F98B50E-484E-4DA5-A74E-5DF1EEE93C47}"/>
    <hyperlink ref="N751" r:id="rId1475" xr:uid="{58AD3C30-B666-4DE8-97E3-E84357564F2F}"/>
    <hyperlink ref="N752" r:id="rId1476" xr:uid="{C11DC134-44D0-4406-A183-1C807955D64D}"/>
    <hyperlink ref="N753" r:id="rId1477" xr:uid="{FB52AE02-3043-442D-B2FA-0A727F66F999}"/>
    <hyperlink ref="N754" r:id="rId1478" xr:uid="{B754B83C-2C33-4FA5-AD6F-034EDA539913}"/>
    <hyperlink ref="N755" r:id="rId1479" xr:uid="{ECDF9779-E863-41C7-ACE5-F60BFEA0EB98}"/>
    <hyperlink ref="P756" r:id="rId1480" display="https://my.zakupivli.pro/remote/dispatcher/state_purchase_view/54954390" xr:uid="{FAE4DA3B-3BEF-4F5F-96F1-952331218A96}"/>
    <hyperlink ref="N756" r:id="rId1481" xr:uid="{BAFA963F-6BD8-45CE-92F0-E66020272107}"/>
    <hyperlink ref="P757" r:id="rId1482" display="https://my.zakupivli.pro/remote/dispatcher/state_purchase_view/55001569" xr:uid="{0380759C-ED46-4803-94F3-21689A7C5013}"/>
    <hyperlink ref="N757" r:id="rId1483" xr:uid="{4689920A-C193-469F-93A6-CDF4CF9CED83}"/>
    <hyperlink ref="N758" r:id="rId1484" xr:uid="{5E443917-F443-48D9-81CD-697EEAD225E9}"/>
    <hyperlink ref="P758" r:id="rId1485" display="https://my.zakupivli.pro/remote/dispatcher/state_purchase_view/55052216" xr:uid="{F4B2454A-E8A1-4BB9-91AD-941C75194666}"/>
    <hyperlink ref="P759" r:id="rId1486" display="https://my.zakupivli.pro/remote/dispatcher/state_purchase_view/55155829" xr:uid="{BA2B36D4-E33E-4F02-B7DD-37395534542C}"/>
    <hyperlink ref="P760" r:id="rId1487" display="https://my.zakupivli.pro/remote/dispatcher/state_purchase_view/55139944" xr:uid="{CF31D66D-7723-4E10-8CF6-57731BE9B6F4}"/>
    <hyperlink ref="N759" r:id="rId1488" xr:uid="{C39F344A-939D-4282-8BC5-187F829FC138}"/>
    <hyperlink ref="N760" r:id="rId1489" xr:uid="{78038A15-9F7E-4AB7-A820-F69B37C3CDD2}"/>
    <hyperlink ref="P761" r:id="rId1490" display="https://my.zakupivli.pro/remote/dispatcher/state_purchase_view/55188936" xr:uid="{D5EF5455-51F8-4B64-A161-A6F587C33B47}"/>
    <hyperlink ref="P762" r:id="rId1491" display="https://my.zakupivli.pro/remote/dispatcher/state_purchase_view/55174014" xr:uid="{7B0E5F8B-B87D-4922-AEBF-69FE215D7771}"/>
    <hyperlink ref="N761" r:id="rId1492" xr:uid="{405815DD-E4ED-4E57-8A38-0DC8B01D0AF0}"/>
    <hyperlink ref="N762" r:id="rId1493" xr:uid="{EA29D232-8D37-439E-988D-E6FA8EAAFD90}"/>
    <hyperlink ref="P763" r:id="rId1494" display="https://my.zakupivli.pro/remote/dispatcher/state_purchase_view/55499913" xr:uid="{D73319A4-CBB2-4C2C-B6C5-F3D2D3737B4D}"/>
    <hyperlink ref="P764" r:id="rId1495" display="https://my.zakupivli.pro/remote/dispatcher/state_purchase_view/55499643" xr:uid="{F3EF68EA-CFBE-4380-84B9-A5945594D96B}"/>
    <hyperlink ref="P765" r:id="rId1496" display="https://my.zakupivli.pro/remote/dispatcher/state_purchase_view/55498113" xr:uid="{AE36F76A-8D9A-401D-8750-D3287BE3D447}"/>
    <hyperlink ref="P766" r:id="rId1497" display="https://my.zakupivli.pro/remote/dispatcher/state_purchase_view/55493584" xr:uid="{41422EAB-EABC-4BDE-98BE-613090AF1612}"/>
    <hyperlink ref="N763" r:id="rId1498" xr:uid="{04293573-D3CE-4983-AC8B-332222897469}"/>
    <hyperlink ref="N764" r:id="rId1499" xr:uid="{2471ACCB-69C1-49B5-B249-96F6FEB3C39D}"/>
    <hyperlink ref="N765" r:id="rId1500" xr:uid="{B098FC04-9051-4E1B-BCC3-3A78D22760BC}"/>
    <hyperlink ref="N766" r:id="rId1501" xr:uid="{75E88E84-81CD-4570-B328-26D65AD0FB31}"/>
    <hyperlink ref="P767" r:id="rId1502" display="https://my.zakupivli.pro/remote/dispatcher/state_purchase_view/55492800" xr:uid="{C50EB499-1798-4598-AB83-F40C8FA49D99}"/>
    <hyperlink ref="P768" r:id="rId1503" display="https://my.zakupivli.pro/remote/dispatcher/state_purchase_view/55454423" xr:uid="{019790E2-D899-4148-B094-6D102483E53A}"/>
    <hyperlink ref="P769" r:id="rId1504" display="https://my.zakupivli.pro/remote/dispatcher/state_purchase_view/55452603" xr:uid="{3D94883B-D6FE-4663-9923-0B73389B192B}"/>
    <hyperlink ref="P770" r:id="rId1505" display="https://my.zakupivli.pro/remote/dispatcher/state_purchase_view/55397586" xr:uid="{8BAA3254-ACA6-490E-B50C-5AF2937F51FB}"/>
    <hyperlink ref="P771" r:id="rId1506" display="https://my.zakupivli.pro/remote/dispatcher/state_purchase_view/55352960" xr:uid="{2F9DC8A4-EE77-4D51-B71F-5FC76A047D4D}"/>
    <hyperlink ref="P772" r:id="rId1507" display="https://my.zakupivli.pro/remote/dispatcher/state_purchase_view/55292923" xr:uid="{ACE07526-AD01-43A0-A7C9-B90069216941}"/>
    <hyperlink ref="N767" r:id="rId1508" xr:uid="{22B6B0C7-40C7-40B0-8908-97311A748BB5}"/>
    <hyperlink ref="N768" r:id="rId1509" xr:uid="{51C9EF37-1C1D-4D42-9F8E-90A11D3DB1BB}"/>
    <hyperlink ref="N769" r:id="rId1510" xr:uid="{1AD4A4E6-7E3E-402D-8AB4-0FB7E584DE47}"/>
    <hyperlink ref="N770" r:id="rId1511" xr:uid="{125F595C-91D8-48EA-A068-554FD2855E8F}"/>
    <hyperlink ref="N771" r:id="rId1512" xr:uid="{A7CCC822-7E87-4091-BCC0-56647622F091}"/>
    <hyperlink ref="N772" r:id="rId1513" xr:uid="{0CAD5BEC-E343-4343-9587-78B87C645C7D}"/>
    <hyperlink ref="P773" r:id="rId1514" display="https://my.zakupivli.pro/remote/dispatcher/state_purchase_view/55800910" xr:uid="{8B6639B1-4040-4D52-8CCE-FF82C38BACFC}"/>
    <hyperlink ref="P774" r:id="rId1515" display="https://my.zakupivli.pro/remote/dispatcher/state_purchase_view/55799831" xr:uid="{1973116F-9508-4BD3-AC0B-CFF851CBEDB1}"/>
    <hyperlink ref="N773" r:id="rId1516" xr:uid="{074FDE19-C97E-46D4-9ABD-F9E1DA1BF117}"/>
    <hyperlink ref="N774" r:id="rId1517" xr:uid="{A73E1949-B419-4353-A65D-482DCD013FD8}"/>
    <hyperlink ref="P775" r:id="rId1518" display="https://my.zakupivli.pro/remote/dispatcher/state_purchase_view/55872274" xr:uid="{2DD7E0C8-0AF7-4D4D-96E5-5E58BA4FB6C8}"/>
    <hyperlink ref="P780" r:id="rId1519" display="https://my.zakupivli.pro/remote/dispatcher/state_purchase_view/55863477" xr:uid="{D3292F75-D78B-400A-8C98-E4EBCF6188EC}"/>
    <hyperlink ref="P779" r:id="rId1520" display="https://my.zakupivli.pro/remote/dispatcher/state_purchase_view/55863477" xr:uid="{F16D51B9-E0B7-4F0B-97E9-CB6308FC4F02}"/>
    <hyperlink ref="P778" r:id="rId1521" display="https://my.zakupivli.pro/remote/dispatcher/state_purchase_view/55863477" xr:uid="{2BB4D852-3468-4C57-BFC2-9894867B342C}"/>
    <hyperlink ref="P777" r:id="rId1522" display="https://my.zakupivli.pro/remote/dispatcher/state_purchase_view/55863477" xr:uid="{E119BF05-BD29-443D-BDFB-1DB7E5BC2669}"/>
    <hyperlink ref="P776" r:id="rId1523" display="https://my.zakupivli.pro/remote/dispatcher/state_purchase_view/55863477" xr:uid="{E1214692-2FC5-47D8-845B-C67167322B1F}"/>
    <hyperlink ref="N775" r:id="rId1524" xr:uid="{F053912B-11CA-439F-9664-42C0519F8AA7}"/>
    <hyperlink ref="N776" r:id="rId1525" xr:uid="{A2CAE60D-AB2F-45B8-BB42-950169C7D785}"/>
    <hyperlink ref="N777" r:id="rId1526" xr:uid="{045E1A29-194D-4C9B-B0B7-BF71BC099E62}"/>
    <hyperlink ref="N778" r:id="rId1527" xr:uid="{A6EC27A9-104A-4DC9-8A11-F3FB27F58E27}"/>
    <hyperlink ref="N779" r:id="rId1528" xr:uid="{CA358943-3601-47F8-A260-50AB9073C134}"/>
    <hyperlink ref="N780" r:id="rId1529" xr:uid="{4B0A4EE0-11F9-4DF2-9F37-7FB9FDDD3D81}"/>
    <hyperlink ref="P781" r:id="rId1530" display="https://my.zakupivli.pro/remote/dispatcher/state_purchase_view/55973222" xr:uid="{F58E2B19-B08C-4381-8002-AB21A0D20135}"/>
    <hyperlink ref="P782" r:id="rId1531" display="https://my.zakupivli.pro/remote/dispatcher/state_purchase_view/55973222" xr:uid="{1780E50C-ECAE-49B7-88DC-FDAB0397373D}"/>
    <hyperlink ref="P783" r:id="rId1532" display="https://my.zakupivli.pro/remote/dispatcher/state_purchase_view/55973222" xr:uid="{37A618F8-88CD-4531-8A5A-BFECD9EBEDE3}"/>
    <hyperlink ref="P784" r:id="rId1533" display="https://my.zakupivli.pro/remote/dispatcher/state_purchase_view/55969608" xr:uid="{8CF29EE5-0CA5-43F8-83D3-9488DB9362EB}"/>
    <hyperlink ref="P785" r:id="rId1534" display="https://my.zakupivli.pro/remote/dispatcher/state_purchase_view/55956705" xr:uid="{285ACF73-09FD-415C-B1BD-353C3BC11D19}"/>
    <hyperlink ref="N781" r:id="rId1535" xr:uid="{8FA6CE43-1398-4ADC-9071-268B1F1C98E8}"/>
    <hyperlink ref="N782" r:id="rId1536" xr:uid="{5192E84F-CA60-4BA6-8A90-EE98A4ACF707}"/>
    <hyperlink ref="N783" r:id="rId1537" xr:uid="{30A94EAD-636D-49EF-864E-C1D3DAA901B9}"/>
    <hyperlink ref="N784" r:id="rId1538" xr:uid="{5F3D4057-9269-4BAE-BE0A-03DCA6F7D4FE}"/>
    <hyperlink ref="N785" r:id="rId1539" xr:uid="{5375C5B6-C007-4527-ABB0-AE29B888FCC5}"/>
    <hyperlink ref="P786" r:id="rId1540" display="https://my.zakupivli.pro/remote/dispatcher/state_purchase_view/56008163" xr:uid="{7D3538C4-2CA3-4373-B787-2EE332F93324}"/>
    <hyperlink ref="N786" r:id="rId1541" xr:uid="{CAE5AD72-F5C5-4F70-9523-81C7166DFEAC}"/>
    <hyperlink ref="P787" r:id="rId1542" display="https://my.zakupivli.pro/remote/dispatcher/state_purchase_view/56101118" xr:uid="{69B83C2B-B38A-4B90-A9D7-B7B49765BBDF}"/>
    <hyperlink ref="P788" r:id="rId1543" display="https://my.zakupivli.pro/remote/dispatcher/state_purchase_view/56084031" xr:uid="{6D5D8AC5-D4FF-4210-9F62-C63333FEE592}"/>
    <hyperlink ref="P789" r:id="rId1544" display="https://my.zakupivli.pro/remote/dispatcher/state_purchase_view/56070139" xr:uid="{2C270C66-7CFE-438E-B9AA-DE50F91DABB1}"/>
    <hyperlink ref="N787" r:id="rId1545" xr:uid="{28AA863F-C53F-425B-9A0A-99B6F6558753}"/>
    <hyperlink ref="N788" r:id="rId1546" xr:uid="{AE587837-5944-4BFD-A467-ACD3AAD842E9}"/>
    <hyperlink ref="N789" r:id="rId1547" xr:uid="{272272FE-098C-4DFB-8593-29CD12EAB181}"/>
    <hyperlink ref="P790" r:id="rId1548" display="https://my.zakupivli.pro/remote/dispatcher/state_purchase_view/56149918" xr:uid="{0AAB35BB-D1E8-4F8E-98D6-CEA7466EE595}"/>
    <hyperlink ref="N790" r:id="rId1549" xr:uid="{38F16F60-4951-4328-8814-DB6210EF76C9}"/>
    <hyperlink ref="P791" r:id="rId1550" display="https://my.zakupivli.pro/remote/dispatcher/state_purchase_view/56178120" xr:uid="{927DC45B-9BA0-4759-8D95-600E9C976BC4}"/>
    <hyperlink ref="P792" r:id="rId1551" display="https://my.zakupivli.pro/remote/dispatcher/state_purchase_view/56178120" xr:uid="{288D2DF9-7DED-468C-8CEA-34E4907EE093}"/>
    <hyperlink ref="P793" r:id="rId1552" display="https://my.zakupivli.pro/remote/dispatcher/state_purchase_view/56165938" xr:uid="{2D42BAAA-ECCE-4D4D-A706-EF5845EC2C73}"/>
    <hyperlink ref="P794" r:id="rId1553" display="https://my.zakupivli.pro/remote/dispatcher/state_purchase_view/56157266" xr:uid="{7AB3821D-598A-484C-AD99-97CCE14AF639}"/>
    <hyperlink ref="P795" r:id="rId1554" display="https://my.zakupivli.pro/remote/dispatcher/state_purchase_view/56156900" xr:uid="{B2318DBA-5F54-49F4-A321-7B91CBC9FFFE}"/>
    <hyperlink ref="N791" r:id="rId1555" xr:uid="{02A78106-D8CF-42AA-B9C1-35831CEF962F}"/>
    <hyperlink ref="N792" r:id="rId1556" xr:uid="{80AD0E6F-1843-4F45-9D62-C3AFE430B632}"/>
    <hyperlink ref="N793" r:id="rId1557" xr:uid="{69E213CE-9CF7-4839-A8A4-3E0B388B1623}"/>
    <hyperlink ref="N794" r:id="rId1558" xr:uid="{D4D76DC2-FFDF-44FE-986E-3F54AED4723B}"/>
    <hyperlink ref="N795" r:id="rId1559" xr:uid="{DD6E0875-CF27-47E5-A180-BFDE8B4D7094}"/>
    <hyperlink ref="P796" r:id="rId1560" display="https://my.zakupivli.pro/remote/dispatcher/state_purchase_view/56211568" xr:uid="{0C2FCE1E-43D6-44D7-8D6D-171EC3C44B08}"/>
    <hyperlink ref="P797" r:id="rId1561" display="https://my.zakupivli.pro/remote/dispatcher/state_purchase_view/56211568" xr:uid="{16D85BE7-5552-4D7A-8970-7F07BD5769BD}"/>
    <hyperlink ref="P798" r:id="rId1562" display="https://my.zakupivli.pro/remote/dispatcher/state_purchase_view/56208279" xr:uid="{6468F717-7924-49E6-8182-D4A3455AD88D}"/>
    <hyperlink ref="P799" r:id="rId1563" display="https://my.zakupivli.pro/remote/dispatcher/state_purchase_view/56204817" xr:uid="{B75362B3-38D9-4986-B0CB-40F95D167100}"/>
    <hyperlink ref="P800" r:id="rId1564" display="https://my.zakupivli.pro/remote/dispatcher/state_purchase_view/56204127" xr:uid="{068DCBF3-90FA-4057-9FAB-8CE0525FDA10}"/>
    <hyperlink ref="P801" r:id="rId1565" display="https://my.zakupivli.pro/remote/dispatcher/state_purchase_view/56200541" xr:uid="{9E08A7B1-35D7-46F7-AF47-7233451D3861}"/>
    <hyperlink ref="N796" r:id="rId1566" xr:uid="{68FBDF19-052C-407F-A1FB-E644B88E7F3A}"/>
    <hyperlink ref="N797" r:id="rId1567" xr:uid="{7E9DF93D-4E38-497F-B792-581B774136FC}"/>
    <hyperlink ref="N798" r:id="rId1568" xr:uid="{7DC1E5BE-65D0-44D8-8EB0-FB04EE67664D}"/>
    <hyperlink ref="N799" r:id="rId1569" xr:uid="{93770F8D-1112-4BC6-88E0-5CEBDC044B40}"/>
    <hyperlink ref="N800" r:id="rId1570" xr:uid="{57C65CE8-3E5D-4883-B2E2-275ADBDE9838}"/>
    <hyperlink ref="N801" r:id="rId1571" xr:uid="{CFDAAEF1-0A65-4FD0-BB0C-F8899625C416}"/>
    <hyperlink ref="P802" r:id="rId1572" display="https://my.zakupivli.pro/remote/dispatcher/state_purchase_view/56282686" xr:uid="{A2B48119-1BB3-4C77-A979-55D581458A2D}"/>
    <hyperlink ref="N802" r:id="rId1573" xr:uid="{CA210D36-D28A-4FEA-A5C2-6CD0A9EC367A}"/>
    <hyperlink ref="P803" r:id="rId1574" display="https://my.zakupivli.pro/remote/dispatcher/state_purchase_view/56334714" xr:uid="{B476FEDA-0D98-4E70-BAB6-B85578CD0882}"/>
    <hyperlink ref="P804" r:id="rId1575" display="https://my.zakupivli.pro/remote/dispatcher/state_purchase_view/56334419" xr:uid="{B8C15D0F-6640-4767-AEBB-AAFE17381B41}"/>
    <hyperlink ref="P805" r:id="rId1576" display="https://my.zakupivli.pro/remote/dispatcher/state_purchase_view/56333751" xr:uid="{74493E4F-7774-44AB-BA55-EC8CF2158B22}"/>
    <hyperlink ref="P806" r:id="rId1577" display="https://my.zakupivli.pro/remote/dispatcher/state_purchase_view/56325016" xr:uid="{37693F0B-C8A3-46B3-BFF5-30450A13D413}"/>
    <hyperlink ref="P807" r:id="rId1578" display="https://my.zakupivli.pro/remote/dispatcher/state_purchase_view/56319993" xr:uid="{9A059AC3-563F-4492-A50E-C520D9293598}"/>
    <hyperlink ref="P808" r:id="rId1579" display="https://my.zakupivli.pro/remote/dispatcher/state_purchase_view/56319028" xr:uid="{1D809CBE-6CB0-4B77-A301-EADF9BA2475C}"/>
    <hyperlink ref="N803" r:id="rId1580" xr:uid="{EC38F8FA-3E02-41EA-BD0E-3BAFC9C4DDB1}"/>
    <hyperlink ref="N804" r:id="rId1581" xr:uid="{2A0CE0F2-2E3E-42CB-A5FE-51FA305427C5}"/>
    <hyperlink ref="N805" r:id="rId1582" xr:uid="{8891B2C7-A5A6-4982-AC71-DAAD67040985}"/>
    <hyperlink ref="N806" r:id="rId1583" xr:uid="{FB16298F-433C-4D32-80B6-74C8F8DB1D35}"/>
    <hyperlink ref="N807" r:id="rId1584" xr:uid="{AAFDCAC5-E306-416E-858A-4C9119EDAD09}"/>
    <hyperlink ref="N808" r:id="rId1585" xr:uid="{45535D50-8B78-4D71-BA82-6EEB2F3287C9}"/>
    <hyperlink ref="P809" r:id="rId1586" display="https://my.zakupivli.pro/remote/dispatcher/state_purchase_view/56343850" xr:uid="{6AEA51C9-3FD9-40FB-A158-1614BD559B78}"/>
    <hyperlink ref="P810" r:id="rId1587" display="https://my.zakupivli.pro/remote/dispatcher/state_purchase_view/56341932" xr:uid="{04488E38-DB91-473F-9FD6-34E009748725}"/>
    <hyperlink ref="P811" r:id="rId1588" display="https://my.zakupivli.pro/remote/dispatcher/state_purchase_view/56341932" xr:uid="{FF8C0759-2DA8-42B0-B31B-C4CE7C30F231}"/>
    <hyperlink ref="P812" r:id="rId1589" display="https://my.zakupivli.pro/remote/dispatcher/state_purchase_view/56341932" xr:uid="{BDED72C1-115B-49C3-AF6B-9999A117F46D}"/>
    <hyperlink ref="P813" r:id="rId1590" display="https://my.zakupivli.pro/remote/dispatcher/state_purchase_view/56341932" xr:uid="{6EF4E412-6111-4015-843F-F2322D329C16}"/>
    <hyperlink ref="N809" r:id="rId1591" xr:uid="{B00739A2-E943-421E-A93A-FE38E538B6A5}"/>
    <hyperlink ref="N810" r:id="rId1592" xr:uid="{C37770E2-1C3F-4BED-87F1-E75F9DFAA436}"/>
    <hyperlink ref="N811" r:id="rId1593" xr:uid="{2A1DF1D1-C35D-470F-AF08-A917F0313372}"/>
    <hyperlink ref="N812" r:id="rId1594" xr:uid="{6F8299B0-D2B1-47DE-8900-FD489697D831}"/>
    <hyperlink ref="N813" r:id="rId1595" xr:uid="{190A7544-7504-4E70-97BD-5045B9BEC3E8}"/>
    <hyperlink ref="P814" r:id="rId1596" display="https://my.zakupivli.pro/remote/dispatcher/state_purchase_view/56380662" xr:uid="{5A7F2307-E802-4E52-9EAB-EF395D411E23}"/>
    <hyperlink ref="N814" r:id="rId1597" xr:uid="{63D89966-1B15-45CC-B745-E60C3E342CB7}"/>
    <hyperlink ref="P815" r:id="rId1598" display="https://my.zakupivli.pro/remote/dispatcher/state_purchase_view/56409739" xr:uid="{7889B4FA-EBF9-48C3-9365-9DC7AA523B6A}"/>
    <hyperlink ref="P816" r:id="rId1599" display="https://my.zakupivli.pro/remote/dispatcher/state_purchase_view/56394826" xr:uid="{0FA45F1A-7D38-4DA4-86AA-70818AA29A4F}"/>
    <hyperlink ref="P817" r:id="rId1600" display="https://my.zakupivli.pro/remote/dispatcher/state_purchase_view/56394826" xr:uid="{1639A77F-84EA-4E06-AB32-AE83D814E33D}"/>
    <hyperlink ref="N815" r:id="rId1601" xr:uid="{3CD2F31F-126E-4DA1-9707-758F67E9ACBF}"/>
    <hyperlink ref="N816" r:id="rId1602" xr:uid="{D0D6B34D-C7E6-4B51-B0ED-99D2A23EF183}"/>
    <hyperlink ref="N817" r:id="rId1603" xr:uid="{E313188C-EBB3-4781-874B-EE01109E3E65}"/>
    <hyperlink ref="P818" r:id="rId1604" display="https://my.zakupivli.pro/remote/dispatcher/state_purchase_view/56534913" xr:uid="{7EFF671D-D791-4AAD-9CE6-83BE0A4B3350}"/>
    <hyperlink ref="P819" r:id="rId1605" display="https://my.zakupivli.pro/remote/dispatcher/state_purchase_view/56533770" xr:uid="{E42400F8-0650-4A52-A5B2-1A037352C494}"/>
    <hyperlink ref="P820" r:id="rId1606" display="https://my.zakupivli.pro/remote/dispatcher/state_purchase_view/56516163" xr:uid="{05A9822E-B55B-422F-9203-1B2ECD4758D2}"/>
    <hyperlink ref="P821" r:id="rId1607" display="https://my.zakupivli.pro/remote/dispatcher/state_purchase_view/56511166" xr:uid="{77385C10-C849-4726-927B-5295B201A79A}"/>
    <hyperlink ref="P822" r:id="rId1608" display="https://my.zakupivli.pro/remote/dispatcher/state_purchase_view/56511166" xr:uid="{BB87818E-923A-443F-A4D6-88C2EDC552F0}"/>
    <hyperlink ref="N818" r:id="rId1609" xr:uid="{54EA7EF4-54A7-40F8-90D0-4F7CA630D769}"/>
    <hyperlink ref="N819" r:id="rId1610" xr:uid="{2BB9E2D9-D6B7-4941-99ED-B4EB6E9D82C1}"/>
    <hyperlink ref="N820" r:id="rId1611" xr:uid="{FCFB37CB-B908-4282-98C4-90CFE20E87CA}"/>
    <hyperlink ref="N821" r:id="rId1612" xr:uid="{A0D1938A-20BC-4B92-97A0-8A8DA23C04C9}"/>
    <hyperlink ref="N822" r:id="rId1613" xr:uid="{3591A73D-C7BA-425A-A78D-DED26A203DCB}"/>
    <hyperlink ref="P823" r:id="rId1614" display="https://my.zakupivli.pro/remote/dispatcher/state_purchase_view/56621501" xr:uid="{78BA7A73-96E9-429A-B6CC-0FC9E1690DD9}"/>
    <hyperlink ref="P824" r:id="rId1615" display="https://my.zakupivli.pro/remote/dispatcher/state_purchase_view/56611663" xr:uid="{C18D7CF4-DAC5-4A36-9740-AA0A4728E768}"/>
    <hyperlink ref="P825" r:id="rId1616" display="https://my.zakupivli.pro/remote/dispatcher/state_purchase_view/56598991" xr:uid="{5976BAFF-6AB2-4E4E-93F9-7E53FC3E626B}"/>
    <hyperlink ref="P826" r:id="rId1617" display="https://my.zakupivli.pro/remote/dispatcher/state_purchase_view/56598627" xr:uid="{B15A9B18-12A3-44A8-AD63-AFFBC9558CB0}"/>
    <hyperlink ref="N823" r:id="rId1618" xr:uid="{4334B2EB-F2F7-40C1-8604-C6018E65B39B}"/>
    <hyperlink ref="N824" r:id="rId1619" xr:uid="{7A043936-6DFD-4B31-AD82-BA0741EF0AC8}"/>
    <hyperlink ref="N825" r:id="rId1620" xr:uid="{ACD8B7F4-46E5-43D0-A916-1E7EBF7EBBA5}"/>
    <hyperlink ref="N826" r:id="rId1621" xr:uid="{46F5E74F-A328-4F84-8F7A-A9C4A07E4707}"/>
    <hyperlink ref="P827" r:id="rId1622" display="https://my.zakupivli.pro/remote/dispatcher/state_purchase_view/56624862" xr:uid="{52E0A5C3-2DB7-4D0A-9587-0C93189B71AC}"/>
    <hyperlink ref="P828" r:id="rId1623" display="https://my.zakupivli.pro/remote/dispatcher/state_purchase_view/56624857" xr:uid="{7208F3B0-2DE3-4D62-B9DE-D4F81F8EF5B3}"/>
    <hyperlink ref="N827" r:id="rId1624" xr:uid="{06F865B6-09B5-4AB0-AEE8-8E3CA5E2FED5}"/>
    <hyperlink ref="N828" r:id="rId1625" xr:uid="{E43F825D-52B3-4CC2-BA0F-438622830AF3}"/>
    <hyperlink ref="P829" r:id="rId1626" display="https://my.zakupivli.pro/remote/dispatcher/state_purchase_view/56709458" xr:uid="{D0402AF6-0620-4B8A-B454-D1B4694D6A55}"/>
    <hyperlink ref="N829" r:id="rId1627" xr:uid="{76BDCC64-A0D3-401B-A8B6-6957EA377290}"/>
    <hyperlink ref="P830" r:id="rId1628" display="https://my.zakupivli.pro/remote/dispatcher/state_purchase_view/56767709" xr:uid="{2ED738DC-3EA7-40A1-8A07-499AAC8094B1}"/>
    <hyperlink ref="P831" r:id="rId1629" display="https://my.zakupivli.pro/remote/dispatcher/state_purchase_view/56767093" xr:uid="{2DF9E154-6977-4F36-8E27-31026DEA7AE0}"/>
    <hyperlink ref="P832" r:id="rId1630" display="https://my.zakupivli.pro/remote/dispatcher/state_purchase_view/56756969" xr:uid="{529EB767-B702-425B-AC86-A011809E5D60}"/>
    <hyperlink ref="P833" r:id="rId1631" display="https://my.zakupivli.pro/remote/dispatcher/state_purchase_view/56755417" xr:uid="{DE411003-9A56-4304-9C51-9A622BE41202}"/>
    <hyperlink ref="P834" r:id="rId1632" display="https://my.zakupivli.pro/remote/dispatcher/state_purchase_view/56754629" xr:uid="{6DBF1990-CE4D-45D8-BD1C-F51B23FEA857}"/>
    <hyperlink ref="P835" r:id="rId1633" display="https://my.zakupivli.pro/remote/dispatcher/state_purchase_view/56727364" xr:uid="{6BD45E33-A15A-4774-B8D2-790AA21B8509}"/>
    <hyperlink ref="P836" r:id="rId1634" display="https://my.zakupivli.pro/remote/dispatcher/state_purchase_view/56727364" xr:uid="{3B43EC87-9733-421C-A9D4-8CD7FC360003}"/>
    <hyperlink ref="N830" r:id="rId1635" xr:uid="{C0171F4F-E00C-46E5-9926-E146CE5EE09B}"/>
    <hyperlink ref="N831" r:id="rId1636" xr:uid="{A5354594-43EE-4D5A-AD9C-D4F00E923C1D}"/>
    <hyperlink ref="N832" r:id="rId1637" xr:uid="{1E2BEA89-AEEE-47A6-B06E-93DCD7B1A4E1}"/>
    <hyperlink ref="N833" r:id="rId1638" xr:uid="{26F1B0CF-A9FE-4C8D-ABF8-000D9B09DB16}"/>
    <hyperlink ref="N834" r:id="rId1639" xr:uid="{1A16E355-AD95-4892-A792-921B2707C19A}"/>
    <hyperlink ref="N835" r:id="rId1640" xr:uid="{A01ECC72-47C8-4710-ABC3-7A4FC426D122}"/>
    <hyperlink ref="N836" r:id="rId1641" xr:uid="{6E5C02F2-6DA3-42B4-A3E2-64FA1F4B7BBC}"/>
    <hyperlink ref="P837" r:id="rId1642" display="https://my.zakupivli.pro/remote/dispatcher/state_purchase_view/56811498" xr:uid="{94282AD3-9467-4082-8292-8DB75237F601}"/>
    <hyperlink ref="P838" r:id="rId1643" display="https://my.zakupivli.pro/remote/dispatcher/state_purchase_view/56797832" xr:uid="{9FB3847D-DF3A-4770-8FE5-F635EDBE5324}"/>
    <hyperlink ref="P839" r:id="rId1644" display="https://my.zakupivli.pro/remote/dispatcher/state_purchase_view/56780342" xr:uid="{D7C9156C-7FC7-4D7C-ACC8-B0B3D1CF3848}"/>
    <hyperlink ref="N837" r:id="rId1645" xr:uid="{C884C186-23A2-4D18-9446-339990086958}"/>
    <hyperlink ref="N838" r:id="rId1646" xr:uid="{82D956F5-AB33-4150-9496-CFCFBF6A2B0F}"/>
    <hyperlink ref="N839" r:id="rId1647" xr:uid="{319449FA-85AC-4055-BB7D-FF44AFD15082}"/>
    <hyperlink ref="N840" r:id="rId1648" xr:uid="{D4DCB5F3-2748-4005-B2C9-5DB32A39595F}"/>
    <hyperlink ref="P840" r:id="rId1649" display="https://my.zakupivli.pro/remote/dispatcher/state_purchase_view/56857702" xr:uid="{F3E5FC76-0B1C-4A19-998D-E22802DACE04}"/>
    <hyperlink ref="P841" r:id="rId1650" display="https://my.zakupivli.pro/remote/dispatcher/state_purchase_view/56925415" xr:uid="{B6B064C8-A163-4B14-A435-5FDC220053F9}"/>
    <hyperlink ref="P842" r:id="rId1651" display="https://my.zakupivli.pro/remote/dispatcher/state_purchase_view/56922843" xr:uid="{40B5BF5F-49AF-42E5-87B3-AD4FE5822D6C}"/>
    <hyperlink ref="P843" r:id="rId1652" display="https://my.zakupivli.pro/remote/dispatcher/state_purchase_view/56922591" xr:uid="{B0B5A861-8BF8-47C7-A1D8-074983B6FD45}"/>
    <hyperlink ref="N841" r:id="rId1653" xr:uid="{043250FD-CE3F-4FA4-AB82-8288F0C5D08A}"/>
    <hyperlink ref="N842" r:id="rId1654" xr:uid="{AF4D04CF-7FDC-4BB5-806E-653251D71209}"/>
    <hyperlink ref="N843" r:id="rId1655" xr:uid="{90A06608-E4FC-4E03-B20A-652B33A11641}"/>
    <hyperlink ref="P844" r:id="rId1656" display="https://my.zakupivli.pro/remote/dispatcher/state_purchase_view/56941416" xr:uid="{604A5590-95FC-489E-9365-40FE5C96A18E}"/>
    <hyperlink ref="P845" r:id="rId1657" display="https://my.zakupivli.pro/remote/dispatcher/state_purchase_view/56941334" xr:uid="{7E8C620B-1679-49E9-8257-C994D47577E7}"/>
    <hyperlink ref="P846" r:id="rId1658" display="https://my.zakupivli.pro/remote/dispatcher/state_purchase_view/56940479" xr:uid="{F45FFB49-7EE9-4418-BA9D-E9ED5DBB9669}"/>
    <hyperlink ref="N844" r:id="rId1659" xr:uid="{9D7F2BA4-3016-48C1-A4E0-3001D22B6FDC}"/>
    <hyperlink ref="N845" r:id="rId1660" xr:uid="{CAF0240C-B4BD-4A33-9795-9F028358C878}"/>
    <hyperlink ref="N846" r:id="rId1661" xr:uid="{0A569430-C159-43B1-8A3F-4899B8809541}"/>
    <hyperlink ref="P847" r:id="rId1662" display="https://my.zakupivli.pro/remote/dispatcher/state_purchase_view/56943093" xr:uid="{5F9AE2E8-2722-4812-9261-E04C60B33ECD}"/>
    <hyperlink ref="P848" r:id="rId1663" display="https://my.zakupivli.pro/remote/dispatcher/state_purchase_view/56942695" xr:uid="{EBA544D1-9EF9-4C40-A711-1665A1CDB776}"/>
    <hyperlink ref="N847" r:id="rId1664" xr:uid="{53C4955D-E0EC-4D1F-88E7-41C359F317B3}"/>
    <hyperlink ref="N848" r:id="rId1665" xr:uid="{4131764E-C6EB-492F-8418-55DFBAF1232B}"/>
    <hyperlink ref="P849" r:id="rId1666" display="https://my.zakupivli.pro/remote/dispatcher/state_purchase_view/56943542" xr:uid="{AA5011D6-4DC3-41AB-B174-1212D522A003}"/>
    <hyperlink ref="P850" r:id="rId1667" display="https://my.zakupivli.pro/remote/dispatcher/state_purchase_view/56943535" xr:uid="{631FF75A-5DF4-49D3-A5A0-63C0ED5464B0}"/>
    <hyperlink ref="N849" r:id="rId1668" xr:uid="{68C9F105-7103-421D-8026-7A44909F4FDD}"/>
    <hyperlink ref="N850" r:id="rId1669" xr:uid="{9B18021F-2C89-4A91-8800-6075E5D045F6}"/>
    <hyperlink ref="P851" r:id="rId1670" display="https://my.zakupivli.pro/remote/dispatcher/state_purchase_view/56944556" xr:uid="{199A984E-6294-4ADB-838F-6E9E95D2BBFA}"/>
    <hyperlink ref="P852" r:id="rId1671" display="https://my.zakupivli.pro/remote/dispatcher/state_purchase_view/56944415" xr:uid="{88169885-647F-4CBE-8D1C-D9B8CCED5156}"/>
    <hyperlink ref="N851" r:id="rId1672" xr:uid="{9FB07921-CE58-4DD4-9E41-520BDE49CA72}"/>
    <hyperlink ref="N852" r:id="rId1673" xr:uid="{E83EF8F1-6296-47CF-ABE1-7EF86B09A2A9}"/>
    <hyperlink ref="P853" r:id="rId1674" display="https://my.zakupivli.pro/remote/dispatcher/state_purchase_view/56946083" xr:uid="{E556FE59-57BF-4DDE-A0ED-2C210ED3357B}"/>
    <hyperlink ref="P854" r:id="rId1675" display="https://my.zakupivli.pro/remote/dispatcher/state_purchase_view/56944894" xr:uid="{42F7DFEC-9D9B-4FD6-87C3-78AA7AE42826}"/>
    <hyperlink ref="N853" r:id="rId1676" xr:uid="{A1505649-E23F-4791-991C-E0D5C40DB019}"/>
    <hyperlink ref="N854" r:id="rId1677" xr:uid="{6FBFFD1A-6AF7-46B5-B008-3A426951D074}"/>
    <hyperlink ref="P855" r:id="rId1678" display="https://my.zakupivli.pro/remote/dispatcher/state_purchase_view/56947418" xr:uid="{C1753790-2BD5-40FA-8952-5AD19D73C22C}"/>
    <hyperlink ref="P856" r:id="rId1679" display="https://my.zakupivli.pro/remote/dispatcher/state_purchase_view/56946120" xr:uid="{20FB2EB9-40B0-4579-BC2A-76ECD0BEE648}"/>
    <hyperlink ref="N855" r:id="rId1680" xr:uid="{B600F7D3-E883-4295-A97F-D29A10202BDA}"/>
    <hyperlink ref="N856" r:id="rId1681" xr:uid="{BCFC9BC9-87D5-4ABC-9275-B83BCD0AD267}"/>
    <hyperlink ref="P857" r:id="rId1682" display="https://my.zakupivli.pro/remote/dispatcher/state_purchase_view/56947859" xr:uid="{84B47F0A-F53D-4A65-8A0D-773C29A636C4}"/>
    <hyperlink ref="P858" r:id="rId1683" display="https://my.zakupivli.pro/remote/dispatcher/state_purchase_view/56947791" xr:uid="{FB271194-D6F8-462B-8044-EF73BFE0C568}"/>
    <hyperlink ref="N857" r:id="rId1684" xr:uid="{C0BDA8CE-3BB3-4073-9ECE-C11A5BEBDA19}"/>
    <hyperlink ref="N858" r:id="rId1685" xr:uid="{A70B4992-4196-45FC-B3DD-1A5733235785}"/>
    <hyperlink ref="P859" r:id="rId1686" display="https://my.zakupivli.pro/remote/dispatcher/state_purchase_view/56948967" xr:uid="{D33AA4FE-850F-4CFD-A004-8750112E4A14}"/>
    <hyperlink ref="P860" r:id="rId1687" display="https://my.zakupivli.pro/remote/dispatcher/state_purchase_view/56948698" xr:uid="{304FA8DC-57B6-4367-AA5D-C543E44381FF}"/>
    <hyperlink ref="N859" r:id="rId1688" xr:uid="{83828BB8-947B-48B7-A9F1-4A09BD2471A4}"/>
    <hyperlink ref="N860" r:id="rId1689" xr:uid="{1EDCC1EB-1F91-43CB-8803-5D95589D6288}"/>
    <hyperlink ref="P861" r:id="rId1690" display="https://my.zakupivli.pro/remote/dispatcher/state_purchase_view/56950592" xr:uid="{1155CBD0-E441-40E9-9D7C-7C029DB0D0BF}"/>
    <hyperlink ref="P862" r:id="rId1691" display="https://my.zakupivli.pro/remote/dispatcher/state_purchase_view/56949716" xr:uid="{CD1A906E-62A5-44E4-B3A5-7EFCB7715C2D}"/>
    <hyperlink ref="N861" r:id="rId1692" xr:uid="{7A262EDD-6499-4F1E-A387-26A2FEB839DE}"/>
    <hyperlink ref="N862" r:id="rId1693" xr:uid="{356858E2-AC48-487E-9448-E896EE6D3353}"/>
    <hyperlink ref="P863" r:id="rId1694" display="https://my.zakupivli.pro/remote/dispatcher/state_purchase_view/56991092" xr:uid="{C0750735-65C2-4421-9380-4FE2354F1ABB}"/>
    <hyperlink ref="P864" r:id="rId1695" display="https://my.zakupivli.pro/remote/dispatcher/state_purchase_view/56987956" xr:uid="{6CA50D3A-0F1A-472C-8BD2-B7EBDA701F1A}"/>
    <hyperlink ref="P865" r:id="rId1696" display="https://my.zakupivli.pro/remote/dispatcher/state_purchase_view/56982494" xr:uid="{F1F7013E-A085-4474-A2F7-DB9B268B2F32}"/>
    <hyperlink ref="N863" r:id="rId1697" xr:uid="{26AC494D-88CE-474D-A6A0-D800AF880E6C}"/>
    <hyperlink ref="N864" r:id="rId1698" xr:uid="{BA2DCF56-A2FE-411C-98C2-626AEEDEFB6A}"/>
    <hyperlink ref="N865" r:id="rId1699" xr:uid="{441146F0-FDF0-4A29-A7B7-764012F906D9}"/>
    <hyperlink ref="P868" r:id="rId1700" display="https://my.zakupivli.pro/remote/dispatcher/state_purchase_view/57062513" xr:uid="{9F231378-065C-4200-958B-64525E255BC0}"/>
    <hyperlink ref="P869" r:id="rId1701" display="https://my.zakupivli.pro/remote/dispatcher/state_purchase_view/57062513" xr:uid="{53F36DFF-39F9-42ED-824D-E761B9F71BEE}"/>
    <hyperlink ref="P870" r:id="rId1702" display="https://my.zakupivli.pro/remote/dispatcher/state_purchase_view/57062513" xr:uid="{159D8471-AC3E-4406-8E3B-FF1BB1A394DE}"/>
    <hyperlink ref="P871" r:id="rId1703" display="https://my.zakupivli.pro/remote/dispatcher/state_purchase_view/57062513" xr:uid="{AC0EEE5C-AB8F-4169-A5C4-A2F3C01C4305}"/>
    <hyperlink ref="P866" r:id="rId1704" display="https://my.zakupivli.pro/remote/dispatcher/state_purchase_view/57010056" xr:uid="{FC110D8A-3F11-4E4D-AFAB-F8DFEC963504}"/>
    <hyperlink ref="P867" r:id="rId1705" display="https://my.zakupivli.pro/remote/dispatcher/state_purchase_view/57010056" xr:uid="{26A6D916-0A7B-4405-8FCB-5A01E2DF4A72}"/>
    <hyperlink ref="N866" r:id="rId1706" xr:uid="{27943522-FCF2-431E-A519-EECC75CE8530}"/>
    <hyperlink ref="N867" r:id="rId1707" xr:uid="{A2BC5AAF-670B-495C-A667-068A11967E2A}"/>
    <hyperlink ref="N868" r:id="rId1708" xr:uid="{365F58B9-D32E-476E-B4FF-48BD7E4A4817}"/>
    <hyperlink ref="N869" r:id="rId1709" xr:uid="{E6F7F932-FE62-4076-8C83-66A84FD6027F}"/>
    <hyperlink ref="N870" r:id="rId1710" xr:uid="{30A22387-7363-4B92-85B5-3C3F627C773A}"/>
    <hyperlink ref="N871" r:id="rId1711" xr:uid="{5A669B0A-5EB3-4914-AB33-B2362DC9AE52}"/>
    <hyperlink ref="P872" r:id="rId1712" display="https://my.zakupivli.pro/remote/dispatcher/state_purchase_view/57102057" xr:uid="{D0D2EAFA-1372-4CB0-BFAF-58EC787D450A}"/>
    <hyperlink ref="P873" r:id="rId1713" display="https://my.zakupivli.pro/remote/dispatcher/state_purchase_view/57100319" xr:uid="{FF6D1515-EA9F-436A-AAD0-FF4850FA1528}"/>
    <hyperlink ref="P874" r:id="rId1714" display="https://my.zakupivli.pro/remote/dispatcher/state_purchase_view/57092256" xr:uid="{7E6EAC0D-1929-441D-BBA0-25DDCD15168F}"/>
    <hyperlink ref="P875" r:id="rId1715" display="https://my.zakupivli.pro/remote/dispatcher/state_purchase_view/57092017" xr:uid="{3850A6B3-22DC-4337-AA9A-73D33551F91E}"/>
    <hyperlink ref="P876" r:id="rId1716" display="https://my.zakupivli.pro/remote/dispatcher/state_purchase_view/57088046" xr:uid="{E84B79FD-ABFD-412D-9449-2651B97B9760}"/>
    <hyperlink ref="P877" r:id="rId1717" display="https://my.zakupivli.pro/remote/dispatcher/state_purchase_view/57084914" xr:uid="{8ED8B5CB-B432-468C-AD0F-AFEFC43D1D18}"/>
    <hyperlink ref="P878" r:id="rId1718" display="https://my.zakupivli.pro/remote/dispatcher/state_purchase_view/57084914" xr:uid="{4AE538C4-DA74-43EE-A856-6B0F5C8D6B04}"/>
    <hyperlink ref="N872" r:id="rId1719" xr:uid="{04DAF7A2-4506-4BB2-8F6F-E49EDA60E127}"/>
    <hyperlink ref="N873" r:id="rId1720" xr:uid="{064C0D4F-864E-47F8-A69D-922694F1DE3C}"/>
    <hyperlink ref="N874" r:id="rId1721" xr:uid="{4A309AF3-944E-4E54-B882-E5C49F441A9A}"/>
    <hyperlink ref="N875" r:id="rId1722" xr:uid="{54EBED21-C04C-4741-A0C1-2C65D9E169DC}"/>
    <hyperlink ref="N876" r:id="rId1723" xr:uid="{4513215C-3A1F-4EC9-9A1A-3A0B64015201}"/>
    <hyperlink ref="N877" r:id="rId1724" xr:uid="{7B2AA2A7-8616-4560-9E10-B25521C8DBE5}"/>
    <hyperlink ref="N878" r:id="rId1725" xr:uid="{FA58D01D-4A19-4F9F-B1C7-1D97E5C55ADD}"/>
    <hyperlink ref="P879" r:id="rId1726" display="https://my.zakupivli.pro/remote/dispatcher/state_purchase_view/57145030" xr:uid="{55FB04A7-B8FD-4DFC-AEBD-2881E2008DD8}"/>
    <hyperlink ref="P880" r:id="rId1727" display="https://my.zakupivli.pro/remote/dispatcher/state_purchase_view/57144174" xr:uid="{C7456E8A-C481-44BD-9C15-6D07248BA238}"/>
    <hyperlink ref="P881" r:id="rId1728" display="https://my.zakupivli.pro/remote/dispatcher/state_purchase_view/57141917" xr:uid="{B0034565-FCCA-4887-B22F-564671F34AD5}"/>
    <hyperlink ref="P882" r:id="rId1729" display="https://my.zakupivli.pro/remote/dispatcher/state_purchase_view/57141684" xr:uid="{1C4DF443-2C7A-4760-AA19-A051A34ACD40}"/>
    <hyperlink ref="P883" r:id="rId1730" display="https://my.zakupivli.pro/remote/dispatcher/state_purchase_view/57122049" xr:uid="{CAFF919F-21D0-4A64-8EEF-47E97463695C}"/>
    <hyperlink ref="P884" r:id="rId1731" display="https://my.zakupivli.pro/remote/dispatcher/state_purchase_view/57121076" xr:uid="{52692308-99C7-427B-AD1C-8ED03A7CCE0B}"/>
    <hyperlink ref="N879" r:id="rId1732" xr:uid="{05FAB159-0C58-44EE-8E97-B214FF5BC067}"/>
    <hyperlink ref="N880" r:id="rId1733" xr:uid="{63F212AD-9950-4422-B920-77AB3DE22956}"/>
    <hyperlink ref="N881" r:id="rId1734" xr:uid="{87788FAA-5FC5-4CE8-BDF0-E5AD7F814F55}"/>
    <hyperlink ref="N882" r:id="rId1735" xr:uid="{1C210E16-EF9A-4318-BA7D-3FB2B8AC0875}"/>
    <hyperlink ref="N883" r:id="rId1736" xr:uid="{5A22423F-3A51-4ADC-82FA-C25F271E060E}"/>
    <hyperlink ref="N884" r:id="rId1737" xr:uid="{7DC5FB78-F130-459B-B333-67DC57C6D16B}"/>
    <hyperlink ref="P885" r:id="rId1738" display="https://my.zakupivli.pro/remote/dispatcher/state_purchase_view/57188673" xr:uid="{735D3821-1287-460A-A89D-C42484E806CB}"/>
    <hyperlink ref="N885" r:id="rId1739" xr:uid="{26273E12-C410-4720-BC31-65EC1564AFED}"/>
    <hyperlink ref="P886" r:id="rId1740" display="https://my.zakupivli.pro/remote/dispatcher/state_purchase_view/57231734" xr:uid="{8C7043FD-3F90-43DB-A96B-12C51D53333B}"/>
    <hyperlink ref="P887" r:id="rId1741" display="https://my.zakupivli.pro/remote/dispatcher/state_purchase_view/57223306" xr:uid="{F1D8567A-0B89-4C6B-AB12-A83F018DC3CC}"/>
    <hyperlink ref="P888" r:id="rId1742" display="https://my.zakupivli.pro/remote/dispatcher/state_purchase_view/57220856" xr:uid="{5EC66308-27D9-4A10-AD75-DD4CDA9D5F35}"/>
    <hyperlink ref="P889" r:id="rId1743" display="https://my.zakupivli.pro/remote/dispatcher/state_purchase_view/57220098" xr:uid="{B5B1F49E-DC38-4979-8709-2832F53D2B7C}"/>
    <hyperlink ref="P890" r:id="rId1744" display="https://my.zakupivli.pro/remote/dispatcher/state_purchase_view/57218765" xr:uid="{C3DA9E99-803D-4C70-AD2D-AC0C38702C5C}"/>
    <hyperlink ref="P891" r:id="rId1745" display="https://my.zakupivli.pro/remote/dispatcher/state_purchase_view/57218243" xr:uid="{DF8F403B-C757-4FED-9B8D-94113A172E5F}"/>
    <hyperlink ref="P892" r:id="rId1746" display="https://my.zakupivli.pro/remote/dispatcher/state_purchase_view/57204593" xr:uid="{CB149DC7-42FA-49C5-95CB-A57E97C41CB7}"/>
    <hyperlink ref="N886" r:id="rId1747" xr:uid="{83AED35B-3459-479F-AE0A-445AC47D84D0}"/>
    <hyperlink ref="N887" r:id="rId1748" xr:uid="{41B3A769-3484-48DD-B207-A713BE667131}"/>
    <hyperlink ref="N888" r:id="rId1749" xr:uid="{CF9772E4-1441-4075-92D0-13B789EBB88C}"/>
    <hyperlink ref="N889" r:id="rId1750" xr:uid="{CEDF1CEF-5E4D-4810-9AC5-5CB1B4EDA984}"/>
    <hyperlink ref="N890" r:id="rId1751" xr:uid="{5CE2DEAD-7D00-4C18-A489-DFBDD83CD5D1}"/>
    <hyperlink ref="N891" r:id="rId1752" xr:uid="{5E9DE607-809C-4BF3-A39F-4072F1552F51}"/>
    <hyperlink ref="N892" r:id="rId1753" xr:uid="{5B0D8A00-44DA-49B6-B86B-A39DE70369B0}"/>
    <hyperlink ref="P893" r:id="rId1754" display="https://my.zakupivli.pro/remote/dispatcher/state_purchase_view/57248238" xr:uid="{2F9475B4-D144-4244-B06A-3642906A299A}"/>
    <hyperlink ref="N893" r:id="rId1755" xr:uid="{04F9C454-7F1A-48DC-8BF9-75C845C66861}"/>
    <hyperlink ref="P894" r:id="rId1756" display="https://my.zakupivli.pro/remote/dispatcher/state_purchase_view/57301275" xr:uid="{E70598EC-F8AA-4FC0-8A76-B672320C73C4}"/>
    <hyperlink ref="P895" r:id="rId1757" display="https://my.zakupivli.pro/remote/dispatcher/state_purchase_view/57295165" xr:uid="{C80488EC-391E-476C-B250-90D3BFBB36A8}"/>
    <hyperlink ref="P896" r:id="rId1758" display="https://my.zakupivli.pro/remote/dispatcher/state_purchase_view/57279883" xr:uid="{3463766F-D4BB-4C99-B0E6-6786A0F6103B}"/>
    <hyperlink ref="N894" r:id="rId1759" xr:uid="{66F50E58-2891-4D75-AE3F-DDE9C90AA267}"/>
    <hyperlink ref="N895" r:id="rId1760" xr:uid="{658F6F08-DBEF-4CA7-84CF-893F509681A7}"/>
    <hyperlink ref="N896" r:id="rId1761" xr:uid="{331193DE-DCA2-4169-B3A5-C2FDA4DA9E9C}"/>
    <hyperlink ref="P897" r:id="rId1762" display="https://my.zakupivli.pro/remote/dispatcher/state_purchase_view/57327334" xr:uid="{5BF417ED-C9CA-4E9E-AA6C-20071CD76B13}"/>
    <hyperlink ref="N897" r:id="rId1763" xr:uid="{770C3F7C-4D76-4520-A661-09E45522A7FA}"/>
    <hyperlink ref="P898" r:id="rId1764" display="https://my.zakupivli.pro/remote/dispatcher/state_purchase_view/57385934" xr:uid="{6418837D-6959-4FC2-887F-4693E229A1FD}"/>
    <hyperlink ref="P899" r:id="rId1765" display="https://my.zakupivli.pro/remote/dispatcher/state_purchase_view/57385694" xr:uid="{DEA0464B-E339-42B8-88B9-2CC7CEB5DB9D}"/>
    <hyperlink ref="P900" r:id="rId1766" display="https://my.zakupivli.pro/remote/dispatcher/state_purchase_view/57385694" xr:uid="{5AA66D49-D63A-46F1-B02F-EE90CFD10535}"/>
    <hyperlink ref="P901" r:id="rId1767" display="https://my.zakupivli.pro/remote/dispatcher/state_purchase_view/57385694" xr:uid="{4ACB510D-774D-416E-853E-044069751B61}"/>
    <hyperlink ref="P902" r:id="rId1768" display="https://my.zakupivli.pro/remote/dispatcher/state_purchase_view/57385694" xr:uid="{D121252F-759A-456D-BAAA-F10CE46BFEB8}"/>
    <hyperlink ref="P903" r:id="rId1769" display="https://my.zakupivli.pro/remote/dispatcher/state_purchase_view/57380194" xr:uid="{E1DB346D-9E82-4930-926D-927F02CD2D87}"/>
    <hyperlink ref="P904" r:id="rId1770" display="https://my.zakupivli.pro/remote/dispatcher/state_purchase_view/57407976" xr:uid="{F618411A-76E1-4461-81DC-74C86B2F3219}"/>
    <hyperlink ref="N898" r:id="rId1771" xr:uid="{AED371DC-8E6D-427E-BCF1-AEFAC0D3BE2D}"/>
    <hyperlink ref="N899" r:id="rId1772" xr:uid="{701C455F-9EF1-4995-AA6B-6492C86119A3}"/>
    <hyperlink ref="N900" r:id="rId1773" xr:uid="{1F3566FC-CE28-4C72-AAE5-0D01A9170B78}"/>
    <hyperlink ref="N901" r:id="rId1774" xr:uid="{547837F0-F010-4864-B9FC-8DB07BC5EA9A}"/>
    <hyperlink ref="N902" r:id="rId1775" xr:uid="{09976A2A-96F4-41D0-9CD8-EF57DF5F860E}"/>
    <hyperlink ref="N903" r:id="rId1776" xr:uid="{AFB2B379-1EA3-41ED-9DE2-482A86B38D43}"/>
    <hyperlink ref="N904" r:id="rId1777" xr:uid="{F3719ADA-5585-47D3-A848-96940E6787CF}"/>
    <hyperlink ref="P905" r:id="rId1778" display="https://my.zakupivli.pro/remote/dispatcher/state_purchase_view/57447516" xr:uid="{F55412F8-5B0F-41F0-B466-A9656BFE00D9}"/>
    <hyperlink ref="P906" r:id="rId1779" display="https://my.zakupivli.pro/remote/dispatcher/state_purchase_view/57446387" xr:uid="{F76A3220-41FD-4D77-AA25-D08D5E76CD4E}"/>
    <hyperlink ref="P907" r:id="rId1780" display="https://my.zakupivli.pro/remote/dispatcher/state_purchase_view/57445600" xr:uid="{0ABE0120-2D79-42D7-8739-EEBD20D954ED}"/>
    <hyperlink ref="P908" r:id="rId1781" display="https://my.zakupivli.pro/remote/dispatcher/state_purchase_view/57443185" xr:uid="{7FFF7976-4069-4188-BAE6-F7F64928EDC9}"/>
    <hyperlink ref="P909" r:id="rId1782" display="https://my.zakupivli.pro/remote/dispatcher/state_purchase_view/57441860" xr:uid="{8A63E464-2A9E-4666-93AB-93F74D7E0A96}"/>
    <hyperlink ref="P910" r:id="rId1783" display="https://my.zakupivli.pro/remote/dispatcher/state_purchase_view/57435375" xr:uid="{5FA9C13C-1BAD-4AF4-A445-70A25A5F7A73}"/>
    <hyperlink ref="N905" r:id="rId1784" xr:uid="{0B00E48B-D873-48BC-89B9-560BACAD2032}"/>
    <hyperlink ref="N906" r:id="rId1785" xr:uid="{9D89FDBD-34EC-49A6-B1F4-8FBB8CA033B1}"/>
    <hyperlink ref="N907" r:id="rId1786" xr:uid="{624D83AC-DF81-4ED7-8594-8362E8692CA2}"/>
    <hyperlink ref="N908" r:id="rId1787" xr:uid="{F3F7C2FF-C569-473C-8296-01C5DF7556B2}"/>
    <hyperlink ref="N909" r:id="rId1788" xr:uid="{08D971CD-6D58-4D29-B711-85B25BE975FD}"/>
    <hyperlink ref="N910" r:id="rId1789" xr:uid="{CD0481EF-D3FA-4935-B4F3-F5181D26AA68}"/>
    <hyperlink ref="P911" r:id="rId1790" display="https://my.zakupivli.pro/remote/dispatcher/state_purchase_view/57453868" xr:uid="{AD677C0D-0852-488B-A995-45292626B020}"/>
    <hyperlink ref="N911" r:id="rId1791" xr:uid="{F471F4FA-17EE-4734-85CE-A21C4E847856}"/>
    <hyperlink ref="P912" r:id="rId1792" display="https://my.zakupivli.pro/remote/dispatcher/state_purchase_view/57483469" xr:uid="{E47D05D4-1C00-48D3-B730-B523493E16F4}"/>
    <hyperlink ref="P913" r:id="rId1793" display="https://my.zakupivli.pro/remote/dispatcher/state_purchase_view/57480226" xr:uid="{3B62892E-B716-4B2C-9907-1B5FAC3B9BE5}"/>
    <hyperlink ref="P914" r:id="rId1794" display="https://my.zakupivli.pro/remote/dispatcher/state_purchase_view/57478572" xr:uid="{B99BE696-286E-4DC6-9E95-ECE652E7893D}"/>
    <hyperlink ref="P915" r:id="rId1795" display="https://my.zakupivli.pro/remote/dispatcher/state_purchase_view/57476914" xr:uid="{0B4AFDDE-3628-42A1-968D-E0234C567DF9}"/>
    <hyperlink ref="P916" r:id="rId1796" display="https://my.zakupivli.pro/remote/dispatcher/state_purchase_view/57476203" xr:uid="{3BDDC1D6-05E5-4F78-95F1-5743A480894D}"/>
    <hyperlink ref="P917" r:id="rId1797" display="https://my.zakupivli.pro/remote/dispatcher/state_purchase_view/57475723" xr:uid="{858DEBA4-B5BF-4643-86B9-B0923568ECB7}"/>
    <hyperlink ref="P918" r:id="rId1798" display="https://my.zakupivli.pro/remote/dispatcher/state_purchase_view/57469944" xr:uid="{72E220CA-A22A-4AEF-A697-0AFCABE9ECA4}"/>
    <hyperlink ref="N912" r:id="rId1799" xr:uid="{DC8793F4-4465-4F58-8584-FC87CFA4F4E8}"/>
    <hyperlink ref="N913" r:id="rId1800" xr:uid="{1A725801-B6BC-48FC-AF92-74163411C9E6}"/>
    <hyperlink ref="N914" r:id="rId1801" xr:uid="{A1483AE4-C49C-4EEF-8664-7BCF6DC4FE30}"/>
    <hyperlink ref="N915" r:id="rId1802" xr:uid="{97D72456-0DB8-4329-A266-42B3E7246D99}"/>
    <hyperlink ref="N916" r:id="rId1803" xr:uid="{7350F886-1CEF-4068-9504-F860896A1287}"/>
    <hyperlink ref="N917" r:id="rId1804" xr:uid="{887D9197-100E-4F20-9D11-BBD2BFB09614}"/>
    <hyperlink ref="N918" r:id="rId1805" xr:uid="{67DF8192-F936-4E72-86B5-5EADC3AA50C2}"/>
    <hyperlink ref="P919" r:id="rId1806" display="https://my.zakupivli.pro/remote/dispatcher/state_purchase_view/57524444" xr:uid="{705A4DE9-8B94-4634-BFA8-99A981E55B5B}"/>
    <hyperlink ref="P920" r:id="rId1807" display="https://my.zakupivli.pro/remote/dispatcher/state_purchase_view/57524423" xr:uid="{88FE3BA2-FD31-452E-B1BB-B55047C44558}"/>
    <hyperlink ref="N919" r:id="rId1808" xr:uid="{33413FD7-B088-422D-82EA-BCD21FE67555}"/>
    <hyperlink ref="N920" r:id="rId1809" xr:uid="{1E7FF446-BCE2-4F69-AC4B-C0825EF2DBEE}"/>
    <hyperlink ref="P921" r:id="rId1810" display="https://my.zakupivli.pro/remote/dispatcher/state_purchase_view/57612514" xr:uid="{92AC3B4D-D7F9-4224-9133-44AD53B92A96}"/>
    <hyperlink ref="P922" r:id="rId1811" display="https://my.zakupivli.pro/remote/dispatcher/state_purchase_view/57606569" xr:uid="{63BA0921-48A1-4E73-BD3F-E483AA70EDE9}"/>
    <hyperlink ref="P923" r:id="rId1812" display="https://my.zakupivli.pro/remote/dispatcher/state_purchase_view/57603945" xr:uid="{C6D27104-873C-4849-A09D-DB27213411C0}"/>
    <hyperlink ref="P924" r:id="rId1813" display="https://my.zakupivli.pro/remote/dispatcher/state_purchase_view/57593579" xr:uid="{9EB5135F-53B9-482F-847E-6D098C8231CD}"/>
    <hyperlink ref="P925" r:id="rId1814" display="https://my.zakupivli.pro/remote/dispatcher/state_purchase_view/57593579" xr:uid="{6E17F3A7-F0D5-41A1-BA26-038B13AD3AE7}"/>
    <hyperlink ref="P926" r:id="rId1815" display="https://my.zakupivli.pro/remote/dispatcher/state_purchase_view/57590825" xr:uid="{1B37BC3D-825E-4DC6-9528-A0D411C1E04B}"/>
    <hyperlink ref="N921" r:id="rId1816" xr:uid="{70177BB6-4CE1-4F98-865B-81AC8C9923DF}"/>
    <hyperlink ref="N922" r:id="rId1817" xr:uid="{4F14E2AF-23B0-44C9-AF2A-32B62706ED52}"/>
    <hyperlink ref="N923" r:id="rId1818" xr:uid="{F825F5A6-F807-412E-B1CA-54DBBD91FA95}"/>
    <hyperlink ref="N924" r:id="rId1819" xr:uid="{8FE5FD4E-EE4A-4084-AD4E-1ACC0C578B31}"/>
    <hyperlink ref="N925" r:id="rId1820" xr:uid="{367969E7-8FEA-4ABC-B354-7E8DF52505AE}"/>
    <hyperlink ref="N926" r:id="rId1821" xr:uid="{337FB2C3-B134-43C9-8209-E2AED992F6C0}"/>
    <hyperlink ref="P927" r:id="rId1822" display="https://my.zakupivli.pro/remote/dispatcher/state_purchase_view/57640739" xr:uid="{345527D3-FF12-48AF-BEB2-2A7DC2E27DEE}"/>
    <hyperlink ref="P928" r:id="rId1823" display="https://my.zakupivli.pro/remote/dispatcher/state_purchase_view/57638292" xr:uid="{B6481267-4517-4A32-B886-6D1202E3EA68}"/>
    <hyperlink ref="P929" r:id="rId1824" display="https://my.zakupivli.pro/remote/dispatcher/state_purchase_view/57623304" xr:uid="{61D1D149-A4E8-43EA-92A4-7C5A9B3B8C08}"/>
    <hyperlink ref="P930" r:id="rId1825" display="https://my.zakupivli.pro/remote/dispatcher/state_purchase_view/57623075" xr:uid="{73FE753E-EF2A-4B0A-9EC7-39D4087F7FE8}"/>
    <hyperlink ref="N927" r:id="rId1826" xr:uid="{4E428A0C-D834-44D0-9506-4AFDF2DC80BF}"/>
    <hyperlink ref="N928" r:id="rId1827" xr:uid="{08164470-9522-4435-B358-FD173AC29996}"/>
    <hyperlink ref="N929" r:id="rId1828" xr:uid="{289F0533-65E4-49CC-A519-D7897094C501}"/>
    <hyperlink ref="N930" r:id="rId1829" xr:uid="{F776421B-06C1-4996-8BB3-28D0A38E7BDF}"/>
    <hyperlink ref="P931" r:id="rId1830" display="https://my.zakupivli.pro/remote/dispatcher/state_purchase_view/57711359" xr:uid="{8CAA4021-A818-4D57-A3D8-AC2CFDA39DF8}"/>
    <hyperlink ref="P932" r:id="rId1831" display="https://my.zakupivli.pro/remote/dispatcher/state_purchase_view/57700470" xr:uid="{3C9CB5BE-BF45-41B5-8A58-67BE72F7F5DD}"/>
    <hyperlink ref="N931" r:id="rId1832" xr:uid="{94038971-4775-4343-8845-BD016B8333EB}"/>
    <hyperlink ref="N932" r:id="rId1833" xr:uid="{38EA7EFE-4357-480E-B88E-7FC9BDCC72B8}"/>
    <hyperlink ref="P933" r:id="rId1834" display="https://my.zakupivli.pro/remote/dispatcher/state_purchase_view/57741352" xr:uid="{57280DCD-5E51-4FA1-8057-BF6AC37F02A0}"/>
    <hyperlink ref="P934" r:id="rId1835" display="https://my.zakupivli.pro/remote/dispatcher/state_purchase_view/57739836" xr:uid="{AA0C7F9D-0AD5-4835-82F7-33B3A09FAA59}"/>
    <hyperlink ref="P935" r:id="rId1836" display="https://my.zakupivli.pro/remote/dispatcher/state_purchase_view/57738530" xr:uid="{5A0DA3CD-773B-4E23-AA62-85E8AD613C69}"/>
    <hyperlink ref="P936" r:id="rId1837" display="https://my.zakupivli.pro/remote/dispatcher/state_purchase_view/57734768" xr:uid="{85E1AFCA-12D1-4EA4-8C98-46E7AB41D535}"/>
    <hyperlink ref="P937" r:id="rId1838" display="https://my.zakupivli.pro/remote/dispatcher/state_purchase_view/57734245" xr:uid="{493CD7F1-933C-47E3-8664-02BCD32779A2}"/>
    <hyperlink ref="P938" r:id="rId1839" display="https://my.zakupivli.pro/remote/dispatcher/state_purchase_view/57729054" xr:uid="{2C3FA4E0-D8D3-4D07-AE45-65DAEC189BB8}"/>
    <hyperlink ref="N933" r:id="rId1840" xr:uid="{9261B3F1-B177-4B37-B845-53C3CD3ED677}"/>
    <hyperlink ref="N934" r:id="rId1841" xr:uid="{CBEFDD0E-FE82-4D56-A40D-FB100FBB9FDE}"/>
    <hyperlink ref="N935" r:id="rId1842" xr:uid="{BCDE94CF-E888-4DED-A26F-EA80202BD9B4}"/>
    <hyperlink ref="N936" r:id="rId1843" xr:uid="{2398ABB2-426F-4B9B-A25F-8A929B5664AB}"/>
    <hyperlink ref="N937" r:id="rId1844" xr:uid="{A639A215-2BF0-432B-957F-EB4C947D482D}"/>
    <hyperlink ref="N938" r:id="rId1845" xr:uid="{563D578F-5167-44EE-886A-FEC8FFBBD7D7}"/>
    <hyperlink ref="P939" r:id="rId1846" display="https://my.zakupivli.pro/remote/dispatcher/state_purchase_view/57767467" xr:uid="{D8C2670C-C371-4B4B-88EE-6FE3C053DFC0}"/>
    <hyperlink ref="P940" r:id="rId1847" display="https://my.zakupivli.pro/remote/dispatcher/state_purchase_view/57746790" xr:uid="{97015B84-88C5-48EA-BA8B-0F3C5D06E9AF}"/>
    <hyperlink ref="N939" r:id="rId1848" xr:uid="{D94E9D8F-C1F0-4ED3-B2E1-50EAC03275BD}"/>
    <hyperlink ref="N940" r:id="rId1849" xr:uid="{D605B83F-23E7-458F-9E68-173737B54CAA}"/>
    <hyperlink ref="P941" r:id="rId1850" display="https://my.zakupivli.pro/remote/dispatcher/state_purchase_view/57827963" xr:uid="{CB9A56DF-9A7F-44D0-A2B9-990A5ED6D991}"/>
    <hyperlink ref="P942" r:id="rId1851" display="https://my.zakupivli.pro/remote/dispatcher/state_purchase_view/57827098" xr:uid="{E124E1EF-6D15-49A0-B91E-0746E50541C9}"/>
    <hyperlink ref="N941" r:id="rId1852" xr:uid="{016EF292-6A90-4834-BF98-F99CD9CE155D}"/>
    <hyperlink ref="N942" r:id="rId1853" xr:uid="{A3F4D87E-6271-42E9-8E1E-9E1148D1D32F}"/>
    <hyperlink ref="P943" r:id="rId1854" display="https://my.zakupivli.pro/remote/dispatcher/state_purchase_view/57859720" xr:uid="{B916C5C8-54CE-4D36-875D-59A4C1F0B06F}"/>
    <hyperlink ref="N943" r:id="rId1855" xr:uid="{5F236D66-5A33-4A7A-8CB9-98E66CA6F13B}"/>
    <hyperlink ref="P944" r:id="rId1856" display="https://my.zakupivli.pro/remote/dispatcher/state_purchase_view/57875267" xr:uid="{4C46362C-2A00-407B-B99D-2F6D787C486A}"/>
    <hyperlink ref="P945" r:id="rId1857" display="https://my.zakupivli.pro/remote/dispatcher/state_purchase_view/57873346" xr:uid="{D54BF6DB-9B28-4DB8-9780-18A6DC00AA34}"/>
    <hyperlink ref="N944" r:id="rId1858" xr:uid="{6F3C6A98-C64A-4B1D-AD95-93917829C836}"/>
    <hyperlink ref="N945" r:id="rId1859" xr:uid="{2DEACFD8-474B-43C5-919B-73921342BE3E}"/>
    <hyperlink ref="P946" r:id="rId1860" display="https://my.zakupivli.pro/remote/dispatcher/state_purchase_view/57931528" xr:uid="{9ABCF467-2719-4F63-87C0-DA5F3BECE892}"/>
    <hyperlink ref="P947" r:id="rId1861" display="https://my.zakupivli.pro/remote/dispatcher/state_purchase_view/57925883" xr:uid="{AE32064E-7A0D-4444-B51C-79B8A638B121}"/>
    <hyperlink ref="N946" r:id="rId1862" xr:uid="{4352C236-623B-4DC8-A9E7-E9CA8C6A7E21}"/>
    <hyperlink ref="N947" r:id="rId1863" xr:uid="{43FFB573-FD8F-4C16-8AB2-FF3D44E67365}"/>
    <hyperlink ref="P948" r:id="rId1864" display="https://my.zakupivli.pro/remote/dispatcher/state_purchase_view/57971178" xr:uid="{9E3BCEF5-3073-4BCD-A62E-2D274A3EDA87}"/>
    <hyperlink ref="N948" r:id="rId1865" xr:uid="{305636EC-8CF4-4FD2-B462-9BBF63FA6572}"/>
    <hyperlink ref="P949" r:id="rId1866" display="https://my.zakupivli.pro/remote/dispatcher/state_purchase_view/58076884" xr:uid="{C7350BBE-6708-4B21-BA72-BE7750E512F7}"/>
    <hyperlink ref="P950" r:id="rId1867" display="https://my.zakupivli.pro/remote/dispatcher/state_purchase_view/58072937" xr:uid="{15205CC9-A87A-4871-AC3B-FEAA181F68D9}"/>
    <hyperlink ref="P951" r:id="rId1868" display="https://my.zakupivli.pro/remote/dispatcher/state_purchase_view/58061453" xr:uid="{E94CD589-6E65-49E0-A969-2CD4A51E139E}"/>
    <hyperlink ref="P952" r:id="rId1869" display="https://my.zakupivli.pro/remote/dispatcher/state_purchase_view/58060906" xr:uid="{F39E23FD-BFF0-45F1-B763-19ACC2C54B5D}"/>
    <hyperlink ref="P953" r:id="rId1870" display="https://my.zakupivli.pro/remote/dispatcher/state_purchase_view/58056297" xr:uid="{068421A4-CDC7-4C79-96FB-610E0226903C}"/>
    <hyperlink ref="N949" r:id="rId1871" xr:uid="{FA16B12A-DEA4-4AAA-9FF8-BE91346150CE}"/>
    <hyperlink ref="N950" r:id="rId1872" xr:uid="{1231B724-5B79-40B1-A691-A9908C5ED11B}"/>
    <hyperlink ref="N951" r:id="rId1873" xr:uid="{62CF2574-ACAF-4849-AA43-48A2AC842D26}"/>
    <hyperlink ref="N952" r:id="rId1874" xr:uid="{AA2C43F8-51B5-4D8F-9EE2-D76165F91938}"/>
    <hyperlink ref="N953" r:id="rId1875" xr:uid="{5A208C0E-23B1-4648-8420-998CE678615C}"/>
    <hyperlink ref="P954" r:id="rId1876" display="https://my.zakupivli.pro/remote/dispatcher/state_purchase_view/58109414" xr:uid="{89D92F28-2E74-4C09-9A73-EF91A39F90C2}"/>
    <hyperlink ref="P955" r:id="rId1877" display="https://my.zakupivli.pro/remote/dispatcher/state_purchase_view/58096222" xr:uid="{13C96A27-4967-4FA7-AC4A-6107E09FFA22}"/>
    <hyperlink ref="P956" r:id="rId1878" display="https://my.zakupivli.pro/remote/dispatcher/state_purchase_view/58089610" xr:uid="{9626023F-79D2-437F-982C-06D7669813C0}"/>
    <hyperlink ref="N954" r:id="rId1879" xr:uid="{ED9D236D-AF9D-452E-884F-9D0FA8C7D972}"/>
    <hyperlink ref="N955" r:id="rId1880" xr:uid="{79173122-EF53-4FC4-8247-AA9477DF16E2}"/>
    <hyperlink ref="N956" r:id="rId1881" xr:uid="{524B8B67-2651-4F6C-B5BC-095A7E708021}"/>
    <hyperlink ref="P957" r:id="rId1882" display="https://my.zakupivli.pro/remote/dispatcher/state_purchase_view/58211662" xr:uid="{6B1C548A-7623-403A-B5A5-FF23E8003C07}"/>
    <hyperlink ref="P958" r:id="rId1883" display="https://my.zakupivli.pro/remote/dispatcher/state_purchase_view/58211601" xr:uid="{1A5BDC3D-0E2E-4F33-B381-A6FB6A72003E}"/>
    <hyperlink ref="P959" r:id="rId1884" display="https://my.zakupivli.pro/remote/dispatcher/state_purchase_view/58199921" xr:uid="{A53F19A4-C360-411F-B4E5-5BA5A8D04625}"/>
    <hyperlink ref="N957" r:id="rId1885" xr:uid="{A8FF7F80-602F-4FE0-A34B-40017F0295FC}"/>
    <hyperlink ref="N958" r:id="rId1886" xr:uid="{3C470C81-205B-4077-BCFB-BDE631125C88}"/>
    <hyperlink ref="N959" r:id="rId1887" xr:uid="{2EC32A5D-AAF8-429E-B1C3-72A5E4D75A2A}"/>
    <hyperlink ref="P960" r:id="rId1888" display="https://my.zakupivli.pro/remote/dispatcher/state_purchase_view/58221122" xr:uid="{9F48E0BD-880B-4E17-AB79-7458043EEABD}"/>
    <hyperlink ref="N960" r:id="rId1889" xr:uid="{28DCF48E-D4A8-48E1-8302-DED498241D2B}"/>
    <hyperlink ref="P961" r:id="rId1890" display="https://my.zakupivli.pro/remote/dispatcher/state_purchase_view/58273102" xr:uid="{D974DBC5-1691-4349-8E17-A7E31E748F25}"/>
    <hyperlink ref="N961" r:id="rId1891" xr:uid="{8BA54B36-FD42-4DF3-8DCC-976C3D5EC8BC}"/>
    <hyperlink ref="P962" r:id="rId1892" display="https://my.zakupivli.pro/remote/dispatcher/state_purchase_view/58282530" xr:uid="{5E50D417-3DF0-431C-99B6-7856F9CA3AEB}"/>
    <hyperlink ref="P963" r:id="rId1893" display="https://my.zakupivli.pro/remote/dispatcher/state_purchase_view/58282446" xr:uid="{BD34D122-FBB1-43CC-8249-939237178036}"/>
    <hyperlink ref="P964" r:id="rId1894" display="https://my.zakupivli.pro/remote/dispatcher/state_purchase_view/58282171" xr:uid="{D56FF1BF-E576-4CED-A2F7-E7F611B31BE2}"/>
    <hyperlink ref="P965" r:id="rId1895" display="https://my.zakupivli.pro/remote/dispatcher/state_purchase_view/58281188" xr:uid="{2E2D7FF6-4C55-4680-9E0A-6DA3D4682370}"/>
    <hyperlink ref="N962" r:id="rId1896" xr:uid="{B472E40E-5095-44E6-ABDC-EA5A0ED087EA}"/>
    <hyperlink ref="N963" r:id="rId1897" xr:uid="{0CFD40A8-392C-4C96-ACAF-49AE1AF783CF}"/>
    <hyperlink ref="N964" r:id="rId1898" xr:uid="{5B41F75B-EEBD-427F-A516-05C7E84E1622}"/>
    <hyperlink ref="N965" r:id="rId1899" xr:uid="{CE8A0F68-893B-4644-A6FA-3986353C57B7}"/>
    <hyperlink ref="N966" r:id="rId1900" xr:uid="{5250307A-2829-43AD-9C55-B65DCDFA7F24}"/>
    <hyperlink ref="P967" r:id="rId1901" display="https://my.zakupivli.pro/remote/dispatcher/state_purchase_view/58434804" xr:uid="{10A33208-58ED-49CB-904A-45FFDB3C10EA}"/>
    <hyperlink ref="P968" r:id="rId1902" display="https://my.zakupivli.pro/remote/dispatcher/state_purchase_view/58402308" xr:uid="{2AB13D6C-ED60-4E26-B0BE-2992F2DA4006}"/>
    <hyperlink ref="P969" r:id="rId1903" display="https://my.zakupivli.pro/remote/dispatcher/state_purchase_view/58391456" xr:uid="{622E41D3-E28E-4A9C-85DE-B3DD3F5C83E7}"/>
    <hyperlink ref="P970" r:id="rId1904" display="https://my.zakupivli.pro/remote/dispatcher/state_purchase_view/58383433" xr:uid="{42D4CF6F-6489-4A9F-A7F6-634D4AE9A528}"/>
    <hyperlink ref="P971" r:id="rId1905" display="https://my.zakupivli.pro/remote/dispatcher/state_purchase_view/58330065" xr:uid="{078AB9BD-B8E9-45F3-AF32-2B3B80A5C9B9}"/>
    <hyperlink ref="P972" r:id="rId1906" display="https://my.zakupivli.pro/remote/dispatcher/state_purchase_view/58319979" xr:uid="{6DD179F8-3A9D-4E26-8FB8-EC6CBCEE8F9D}"/>
    <hyperlink ref="P973" r:id="rId1907" display="https://my.zakupivli.pro/remote/dispatcher/state_purchase_view/58318606" xr:uid="{2374E861-018E-422D-B6F1-5728BD74AEE2}"/>
    <hyperlink ref="N967" r:id="rId1908" xr:uid="{B356F766-7AB1-4501-8FD0-3BB27DB15E46}"/>
    <hyperlink ref="N968" r:id="rId1909" xr:uid="{6920C0EF-6990-4F3C-81D7-4F4EE6D310AD}"/>
    <hyperlink ref="N969" r:id="rId1910" xr:uid="{5AFF4F1F-F846-48AA-89B0-520449661570}"/>
    <hyperlink ref="N970" r:id="rId1911" xr:uid="{EE76E522-5E0B-4095-B40C-72A2AFE07BAB}"/>
    <hyperlink ref="N971" r:id="rId1912" xr:uid="{7F2DC0AD-50D9-4E4E-8A29-6D4B2273DDD3}"/>
    <hyperlink ref="N972" r:id="rId1913" xr:uid="{A9E233F1-1CB4-48CD-B200-883FD0D6CA18}"/>
    <hyperlink ref="N973" r:id="rId1914" xr:uid="{B69BE92E-731E-493B-B169-9B76EB0C99A4}"/>
    <hyperlink ref="P974" r:id="rId1915" display="https://my.zakupivli.pro/remote/dispatcher/state_purchase_view/58524451" xr:uid="{A967C8D4-F94B-4229-A992-05CB638AFA68}"/>
    <hyperlink ref="P975" r:id="rId1916" display="https://my.zakupivli.pro/remote/dispatcher/state_purchase_view/58523820" xr:uid="{3BD6C537-C1E1-458F-A343-C07809011D20}"/>
    <hyperlink ref="P976" r:id="rId1917" display="https://my.zakupivli.pro/remote/dispatcher/state_purchase_view/58513389" xr:uid="{EF8E254D-E769-432D-89EC-B0596BD2EE12}"/>
    <hyperlink ref="P977" r:id="rId1918" display="https://my.zakupivli.pro/remote/dispatcher/state_purchase_view/58476155" xr:uid="{4469495E-1B93-4047-99C2-DAC3966832E4}"/>
    <hyperlink ref="N974" r:id="rId1919" xr:uid="{FABAAE2C-DC27-45F9-8127-7BE3D9EF7F89}"/>
    <hyperlink ref="N975" r:id="rId1920" xr:uid="{18AA69DA-7031-41EB-8AA2-D46D15A679C6}"/>
    <hyperlink ref="N976" r:id="rId1921" xr:uid="{1A092C4C-1F8B-4BDD-A790-D96AE2D42136}"/>
    <hyperlink ref="N977" r:id="rId1922" xr:uid="{7018468F-860C-47D1-9F1E-91EE771375E1}"/>
    <hyperlink ref="P978" r:id="rId1923" display="https://my.zakupivli.pro/remote/dispatcher/state_purchase_view/58600113" xr:uid="{A63A6733-16F4-426A-95E1-67E1EE19E92C}"/>
    <hyperlink ref="P979" r:id="rId1924" display="https://my.zakupivli.pro/remote/dispatcher/state_purchase_view/58599837" xr:uid="{77F13F83-F908-439B-81FA-34D7A0366395}"/>
    <hyperlink ref="P980" r:id="rId1925" display="https://my.zakupivli.pro/remote/dispatcher/state_purchase_view/58599401" xr:uid="{1BFE0E28-2796-4B21-AB40-DD43A7497F54}"/>
    <hyperlink ref="P981" r:id="rId1926" display="https://my.zakupivli.pro/remote/dispatcher/state_purchase_view/58599183" xr:uid="{66C2A614-BF87-4B04-BD23-BBE6B864245C}"/>
    <hyperlink ref="P982" r:id="rId1927" display="https://my.zakupivli.pro/remote/dispatcher/state_purchase_view/58589905" xr:uid="{1180DFD0-776B-46A2-BDD0-BEC2CAA8A748}"/>
    <hyperlink ref="P983" r:id="rId1928" display="https://my.zakupivli.pro/remote/dispatcher/state_purchase_view/58589458" xr:uid="{36EA1DFD-30B4-49FE-B554-E9A567A8F547}"/>
    <hyperlink ref="P984" r:id="rId1929" display="https://my.zakupivli.pro/remote/dispatcher/state_purchase_view/58575307" xr:uid="{8CB2B428-4CBB-41B9-A825-4D4A6028892A}"/>
    <hyperlink ref="N978" r:id="rId1930" xr:uid="{792EB30D-C28A-4929-BC29-7267198323A4}"/>
    <hyperlink ref="N979" r:id="rId1931" xr:uid="{6440D2DA-2726-4713-B779-4A716A417C0D}"/>
    <hyperlink ref="N980" r:id="rId1932" xr:uid="{1177592B-D576-41F0-AB6C-7E1553721B49}"/>
    <hyperlink ref="N981" r:id="rId1933" xr:uid="{E16B6F1A-BE9D-4183-8194-409B455D3949}"/>
    <hyperlink ref="N982" r:id="rId1934" xr:uid="{6BBC1EBB-5420-4294-8FF3-87DBE3022000}"/>
    <hyperlink ref="N983" r:id="rId1935" xr:uid="{A36BEAC1-EC61-4C0F-A79E-80DF53467371}"/>
    <hyperlink ref="N984" r:id="rId1936" xr:uid="{0C330D67-6986-4A3B-9067-FA31C3AC2B3A}"/>
    <hyperlink ref="P985" r:id="rId1937" display="https://my.zakupivli.pro/remote/dispatcher/state_purchase_view/58613538" xr:uid="{9C7A7A34-20C8-4248-97D3-7FEC19F3433D}"/>
    <hyperlink ref="N985" r:id="rId1938" xr:uid="{11407562-139A-47E6-AC27-6314102A48C4}"/>
    <hyperlink ref="P986" r:id="rId1939" display="https://my.zakupivli.pro/remote/dispatcher/state_purchase_view/58657540" xr:uid="{DF983146-EC5C-418E-A5D6-D7EECA8CD74A}"/>
    <hyperlink ref="P987" r:id="rId1940" display="https://my.zakupivli.pro/remote/dispatcher/state_purchase_view/58656841" xr:uid="{2E50DD74-568E-4C53-9DD7-31ED6AB9F8A7}"/>
    <hyperlink ref="P988" r:id="rId1941" display="https://my.zakupivli.pro/remote/dispatcher/state_purchase_view/58656209" xr:uid="{91A5413C-703C-4FD0-B6DF-1F4ED628608E}"/>
    <hyperlink ref="P989" r:id="rId1942" display="https://my.zakupivli.pro/remote/dispatcher/state_purchase_view/58651905" xr:uid="{CEDBC4DF-1A9B-4103-8968-147298B0A704}"/>
    <hyperlink ref="N986" r:id="rId1943" xr:uid="{BC46890C-7346-413A-A42B-66FBA6B6FF1B}"/>
    <hyperlink ref="N987" r:id="rId1944" xr:uid="{937F2571-C0D6-4E95-95D5-E23B5001C873}"/>
    <hyperlink ref="N988" r:id="rId1945" xr:uid="{7BADA492-0185-45F4-A145-82B3841D82E8}"/>
    <hyperlink ref="N989" r:id="rId1946" xr:uid="{A9ADC2AF-6B6F-4BC9-A768-49AD9923FFF6}"/>
    <hyperlink ref="P990" r:id="rId1947" display="https://my.zakupivli.pro/remote/dispatcher/state_purchase_view/58679096" xr:uid="{0B490939-8C3F-40FD-8BC1-8F7F6016CB24}"/>
    <hyperlink ref="N990" r:id="rId1948" xr:uid="{BFF1069D-E178-4A24-91A1-087CA3A828A2}"/>
    <hyperlink ref="P991" r:id="rId1949" display="https://my.zakupivli.pro/remote/dispatcher/state_purchase_view/58741981" xr:uid="{7BFBDA98-FAA2-49C6-96C1-985D46B04451}"/>
    <hyperlink ref="N991" r:id="rId1950" xr:uid="{42F6081E-E1DF-41BA-8711-CBBE910A6D70}"/>
    <hyperlink ref="P992" r:id="rId1951" display="https://my.zakupivli.pro/remote/dispatcher/state_purchase_view/58797476" xr:uid="{4EA74044-A1EB-4685-A892-245996B69EFB}"/>
    <hyperlink ref="P993" r:id="rId1952" display="https://my.zakupivli.pro/remote/dispatcher/state_purchase_view/58796029" xr:uid="{C6D91335-A5F4-4087-A61C-B8F6FD13CF95}"/>
    <hyperlink ref="P994" r:id="rId1953" display="https://my.zakupivli.pro/remote/dispatcher/state_purchase_view/58774811" xr:uid="{1D2679CF-E435-4A32-B312-ECD744B83705}"/>
    <hyperlink ref="N992" r:id="rId1954" xr:uid="{C4FC65A9-EFFB-4929-868C-D561E13FFBD5}"/>
    <hyperlink ref="N993" r:id="rId1955" xr:uid="{67D5F009-AF14-4DEA-8123-16125D02356F}"/>
    <hyperlink ref="N994" r:id="rId1956" xr:uid="{0AB2FFED-8F90-4460-B405-6C998934A035}"/>
    <hyperlink ref="P995" r:id="rId1957" display="https://my.zakupivli.pro/remote/dispatcher/state_purchase_view/58831849" xr:uid="{485F2E67-1CB8-4253-A668-841FAC3DD7E2}"/>
    <hyperlink ref="N995" r:id="rId1958" xr:uid="{1966BC0A-F0F5-4243-AF88-76765D39B1C8}"/>
    <hyperlink ref="P996" r:id="rId1959" display="https://my.zakupivli.pro/remote/dispatcher/state_purchase_view/58853384" xr:uid="{EEBDC899-6F01-4405-945C-1B2C29A0376E}"/>
    <hyperlink ref="N996" r:id="rId1960" xr:uid="{357CC9A7-4984-4E9B-AC8C-D747F8C67095}"/>
    <hyperlink ref="P997" r:id="rId1961" display="https://my.zakupivli.pro/remote/dispatcher/state_purchase_view/58876022" xr:uid="{C138755D-61D0-4179-ABE4-C2C4D4FCC9A5}"/>
    <hyperlink ref="N997" r:id="rId1962" xr:uid="{70A4BB86-6469-448E-9C22-52B39E04AC49}"/>
    <hyperlink ref="P998" r:id="rId1963" display="https://my.zakupivli.pro/remote/dispatcher/state_purchase_view/58876357" xr:uid="{D40F85CA-380E-4457-904F-158EDCCE9D9D}"/>
    <hyperlink ref="N998" r:id="rId1964" xr:uid="{BE0896F0-DD63-4701-8D02-4C3894908CD1}"/>
    <hyperlink ref="P999" r:id="rId1965" display="https://my.zakupivli.pro/remote/dispatcher/state_purchase_view/58923256" xr:uid="{105287CF-A6C7-4434-AC16-2D76CA3E2D9C}"/>
    <hyperlink ref="N999" r:id="rId1966" xr:uid="{07829EF6-E535-48DC-B850-9B3C5BD69F19}"/>
    <hyperlink ref="P1000" r:id="rId1967" display="https://my.zakupivli.pro/remote/dispatcher/state_purchase_view/59070654" xr:uid="{4D3F21A2-708C-4F7A-8475-FC9A388B914D}"/>
    <hyperlink ref="P1001" r:id="rId1968" display="https://my.zakupivli.pro/remote/dispatcher/state_purchase_view/59069777" xr:uid="{D8A56288-1E85-4F98-89D2-6BA160CA1CE2}"/>
    <hyperlink ref="N1000" r:id="rId1969" xr:uid="{7753ED3F-93FC-4C5A-AF25-25FABA9C5573}"/>
    <hyperlink ref="N1001" r:id="rId1970" xr:uid="{40086A1D-CBCE-464D-B6BF-7690377ADA29}"/>
    <hyperlink ref="P1002" r:id="rId1971" display="https://my.zakupivli.pro/remote/dispatcher/state_purchase_view/59095527" xr:uid="{85E90714-10D5-418A-B40B-102E27A39601}"/>
    <hyperlink ref="N1002" r:id="rId1972" xr:uid="{CCBF2370-0F51-4B1B-97CA-6D99BDFD9B96}"/>
    <hyperlink ref="P1003" r:id="rId1973" display="https://my.zakupivli.pro/remote/dispatcher/state_purchase_view/59128871" xr:uid="{2CC53454-2919-4AE5-A587-7A422DD6BBFB}"/>
    <hyperlink ref="N1003" r:id="rId1974" xr:uid="{D5C39F89-B752-4391-AE12-99DA642281D6}"/>
    <hyperlink ref="P1004" r:id="rId1975" display="https://my.zakupivli.pro/remote/dispatcher/state_purchase_view/59214035" xr:uid="{28FF23C3-1356-489E-BFE9-E38AFCED0588}"/>
    <hyperlink ref="P1005" r:id="rId1976" display="https://my.zakupivli.pro/remote/dispatcher/state_purchase_view/59213415" xr:uid="{F95B4DDD-7E1B-43E4-BD89-D3C6A493BB2F}"/>
    <hyperlink ref="P1006" r:id="rId1977" display="https://my.zakupivli.pro/remote/dispatcher/state_purchase_view/59211123" xr:uid="{4DC33442-624D-4F55-9482-42A9EB03D140}"/>
    <hyperlink ref="P1007" r:id="rId1978" display="https://my.zakupivli.pro/remote/dispatcher/state_purchase_view/59210268" xr:uid="{73725E02-B0ED-4879-8875-9522F87DAB22}"/>
    <hyperlink ref="P1008" r:id="rId1979" display="https://my.zakupivli.pro/remote/dispatcher/state_purchase_view/59209475" xr:uid="{DD5842C2-1F2C-4828-B26D-D880B2CC88F1}"/>
    <hyperlink ref="P1009" r:id="rId1980" display="https://my.zakupivli.pro/remote/dispatcher/state_purchase_view/59208249" xr:uid="{790DD87D-28D9-479B-8737-DBC129A337C8}"/>
    <hyperlink ref="P1010" r:id="rId1981" display="https://my.zakupivli.pro/remote/dispatcher/state_purchase_view/59208246" xr:uid="{351FB564-89FA-4D28-BC37-A6C663A9C09D}"/>
    <hyperlink ref="P1011" r:id="rId1982" display="https://my.zakupivli.pro/remote/dispatcher/state_purchase_view/59204270" xr:uid="{5527FEBA-EF93-4339-A54E-F0236639D9D9}"/>
    <hyperlink ref="P1012" r:id="rId1983" display="https://my.zakupivli.pro/remote/dispatcher/state_purchase_view/59203411" xr:uid="{9EF339BF-700E-4C17-A51B-14FC2476F525}"/>
    <hyperlink ref="N1004" r:id="rId1984" xr:uid="{2F16DFF5-8A2D-4ECE-989C-C2719E63DC2C}"/>
    <hyperlink ref="N1005" r:id="rId1985" xr:uid="{966F18B1-9C8E-42C0-BEE5-7E7B2339F655}"/>
    <hyperlink ref="N1006" r:id="rId1986" xr:uid="{142958B0-731C-448A-9ECC-2EAB0D7A39B6}"/>
    <hyperlink ref="N1007" r:id="rId1987" xr:uid="{4B64AE5F-6F9B-41DD-9C79-1639A31660C4}"/>
    <hyperlink ref="N1008" r:id="rId1988" xr:uid="{0998201B-055D-400A-A2E8-588F9D32EF48}"/>
    <hyperlink ref="N1009" r:id="rId1989" xr:uid="{26881511-3895-4A24-9A13-DB19D4BC6F64}"/>
    <hyperlink ref="N1010" r:id="rId1990" xr:uid="{7A9E32F1-ADCF-40B6-B36E-0578D50D98A7}"/>
    <hyperlink ref="N1011" r:id="rId1991" xr:uid="{9CD97B2E-AB73-417F-8BE1-6CA004C30733}"/>
    <hyperlink ref="N1012" r:id="rId1992" xr:uid="{C46A26AE-1E7B-421A-9008-65536CA1DE72}"/>
    <hyperlink ref="P1013" r:id="rId1993" display="https://my.zakupivli.pro/remote/dispatcher/state_purchase_view/59253985" xr:uid="{39052D23-C052-4833-8EEA-6FB1DF2A0435}"/>
    <hyperlink ref="N1013" r:id="rId1994" xr:uid="{19401019-C688-4F4D-BA91-545D4C256BEE}"/>
    <hyperlink ref="P1014" r:id="rId1995" display="https://my.zakupivli.pro/remote/dispatcher/state_purchase_view/59272383" xr:uid="{E7746CDB-F401-4215-B2CA-6A81FF50F2DB}"/>
    <hyperlink ref="P1015" r:id="rId1996" display="https://my.zakupivli.pro/remote/dispatcher/state_purchase_view/59272094" xr:uid="{4C2149C6-5F1E-4E0B-A6C4-585119F8EB91}"/>
    <hyperlink ref="P1016" r:id="rId1997" display="https://my.zakupivli.pro/remote/dispatcher/state_purchase_view/59271749" xr:uid="{351E2C86-009C-48EB-A137-6DD3A5B464BC}"/>
    <hyperlink ref="P1017" r:id="rId1998" display="https://my.zakupivli.pro/remote/dispatcher/state_purchase_view/59271695" xr:uid="{6A7291A6-3D58-408C-B93C-B28F82D8A465}"/>
    <hyperlink ref="N1014" r:id="rId1999" xr:uid="{9F88B4B9-C495-4551-BB67-C10F9C19FC56}"/>
    <hyperlink ref="N1015" r:id="rId2000" xr:uid="{FDA7D9B1-14EE-44FC-ABC5-35BDF2A736FF}"/>
    <hyperlink ref="N1016" r:id="rId2001" xr:uid="{FD44DCCE-5EC4-4DF7-A4E3-9319A2E5BFFC}"/>
    <hyperlink ref="N1017" r:id="rId2002" xr:uid="{EC7BFEC3-F05A-480F-AAA2-6D425047A3AC}"/>
    <hyperlink ref="P1018" r:id="rId2003" display="https://my.zakupivli.pro/remote/dispatcher/state_purchase_view/59328070" xr:uid="{3A68AA5F-5058-4060-BE3D-9E2E9F0FC0E0}"/>
    <hyperlink ref="N1018" r:id="rId2004" xr:uid="{22F7F2A8-44AE-488C-B8F1-B56D47A65B31}"/>
    <hyperlink ref="P1019" r:id="rId2005" display="https://my.zakupivli.pro/remote/dispatcher/state_purchase_view/59361203" xr:uid="{62911BC8-3652-477B-998C-654977664CD2}"/>
    <hyperlink ref="P1020" r:id="rId2006" display="https://my.zakupivli.pro/remote/dispatcher/state_purchase_view/59361064" xr:uid="{2C5B20F3-A06B-4700-ABB4-B0DB4F12EB31}"/>
    <hyperlink ref="P1021" r:id="rId2007" display="https://my.zakupivli.pro/remote/dispatcher/state_purchase_view/59354476" xr:uid="{A8C4A542-DAB4-4706-AECA-AD688C95C792}"/>
    <hyperlink ref="N1019" r:id="rId2008" xr:uid="{55FF9082-75D4-4993-A01F-6003B67804AC}"/>
    <hyperlink ref="N1020" r:id="rId2009" xr:uid="{C1400F6A-2FEE-4700-B109-73E297302ACC}"/>
    <hyperlink ref="N1021" r:id="rId2010" xr:uid="{471D21F7-419D-4314-8773-B9DEAE1A5E1C}"/>
    <hyperlink ref="P1022" r:id="rId2011" display="https://my.zakupivli.pro/remote/dispatcher/state_purchase_view/59372454" xr:uid="{5A921092-C0E6-472F-9F8A-7A99F77591EF}"/>
    <hyperlink ref="P1023" r:id="rId2012" display="https://my.zakupivli.pro/remote/dispatcher/state_purchase_view/59372454" xr:uid="{47458B6C-C12F-42CC-850C-913B8E4EEDF4}"/>
    <hyperlink ref="N1022" r:id="rId2013" xr:uid="{71CCBC93-DB91-4F18-887D-90DE8F6B5C85}"/>
    <hyperlink ref="N1023" r:id="rId2014" xr:uid="{E64E8E9E-CFB2-46D1-997F-BD73ACD74EB9}"/>
    <hyperlink ref="P1024" r:id="rId2015" display="https://my.zakupivli.pro/remote/dispatcher/state_purchase_view/59464900" xr:uid="{ECD1C2C3-EDDD-4D7E-9A2F-796F10C40972}"/>
    <hyperlink ref="P1025" r:id="rId2016" display="https://my.zakupivli.pro/remote/dispatcher/state_purchase_view/59464876" xr:uid="{3D3CF0FE-0104-4D30-BE7F-77AE5E0F88C9}"/>
    <hyperlink ref="P1026" r:id="rId2017" display="https://my.zakupivli.pro/remote/dispatcher/state_purchase_view/59464736" xr:uid="{9D8C89DC-2E55-48B1-BC1F-465397ECC4CE}"/>
    <hyperlink ref="N1024" r:id="rId2018" xr:uid="{AC8F4913-424E-4A3C-862F-8336A835F9FC}"/>
    <hyperlink ref="N1025" r:id="rId2019" xr:uid="{47CE3A48-2717-4FCE-9764-10DF2A422821}"/>
    <hyperlink ref="N1026" r:id="rId2020" xr:uid="{158FB6D5-E8DD-4383-9E55-5102C7C279DA}"/>
    <hyperlink ref="P1027" r:id="rId2021" display="https://my.zakupivli.pro/remote/dispatcher/state_purchase_view/59518976" xr:uid="{3452DC82-83C0-4ACF-8975-BF25E7EBF32C}"/>
    <hyperlink ref="N1027" r:id="rId2022" xr:uid="{2144C5B8-0217-4C4F-AD5C-4C1D49E9DF20}"/>
    <hyperlink ref="P1028" r:id="rId2023" display="https://my.zakupivli.pro/remote/dispatcher/state_purchase_view/59543384" xr:uid="{CF89169D-4191-4F87-98DF-2DEDE122E189}"/>
    <hyperlink ref="P1029" r:id="rId2024" display="https://my.zakupivli.pro/remote/dispatcher/state_purchase_view/59526001" xr:uid="{9E20D386-07A0-4B55-8E9E-64A1F1CEEA36}"/>
    <hyperlink ref="P1030" r:id="rId2025" display="https://my.zakupivli.pro/remote/dispatcher/state_purchase_view/59525958" xr:uid="{5922132A-5D1A-4A13-ACAE-43A5D5AC9CAC}"/>
    <hyperlink ref="N1028" r:id="rId2026" xr:uid="{198C386D-FD4B-45D7-B7AA-8A4FE94A8087}"/>
    <hyperlink ref="N1029" r:id="rId2027" xr:uid="{A714EC6E-69DC-46CD-AEF4-87264B447D59}"/>
    <hyperlink ref="N1030" r:id="rId2028" xr:uid="{D0CA7878-153A-4F22-B398-F239E732CDF8}"/>
    <hyperlink ref="P1031" r:id="rId2029" display="https://my.zakupivli.pro/remote/dispatcher/state_purchase_view/59578825" xr:uid="{2B581A01-FD13-41F8-A6B3-E7B659967DA2}"/>
    <hyperlink ref="N1031" r:id="rId2030" xr:uid="{EB0CD3A2-44A4-41BE-9976-53FA84894C73}"/>
    <hyperlink ref="P1032" r:id="rId2031" display="https://my.zakupivli.pro/remote/dispatcher/state_purchase_view/59596873" xr:uid="{288743E7-513F-47B5-ACF3-597F22AAA3F6}"/>
    <hyperlink ref="N1032" r:id="rId2032" xr:uid="{BD68212C-9C2F-428A-9E67-EB27ED2F2EAA}"/>
    <hyperlink ref="P1033" r:id="rId2033" display="https://my.zakupivli.pro/remote/dispatcher/state_purchase_view/59641745" xr:uid="{E1F7B71E-AA17-4EE4-8AD1-32992A97C297}"/>
    <hyperlink ref="N1033" r:id="rId2034" xr:uid="{0CABCA00-8745-45C9-8BF7-212EEE4F1631}"/>
    <hyperlink ref="P1034" r:id="rId2035" display="https://my.zakupivli.pro/remote/dispatcher/state_purchase_view/59662837" xr:uid="{9260EBF9-E822-46B4-8F1F-B176D9337D71}"/>
    <hyperlink ref="N1034" r:id="rId2036" xr:uid="{9443F2C5-98C1-4A82-B650-86041012578C}"/>
    <hyperlink ref="P1035" r:id="rId2037" display="https://my.zakupivli.pro/remote/dispatcher/state_purchase_view/59692478" xr:uid="{332E5C37-4854-4DFE-9AA3-59049904D9B0}"/>
    <hyperlink ref="P1036" r:id="rId2038" display="https://my.zakupivli.pro/remote/dispatcher/state_purchase_view/59688234" xr:uid="{877332C7-0D5E-4BEC-912C-5D694EB1BE67}"/>
    <hyperlink ref="N1035" r:id="rId2039" xr:uid="{E186005E-A6A0-4DA4-BE63-9B300C345AC2}"/>
    <hyperlink ref="N1036" r:id="rId2040" xr:uid="{96479D3B-D637-420B-AD59-4DFF04943CA1}"/>
    <hyperlink ref="P1037" r:id="rId2041" display="https://my.zakupivli.pro/remote/dispatcher/state_purchase_view/59713132" xr:uid="{B72E0577-5F8D-46AF-AA5F-7C62929180A5}"/>
    <hyperlink ref="N1037" r:id="rId2042" xr:uid="{6BEF54B1-6647-421D-9FC4-7A201BC3B883}"/>
    <hyperlink ref="P1038" r:id="rId2043" display="https://my.zakupivli.pro/remote/dispatcher/state_purchase_view/59790031" xr:uid="{83E893EF-B50C-47A4-994A-2296A84879FF}"/>
    <hyperlink ref="P1039" r:id="rId2044" display="https://my.zakupivli.pro/remote/dispatcher/state_purchase_view/59778258" xr:uid="{3FDCE25F-FA29-443D-A4A6-5DBBB9FE3682}"/>
    <hyperlink ref="P1040" r:id="rId2045" display="https://my.zakupivli.pro/remote/dispatcher/state_purchase_view/59778119" xr:uid="{A41D16B4-FE57-42CD-B83D-EBAB2F249997}"/>
    <hyperlink ref="P1041" r:id="rId2046" display="https://my.zakupivli.pro/remote/dispatcher/state_purchase_view/59777997" xr:uid="{824DCCF4-2420-4899-BCB1-38734CFF99B0}"/>
    <hyperlink ref="N1038" r:id="rId2047" xr:uid="{083C075B-3A54-4A52-86E1-2B7EFA54DB92}"/>
    <hyperlink ref="N1039" r:id="rId2048" xr:uid="{938EAB6D-1947-46F0-8F1D-3CCB914FEF6E}"/>
    <hyperlink ref="N1040" r:id="rId2049" xr:uid="{BFA1DBF9-9022-46E2-9DC7-52DC2EA1DCEC}"/>
    <hyperlink ref="N1041" r:id="rId2050" xr:uid="{5FED89F6-700C-4528-B17C-7594BBC3007C}"/>
    <hyperlink ref="P1042" r:id="rId2051" display="https://my.zakupivli.pro/remote/dispatcher/state_purchase_view/59851810" xr:uid="{0D56A361-19FE-4A84-B31D-B1D8676E4107}"/>
    <hyperlink ref="P1043" r:id="rId2052" display="https://my.zakupivli.pro/remote/dispatcher/state_purchase_view/59851081" xr:uid="{C17C8DA9-08BC-4E80-B76F-F61FE88EBC05}"/>
    <hyperlink ref="N1042" r:id="rId2053" xr:uid="{A40ECC81-E695-4323-9BD1-3FFCFEA99691}"/>
    <hyperlink ref="N1043" r:id="rId2054" xr:uid="{64A0592C-9856-4F40-977A-EF2AC3E79830}"/>
    <hyperlink ref="N1044" r:id="rId2055" xr:uid="{CDF94B0E-318B-45EE-996E-F5E7C53F23DC}"/>
    <hyperlink ref="P1044" r:id="rId2056" display="https://my.zakupivli.pro/remote/dispatcher/state_purchase_view/59869236" xr:uid="{61E00504-98B5-4B3B-BC62-D0852A1493F2}"/>
    <hyperlink ref="P1045" r:id="rId2057" display="https://my.zakupivli.pro/remote/dispatcher/state_purchase_view/59864438" xr:uid="{5D9477B9-2296-4C9D-BC34-85D3870301EC}"/>
    <hyperlink ref="N1045" r:id="rId2058" xr:uid="{4F1383EE-A05A-4904-8EE9-AE226D260763}"/>
    <hyperlink ref="P1046" r:id="rId2059" display="https://my.zakupivli.pro/remote/dispatcher/state_purchase_view/59904811" xr:uid="{6080BB22-0247-4F17-8BD2-742322B5B18B}"/>
    <hyperlink ref="P1047" r:id="rId2060" display="https://my.zakupivli.pro/remote/dispatcher/state_purchase_view/59900219" xr:uid="{B5601B76-AE35-48DE-A40A-427C43923D8B}"/>
    <hyperlink ref="P1048" r:id="rId2061" display="https://my.zakupivli.pro/remote/dispatcher/state_purchase_view/59899840" xr:uid="{D30B7D20-900F-4793-888E-2B7C21A0AE00}"/>
    <hyperlink ref="P1049" r:id="rId2062" display="https://my.zakupivli.pro/remote/dispatcher/state_purchase_view/59899535" xr:uid="{09A97715-8A13-4491-B68A-163B7D433CF7}"/>
    <hyperlink ref="N1046" r:id="rId2063" xr:uid="{2B604CF3-8C82-46E9-B99C-88377CA60726}"/>
    <hyperlink ref="N1047" r:id="rId2064" xr:uid="{645D9959-2B2D-4E6F-B0B1-A2A3849B89DB}"/>
    <hyperlink ref="N1048" r:id="rId2065" xr:uid="{52A28351-9EF3-4FDF-A58D-A1789855921E}"/>
    <hyperlink ref="N1049" r:id="rId2066" xr:uid="{4D796333-93FB-4067-B88D-DF2BBAD4AC63}"/>
    <hyperlink ref="P1050" r:id="rId2067" display="https://my.zakupivli.pro/remote/dispatcher/state_purchase_view/59941982" xr:uid="{F1B34852-D099-4AEA-8F38-B91718DCF756}"/>
    <hyperlink ref="P1051" r:id="rId2068" display="https://my.zakupivli.pro/remote/dispatcher/state_purchase_view/59941599" xr:uid="{0C5C5F50-3ABA-4332-9D8A-26BF896C98D2}"/>
    <hyperlink ref="N1050" r:id="rId2069" xr:uid="{EB204B96-6D29-4E54-BCEB-3C8C252195DE}"/>
    <hyperlink ref="N1051" r:id="rId2070" xr:uid="{DA99439B-01E1-4CBC-8BD6-B47D3DBCFE98}"/>
    <hyperlink ref="P1052" r:id="rId2071" display="https://my.zakupivli.pro/remote/dispatcher/state_purchase_view/60071327" xr:uid="{4AB56FF3-47A7-47A5-9AC7-294BB19DD207}"/>
    <hyperlink ref="P1053" r:id="rId2072" display="https://my.zakupivli.pro/remote/dispatcher/state_purchase_view/60070202" xr:uid="{954E5BCE-CF44-471C-93E3-FDEC98B1405C}"/>
    <hyperlink ref="P1054" r:id="rId2073" display="https://my.zakupivli.pro/remote/dispatcher/state_purchase_view/60068731" xr:uid="{5CA7D5F6-7E1B-4E99-9E86-7E002766DD83}"/>
    <hyperlink ref="P1055" r:id="rId2074" display="https://my.zakupivli.pro/remote/dispatcher/state_purchase_view/60068496" xr:uid="{7761815C-AF8D-4170-BD60-5AA71B09D70E}"/>
    <hyperlink ref="P1056" r:id="rId2075" display="https://my.zakupivli.pro/remote/dispatcher/state_purchase_view/60064231" xr:uid="{AF69FDAC-04AB-4869-9C93-5D57321D47D5}"/>
    <hyperlink ref="P1057" r:id="rId2076" display="https://my.zakupivli.pro/remote/dispatcher/state_purchase_view/60063461" xr:uid="{FA4BCC9E-ED6C-4416-BA0B-42B475980ED4}"/>
    <hyperlink ref="P1058" r:id="rId2077" display="https://my.zakupivli.pro/remote/dispatcher/state_purchase_view/60062964" xr:uid="{A55C6069-409C-45E3-9774-C1A29F786418}"/>
    <hyperlink ref="P1059" r:id="rId2078" display="https://my.zakupivli.pro/remote/dispatcher/state_purchase_view/60047891" xr:uid="{82D4F40D-811A-4397-9ED5-8BF44454150D}"/>
    <hyperlink ref="P1060" r:id="rId2079" display="https://my.zakupivli.pro/remote/dispatcher/state_purchase_view/60047433" xr:uid="{929DE5AD-6F2B-4C46-8D3F-489613CFBC9C}"/>
    <hyperlink ref="P1061" r:id="rId2080" display="https://my.zakupivli.pro/remote/dispatcher/state_purchase_view/60044483" xr:uid="{F366744D-94DD-4618-BADB-31003435F766}"/>
    <hyperlink ref="P1062" r:id="rId2081" display="https://my.zakupivli.pro/remote/dispatcher/state_purchase_view/60044375" xr:uid="{A4A22018-9D14-4C13-8404-BE92D23CC4A2}"/>
    <hyperlink ref="P1063" r:id="rId2082" display="https://my.zakupivli.pro/remote/dispatcher/state_purchase_view/60044361" xr:uid="{D8FE11C7-3CDF-4190-A3A2-7771CD58C0FC}"/>
    <hyperlink ref="P1064" r:id="rId2083" display="https://my.zakupivli.pro/remote/dispatcher/state_purchase_view/60044037" xr:uid="{8C5318A1-22C0-44A5-8776-10BE08C68942}"/>
    <hyperlink ref="N1052" r:id="rId2084" xr:uid="{40928A83-1027-40C4-8320-2391B607FE75}"/>
    <hyperlink ref="N1053" r:id="rId2085" xr:uid="{121F603A-A9E0-48C3-B2F1-5561D515BF26}"/>
    <hyperlink ref="N1054" r:id="rId2086" xr:uid="{41EB5ED0-7BA9-4B99-B19E-7FC362251587}"/>
    <hyperlink ref="N1055" r:id="rId2087" xr:uid="{6A078221-576A-41A6-AB93-9DEF74F3743F}"/>
    <hyperlink ref="N1056" r:id="rId2088" xr:uid="{B715C837-563A-459B-873F-5F4A44D4A72B}"/>
    <hyperlink ref="N1057" r:id="rId2089" xr:uid="{E73ACC75-C0E1-4897-B916-E064EE56F55F}"/>
    <hyperlink ref="N1058" r:id="rId2090" xr:uid="{FE52E33E-F8F4-47DE-B158-CFC7AF17AF5B}"/>
    <hyperlink ref="N1059" r:id="rId2091" xr:uid="{A359EC13-DB9A-4DBE-A78D-227293F94BF8}"/>
    <hyperlink ref="N1060" r:id="rId2092" xr:uid="{8AD2EF8D-20BC-4C05-A743-5CE2C1E3D84F}"/>
    <hyperlink ref="N1061" r:id="rId2093" xr:uid="{B7D63338-EBD4-4D27-9313-761E97DC8A78}"/>
    <hyperlink ref="N1062" r:id="rId2094" xr:uid="{C2D9EAA6-3730-4EFA-A58A-6ABB1727FD29}"/>
    <hyperlink ref="N1063" r:id="rId2095" xr:uid="{1021C1D4-A19E-4DAD-9B65-B66609C0D634}"/>
    <hyperlink ref="N1064" r:id="rId2096" xr:uid="{0DD61F22-5D79-47C8-B718-2FBEE296D19D}"/>
    <hyperlink ref="P1065" r:id="rId2097" display="https://my.zakupivli.pro/remote/dispatcher/state_purchase_view/60193887" xr:uid="{88DF3559-A186-45C9-8C52-FD5AD4FAB459}"/>
    <hyperlink ref="P1066" r:id="rId2098" display="https://my.zakupivli.pro/remote/dispatcher/state_purchase_view/60193349" xr:uid="{67B8390F-CF82-4769-88D5-AD644BF060E9}"/>
    <hyperlink ref="P1067" r:id="rId2099" display="https://my.zakupivli.pro/remote/dispatcher/state_purchase_view/60193024" xr:uid="{AE66D6FF-3027-4DBD-90D7-D73172549EAB}"/>
    <hyperlink ref="P1068" r:id="rId2100" display="https://my.zakupivli.pro/remote/dispatcher/state_purchase_view/60168545" xr:uid="{0472C5BB-EF4E-47FA-AB2A-FDF28FC7697C}"/>
    <hyperlink ref="N1065" r:id="rId2101" xr:uid="{4CBBBDC6-5F9E-45F3-B34E-F61E3CC04E92}"/>
    <hyperlink ref="N1066" r:id="rId2102" xr:uid="{A2B10D18-5B08-444E-A96F-5B1DB7604591}"/>
    <hyperlink ref="N1067" r:id="rId2103" xr:uid="{6692C7AA-702B-40EF-957E-B0A16E4DE3EA}"/>
    <hyperlink ref="N1068" r:id="rId2104" xr:uid="{D25F2348-9F1D-4626-AD1F-867606D1BD44}"/>
    <hyperlink ref="P1069" r:id="rId2105" display="https://my.zakupivli.pro/remote/dispatcher/state_purchase_view/60216674" xr:uid="{08138C68-C3F8-4A0D-823A-2EB54A0F7185}"/>
    <hyperlink ref="P1070" r:id="rId2106" display="https://my.zakupivli.pro/remote/dispatcher/state_purchase_view/60216127" xr:uid="{ECA70A7A-7EEA-47BF-96D2-757DD27B39E4}"/>
    <hyperlink ref="P1071" r:id="rId2107" display="https://my.zakupivli.pro/remote/dispatcher/state_purchase_view/60215788" xr:uid="{1FFE6DC7-45B0-41D9-B364-AD7F4D1C8B81}"/>
    <hyperlink ref="P1072" r:id="rId2108" display="https://my.zakupivli.pro/remote/dispatcher/state_purchase_view/60215677" xr:uid="{1C3D697F-BEAA-4646-810F-479AB3F61A93}"/>
    <hyperlink ref="P1073" r:id="rId2109" display="https://my.zakupivli.pro/remote/dispatcher/state_purchase_view/60215472" xr:uid="{B6FACFDC-5634-4A4A-9DF8-C8E03920AE7E}"/>
    <hyperlink ref="P1074" r:id="rId2110" display="https://my.zakupivli.pro/remote/dispatcher/state_purchase_view/60215368" xr:uid="{5AF32B3E-727A-4861-A0D1-1B7A38E5F585}"/>
    <hyperlink ref="P1075" r:id="rId2111" display="https://my.zakupivli.pro/remote/dispatcher/state_purchase_view/60215232" xr:uid="{ACFB2F19-600C-4ABF-9A15-D0949BE8C5CA}"/>
    <hyperlink ref="N1069" r:id="rId2112" xr:uid="{B3E86E93-32BB-4AF8-BF30-373EB44E0FEF}"/>
    <hyperlink ref="N1070" r:id="rId2113" xr:uid="{CDBAAE52-139F-4272-8DF8-9AC171E0455D}"/>
    <hyperlink ref="N1071" r:id="rId2114" xr:uid="{B3B7DFFE-7626-444D-89FE-49BAD607711E}"/>
    <hyperlink ref="N1072" r:id="rId2115" xr:uid="{1A3E92C1-87CE-4191-9808-98C705048BFF}"/>
    <hyperlink ref="N1073" r:id="rId2116" xr:uid="{E19541D3-0297-45C2-9764-320FB4CE4954}"/>
    <hyperlink ref="N1074" r:id="rId2117" xr:uid="{BE74488E-CFE7-4AA7-822E-A72CD8A264B9}"/>
    <hyperlink ref="N1075" r:id="rId2118" xr:uid="{DD1D0A86-992A-4B85-B843-E5A9F615ED8A}"/>
    <hyperlink ref="P1076" r:id="rId2119" display="https://my.zakupivli.pro/remote/dispatcher/state_purchase_view/60238175" xr:uid="{D880D30B-82C3-47B8-98C3-ACC344EF1FAF}"/>
    <hyperlink ref="P1077" r:id="rId2120" display="https://my.zakupivli.pro/remote/dispatcher/state_purchase_view/60237997" xr:uid="{8C953132-58C7-4E1B-8F20-3F95595FB332}"/>
    <hyperlink ref="P1078" r:id="rId2121" display="https://my.zakupivli.pro/remote/dispatcher/state_purchase_view/60237708" xr:uid="{8D597DE9-4BAB-408C-84A0-099D800F4C50}"/>
    <hyperlink ref="P1079" r:id="rId2122" display="https://my.zakupivli.pro/remote/dispatcher/state_purchase_view/60237438" xr:uid="{ADE3681B-85FF-4263-BD28-917C017D2091}"/>
    <hyperlink ref="P1080" r:id="rId2123" display="https://my.zakupivli.pro/remote/dispatcher/state_purchase_view/60237216" xr:uid="{8A2ABA63-8BFB-4F5C-A608-B11933D87B51}"/>
    <hyperlink ref="N1076" r:id="rId2124" xr:uid="{CF68A155-27DD-4BBC-8B3F-CC8536226363}"/>
    <hyperlink ref="N1077" r:id="rId2125" xr:uid="{A03E9B72-92D6-48FF-8E8C-A1F9E9725A83}"/>
    <hyperlink ref="N1078" r:id="rId2126" xr:uid="{CB9CBA9B-45ED-405C-96FF-344E572E9F26}"/>
    <hyperlink ref="N1079" r:id="rId2127" xr:uid="{0D456215-54B7-4EE3-9375-344A2C3ED17F}"/>
    <hyperlink ref="N1080" r:id="rId2128" xr:uid="{0E52CF2E-112D-4AB7-B2A4-177ABB047C23}"/>
    <hyperlink ref="P1081" r:id="rId2129" display="https://my.zakupivli.pro/remote/dispatcher/state_purchase_view/60270749" xr:uid="{4BC0A4E2-BE36-4137-AE03-C90CDC023FA3}"/>
    <hyperlink ref="P1082" r:id="rId2130" display="https://my.zakupivli.pro/remote/dispatcher/state_purchase_view/60265394" xr:uid="{DFD0C527-8043-49B3-BCB2-EBEAA54E695F}"/>
    <hyperlink ref="P1083" r:id="rId2131" display="https://my.zakupivli.pro/remote/dispatcher/state_purchase_view/60263803" xr:uid="{D460BBC7-709C-4763-B556-6550EDF1BDBC}"/>
    <hyperlink ref="N1081" r:id="rId2132" xr:uid="{AD2679CC-F66C-4803-AAE2-3075DD4A0469}"/>
    <hyperlink ref="N1082" r:id="rId2133" xr:uid="{D067FC5F-BD94-42A4-AD6E-59049C1F7138}"/>
    <hyperlink ref="N1083" r:id="rId2134" xr:uid="{54119B9A-BCE9-4C81-9E28-A308D3B86587}"/>
    <hyperlink ref="P1084" r:id="rId2135" display="https://my.zakupivli.pro/remote/dispatcher/state_purchase_view/60294015" xr:uid="{442BFB73-D7D7-487C-AAF7-3F0A8BE6903D}"/>
    <hyperlink ref="P1085" r:id="rId2136" display="https://my.zakupivli.pro/remote/dispatcher/state_purchase_view/60293760" xr:uid="{84B52C2D-7C9B-4320-85B6-25A3FCD496B6}"/>
    <hyperlink ref="P1086" r:id="rId2137" display="https://my.zakupivli.pro/remote/dispatcher/state_purchase_view/60293316" xr:uid="{3C77B3BD-07B2-48BB-BB14-A52047E9FC71}"/>
    <hyperlink ref="P1087" r:id="rId2138" display="https://my.zakupivli.pro/remote/dispatcher/state_purchase_view/60293182" xr:uid="{D3DBD320-8618-4D3A-834F-B36AF01DD98F}"/>
    <hyperlink ref="P1088" r:id="rId2139" display="https://my.zakupivli.pro/remote/dispatcher/state_purchase_view/60292907" xr:uid="{53003FB4-7CF9-4943-8364-4D681CFB6D51}"/>
    <hyperlink ref="N1084" r:id="rId2140" xr:uid="{E2E8854F-C018-4214-967C-EEF2CA3D9633}"/>
    <hyperlink ref="N1085" r:id="rId2141" xr:uid="{DF83ECE9-FFA3-43D3-B2B2-CFDD68476DE7}"/>
    <hyperlink ref="N1086" r:id="rId2142" xr:uid="{52EEBD45-1D2F-472C-8C40-21D2614777EC}"/>
    <hyperlink ref="N1087" r:id="rId2143" xr:uid="{FEB45850-0DFE-4804-BB91-F4DB5F0AD82F}"/>
    <hyperlink ref="N1088" r:id="rId2144" xr:uid="{CA3FC48E-69FF-439B-B2E9-C2C24F3FEE76}"/>
    <hyperlink ref="P1089" r:id="rId2145" display="https://my.zakupivli.pro/remote/dispatcher/state_purchase_view/60342656" xr:uid="{40FB0B63-6DDC-45DD-A3FC-5615BF4D5E62}"/>
    <hyperlink ref="P1090" r:id="rId2146" display="https://my.zakupivli.pro/remote/dispatcher/state_purchase_view/60341421" xr:uid="{74B65979-C96B-439B-85E7-6C7F11FCCC73}"/>
    <hyperlink ref="P1091" r:id="rId2147" display="https://my.zakupivli.pro/remote/dispatcher/state_purchase_view/60340885" xr:uid="{6511EB41-AE6C-4BA2-801A-B7EBED80F75E}"/>
    <hyperlink ref="N1089" r:id="rId2148" xr:uid="{207F2E7C-91EF-425C-8CDD-577E1960D87B}"/>
    <hyperlink ref="N1090" r:id="rId2149" xr:uid="{F6D7C1D0-01DA-4C99-B382-B4390164F304}"/>
    <hyperlink ref="N1091" r:id="rId2150" xr:uid="{0E8F54C9-3E64-413D-B2D7-80782323EE04}"/>
    <hyperlink ref="N1092" r:id="rId2151" xr:uid="{39628DE2-50EB-488C-B756-133D60EDF7EE}"/>
    <hyperlink ref="P1092" r:id="rId2152" display="https://my.zakupivli.pro/remote/dispatcher/state_purchase_view/60439056" xr:uid="{D23FFA61-7180-4F39-9B03-F469745AE5F4}"/>
    <hyperlink ref="P1093" r:id="rId2153" display="https://my.zakupivli.pro/remote/dispatcher/state_purchase_view/60505517" xr:uid="{2F5D9748-642D-4AC6-AA8A-0A87D3E08F41}"/>
    <hyperlink ref="N1093" r:id="rId2154" xr:uid="{56240732-0601-48E1-9E07-379940702A1B}"/>
    <hyperlink ref="P1094" r:id="rId2155" display="https://my.zakupivli.pro/remote/dispatcher/state_purchase_view/60535635" xr:uid="{BF2565BC-920E-436B-9F8C-C70D199A5C79}"/>
    <hyperlink ref="P1095" r:id="rId2156" display="https://my.zakupivli.pro/remote/dispatcher/state_purchase_view/60535374" xr:uid="{46ECD4A0-49D8-4202-8557-53659B6357C5}"/>
    <hyperlink ref="P1096" r:id="rId2157" display="https://my.zakupivli.pro/remote/dispatcher/state_purchase_view/60535125" xr:uid="{84EB2AA2-6BC2-44FB-945E-7B35661912E3}"/>
    <hyperlink ref="P1097" r:id="rId2158" display="https://my.zakupivli.pro/remote/dispatcher/state_purchase_view/60534949" xr:uid="{F02B73FB-160B-4509-8436-3B43F6ED3910}"/>
    <hyperlink ref="N1094" r:id="rId2159" xr:uid="{0FD5EF09-4340-4C66-86DC-C4378DC9A7AD}"/>
    <hyperlink ref="N1095" r:id="rId2160" xr:uid="{21BFB08D-DCD3-4FDF-9146-3BF53C9E904C}"/>
    <hyperlink ref="N1096" r:id="rId2161" xr:uid="{FB027AFB-A70C-4D1A-89FF-4868F0BB6A16}"/>
    <hyperlink ref="N1097" r:id="rId2162" xr:uid="{31DECE65-D5A7-46E9-9647-69593A11FA96}"/>
    <hyperlink ref="P1098" r:id="rId2163" display="https://my.zakupivli.pro/remote/dispatcher/state_purchase_view/60540211" xr:uid="{B3EB3D7E-6D5C-4D68-A9D3-FE50DA5B1331}"/>
    <hyperlink ref="P1099" r:id="rId2164" display="https://my.zakupivli.pro/remote/dispatcher/state_purchase_view/60539749" xr:uid="{AE1DAA55-146D-4FF9-AB17-B6EFE4A501B4}"/>
    <hyperlink ref="P1100" r:id="rId2165" display="https://my.zakupivli.pro/remote/dispatcher/state_purchase_view/60539705" xr:uid="{933474D5-1FC6-455E-958D-9447FFD38FC6}"/>
    <hyperlink ref="N1098" r:id="rId2166" xr:uid="{46EDFB31-8DB2-4440-BD29-1D38B2026A07}"/>
    <hyperlink ref="N1099" r:id="rId2167" xr:uid="{6B88C7E7-23E3-4561-BE52-86611C10C39B}"/>
    <hyperlink ref="N1100" r:id="rId2168" xr:uid="{910360C4-F3FF-4ACA-A7B7-D7427B3FA743}"/>
    <hyperlink ref="P1101" r:id="rId2169" display="https://my.zakupivli.pro/remote/dispatcher/state_purchase_view/60601688" xr:uid="{680E1E2F-043D-4767-9C81-75CC545BB5DF}"/>
    <hyperlink ref="P1102" r:id="rId2170" display="https://my.zakupivli.pro/remote/dispatcher/state_purchase_view/60601653" xr:uid="{B0E82D06-C66B-47A2-9A84-40DFAEA78B17}"/>
    <hyperlink ref="N1101" r:id="rId2171" xr:uid="{EB1E6B37-D30D-4178-836F-A376ABDCAB5E}"/>
    <hyperlink ref="N1102" r:id="rId2172" xr:uid="{8C6B8B90-9644-41E9-9A3B-604866F22AE6}"/>
    <hyperlink ref="P1103" r:id="rId2173" display="https://my.zakupivli.pro/remote/dispatcher/state_purchase_view/60616351" xr:uid="{D903989A-EBBD-45C9-94FA-64991527E396}"/>
    <hyperlink ref="P1104" r:id="rId2174" display="https://my.zakupivli.pro/remote/dispatcher/state_purchase_view/60616255" xr:uid="{5FFADE1E-23CA-4B22-9157-4095E485CFD0}"/>
    <hyperlink ref="P1105" r:id="rId2175" display="https://my.zakupivli.pro/remote/dispatcher/state_purchase_view/60616244" xr:uid="{5E6F5471-7220-475F-AA02-5C8934A52D40}"/>
    <hyperlink ref="N1103" r:id="rId2176" xr:uid="{8A15A1E7-E3D5-4259-8D95-C4CE0C2CE99E}"/>
    <hyperlink ref="N1104" r:id="rId2177" xr:uid="{F386D1DB-C12E-46EF-AADC-C6148117B6D5}"/>
    <hyperlink ref="N1105" r:id="rId2178" xr:uid="{09C20C8A-012C-42AB-B409-810F2EDA628C}"/>
    <hyperlink ref="P1106" r:id="rId2179" display="https://my.zakupivli.pro/remote/dispatcher/state_purchase_view/60641481" xr:uid="{B824D4F7-8EE3-403D-B1FA-3A6DF63AF7D6}"/>
    <hyperlink ref="N1106" r:id="rId2180" xr:uid="{12D7B1B8-FAC0-4F8C-9B56-5E6681B60094}"/>
    <hyperlink ref="P1107" r:id="rId2181" display="https://my.zakupivli.pro/remote/dispatcher/state_purchase_view/60773263" xr:uid="{92B70335-E5D8-499E-BB96-02E18959D260}"/>
    <hyperlink ref="N1107" r:id="rId2182" xr:uid="{CB57E3DF-837B-485C-A2C0-29F002EE5DAD}"/>
    <hyperlink ref="P1108" r:id="rId2183" display="https://my.zakupivli.pro/remote/dispatcher/state_purchase_view/60781506" xr:uid="{EBA2E3DC-0944-4881-8756-CFAD7F473D6C}"/>
    <hyperlink ref="N1108" r:id="rId2184" xr:uid="{F739037A-6E08-4825-B38E-C95CDA5A8AE8}"/>
    <hyperlink ref="P1109" r:id="rId2185" display="https://my.zakupivli.pro/remote/dispatcher/state_purchase_view/60853228" xr:uid="{3B5CC55E-6609-4D78-BF9A-01BE2DD24D46}"/>
    <hyperlink ref="P1110" r:id="rId2186" display="https://my.zakupivli.pro/remote/dispatcher/state_purchase_view/60853219" xr:uid="{AAE14FAC-9700-48CD-9E0C-BF65EE2D36AD}"/>
    <hyperlink ref="P1111" r:id="rId2187" display="https://my.zakupivli.pro/remote/dispatcher/state_purchase_view/60852937" xr:uid="{149AFCB2-B031-43E0-9349-28AB3690BD51}"/>
    <hyperlink ref="N1109" r:id="rId2188" xr:uid="{381267BF-0416-404B-9ABD-AEB9FE6409A3}"/>
    <hyperlink ref="N1110" r:id="rId2189" xr:uid="{F6F826BF-4281-4FE5-8AE2-D44C90A7D3A8}"/>
    <hyperlink ref="N1111" r:id="rId2190" xr:uid="{B39A8B54-55D4-4C09-BEB9-B622AE07E570}"/>
    <hyperlink ref="P1112" r:id="rId2191" display="https://my.zakupivli.pro/remote/dispatcher/state_purchase_view/60904735" xr:uid="{32702233-BFCE-4452-AA9E-8CB53D7D5077}"/>
    <hyperlink ref="P1113" r:id="rId2192" display="https://my.zakupivli.pro/remote/dispatcher/state_purchase_view/60904345" xr:uid="{A1B588A3-7928-4599-8EE5-F4B5B70B168C}"/>
    <hyperlink ref="P1114" r:id="rId2193" display="https://my.zakupivli.pro/remote/dispatcher/state_purchase_view/60904191" xr:uid="{118D92C4-40E7-4EC7-B08D-1AF29F77EB19}"/>
    <hyperlink ref="P1115" r:id="rId2194" display="https://my.zakupivli.pro/remote/dispatcher/state_purchase_view/60904007" xr:uid="{4F023AE2-3B00-47EE-9B03-780116B24428}"/>
    <hyperlink ref="P1116" r:id="rId2195" display="https://my.zakupivli.pro/remote/dispatcher/state_purchase_view/60891328" xr:uid="{1D1E358E-3CAA-4790-8ED7-AFD9C1087E76}"/>
    <hyperlink ref="N1112" r:id="rId2196" xr:uid="{5E90B6D8-1EAB-43A6-8185-631535CBB7DC}"/>
    <hyperlink ref="N1113" r:id="rId2197" xr:uid="{A8283D5F-CDF5-4608-8D56-274762177A00}"/>
    <hyperlink ref="N1114" r:id="rId2198" xr:uid="{47A9BD77-59ED-4C50-B5CA-5280D8B7E526}"/>
    <hyperlink ref="N1115" r:id="rId2199" xr:uid="{A413BD3E-CFE2-4968-BA81-F94E6CD0B7EA}"/>
    <hyperlink ref="N1116" r:id="rId2200" xr:uid="{D986325D-666C-4552-8CED-769408364014}"/>
    <hyperlink ref="P1117" r:id="rId2201" display="https://my.zakupivli.pro/remote/dispatcher/state_purchase_view/60962145" xr:uid="{13C36E79-796D-4FFC-AF4B-78A9D7E71665}"/>
    <hyperlink ref="P1118" r:id="rId2202" display="https://my.zakupivli.pro/remote/dispatcher/state_purchase_view/60961942" xr:uid="{B8304C83-BAEF-400B-8681-50EC4DECFD29}"/>
    <hyperlink ref="P1119" r:id="rId2203" display="https://my.zakupivli.pro/remote/dispatcher/state_purchase_view/60961667" xr:uid="{455E77A2-99F2-4154-B691-1433FA34DE9E}"/>
    <hyperlink ref="N1117" r:id="rId2204" xr:uid="{96AC4F81-ADB3-499A-A0BF-3CF09CF05BF5}"/>
    <hyperlink ref="N1118" r:id="rId2205" xr:uid="{CA6418CA-2EE2-415A-AD3D-E7F2B8CA20EB}"/>
    <hyperlink ref="N1119" r:id="rId2206" xr:uid="{B83E0219-D3BB-43AA-8283-AE7C77646925}"/>
    <hyperlink ref="P1120" r:id="rId2207" display="https://my.zakupivli.pro/remote/dispatcher/state_purchase_view/60983117" xr:uid="{6878EA6E-D2FA-43B3-BA11-8FB790D3921F}"/>
    <hyperlink ref="P1121" r:id="rId2208" display="https://my.zakupivli.pro/remote/dispatcher/state_purchase_view/60973872" xr:uid="{AE7A377D-B560-4212-BA6B-67F555CF2FD7}"/>
    <hyperlink ref="P1122" r:id="rId2209" display="https://my.zakupivli.pro/remote/dispatcher/state_purchase_view/60971624" xr:uid="{9C884905-EA44-453E-9968-4E5757CC9833}"/>
    <hyperlink ref="P1123" r:id="rId2210" display="https://my.zakupivli.pro/remote/dispatcher/state_purchase_view/60969813" xr:uid="{17F2C740-9C22-44E2-B698-FC7A92284678}"/>
    <hyperlink ref="N1120" r:id="rId2211" xr:uid="{553CC2ED-5CC1-4047-BD51-54374C67EFF0}"/>
    <hyperlink ref="N1121" r:id="rId2212" xr:uid="{CC17CE21-FF3A-462E-8B8D-C74BF90D64B6}"/>
    <hyperlink ref="N1122" r:id="rId2213" xr:uid="{AFC9031B-EEE7-4E4C-B5A9-F5623E702884}"/>
    <hyperlink ref="N1123" r:id="rId2214" xr:uid="{987FA196-88A7-4247-AB10-3B44763F4568}"/>
    <hyperlink ref="P1124" r:id="rId2215" display="https://my.zakupivli.pro/remote/dispatcher/state_purchase_view/61011521" xr:uid="{480D266D-9492-4845-A678-2A9BFF7781C4}"/>
    <hyperlink ref="P1125" r:id="rId2216" display="https://my.zakupivli.pro/remote/dispatcher/state_purchase_view/61011379" xr:uid="{6FC5F5B4-9288-4D32-A551-129B737BBD11}"/>
    <hyperlink ref="P1126" r:id="rId2217" display="https://my.zakupivli.pro/remote/dispatcher/state_purchase_view/60998951" xr:uid="{77FFA60B-0685-4AB6-8DCB-EF85B19EE349}"/>
    <hyperlink ref="N1124" r:id="rId2218" xr:uid="{8E33C724-A23E-4C1B-B811-A23420380EA0}"/>
    <hyperlink ref="N1125" r:id="rId2219" xr:uid="{643180AF-2D1F-406D-8E85-1DA0EB8B466D}"/>
    <hyperlink ref="N1126" r:id="rId2220" xr:uid="{C1EA3D28-39F9-434F-9FCB-10B11C17EC51}"/>
    <hyperlink ref="P1127" r:id="rId2221" display="https://my.zakupivli.pro/remote/dispatcher/state_purchase_view/61014811" xr:uid="{E719F63D-A814-418B-B21B-C5E60F1203A6}"/>
    <hyperlink ref="N1127" r:id="rId2222" xr:uid="{E9B64AD5-C53A-4FA4-976E-1FCB27998B18}"/>
    <hyperlink ref="P1128" r:id="rId2223" display="https://my.zakupivli.pro/remote/dispatcher/state_purchase_view/61050178" xr:uid="{8792129C-F769-4382-88F9-E902D604734C}"/>
    <hyperlink ref="P1129" r:id="rId2224" display="https://my.zakupivli.pro/remote/dispatcher/state_purchase_view/61049183" xr:uid="{CE9B6B2E-8EE0-4761-8D82-058995D87C44}"/>
    <hyperlink ref="N1128" r:id="rId2225" xr:uid="{F29FD7E8-FB0F-4BF3-A51F-76CBC10E3C64}"/>
    <hyperlink ref="N1129" r:id="rId2226" xr:uid="{A16620DA-7C0A-4926-BD36-ABE9FA3D0A02}"/>
    <hyperlink ref="P1130" r:id="rId2227" display="https://my.zakupivli.pro/remote/dispatcher/state_purchase_view/61077928" xr:uid="{FD6664C5-3588-4186-AC0F-C682294E8CF7}"/>
    <hyperlink ref="N1130" r:id="rId2228" xr:uid="{B4C968C6-61E8-4AD9-B22F-EF456B5FAF1C}"/>
    <hyperlink ref="P1131" r:id="rId2229" display="https://my.zakupivli.pro/remote/dispatcher/state_purchase_view/61130931" xr:uid="{1A588094-AABC-4364-9D25-893630E4515F}"/>
    <hyperlink ref="P1132" r:id="rId2230" display="https://my.zakupivli.pro/remote/dispatcher/state_purchase_view/61130826" xr:uid="{AD669D7C-9549-45A9-9AB5-7BD8C16EB01B}"/>
    <hyperlink ref="P1133" r:id="rId2231" display="https://my.zakupivli.pro/remote/dispatcher/state_purchase_view/61122012" xr:uid="{6328A2AE-6972-4FF3-B5C4-DD5CBD71DDE6}"/>
    <hyperlink ref="N1131" r:id="rId2232" xr:uid="{BB1DD470-A9DA-4441-B726-96D3DDFE5272}"/>
    <hyperlink ref="N1132" r:id="rId2233" xr:uid="{BF9FB71C-1CCB-4C7B-A5E4-8D0D6B6C7DEB}"/>
    <hyperlink ref="N1133" r:id="rId2234" xr:uid="{354F7649-6FF3-4F0E-AB3E-F107C867CE1C}"/>
    <hyperlink ref="P1134" r:id="rId2235" display="https://my.zakupivli.pro/remote/dispatcher/state_purchase_view/61158555" xr:uid="{30105B84-A01B-4560-9227-7C70BEEF6DEA}"/>
    <hyperlink ref="P1135" r:id="rId2236" display="https://my.zakupivli.pro/remote/dispatcher/state_purchase_view/61158360" xr:uid="{CF8A3D10-529A-4DE8-83D5-F681419C5603}"/>
    <hyperlink ref="P1136" r:id="rId2237" display="https://my.zakupivli.pro/remote/dispatcher/state_purchase_view/61157905" xr:uid="{8D8A3D75-49EE-4BDB-B9A8-01777E78884B}"/>
    <hyperlink ref="P1137" r:id="rId2238" display="https://my.zakupivli.pro/remote/dispatcher/state_purchase_view/61143988" xr:uid="{747CB972-A5A7-4EBE-B2BD-7B3A49FE53D5}"/>
    <hyperlink ref="P1138" r:id="rId2239" display="https://my.zakupivli.pro/remote/dispatcher/state_purchase_view/61143872" xr:uid="{0E93B4EB-2221-498D-874E-7EE4A5E53DC0}"/>
    <hyperlink ref="N1134" r:id="rId2240" xr:uid="{474C6BA7-0217-41A7-BC6D-8AD750632630}"/>
    <hyperlink ref="N1135" r:id="rId2241" xr:uid="{FD962D6F-13B4-41B2-9173-536ACD1EC674}"/>
    <hyperlink ref="N1136" r:id="rId2242" xr:uid="{7D476279-9C67-433C-8E1E-7609FF2EEBF0}"/>
    <hyperlink ref="N1137" r:id="rId2243" xr:uid="{1177338D-7849-4040-88C6-B6BF024F06F9}"/>
    <hyperlink ref="N1138" r:id="rId2244" xr:uid="{5CC5121B-3483-475F-BBD2-3FDC2D014D5F}"/>
    <hyperlink ref="P1139" r:id="rId2245" display="https://my.zakupivli.pro/remote/dispatcher/state_purchase_view/61224916" xr:uid="{EA6460C9-B859-4D70-94D0-C3FE06B7C9F5}"/>
    <hyperlink ref="N1139" r:id="rId2246" xr:uid="{5F975AB3-A96F-49B4-B3EF-8AE7152501B0}"/>
    <hyperlink ref="P1140" r:id="rId2247" display="https://my.zakupivli.pro/remote/dispatcher/state_purchase_view/61271746" xr:uid="{04F8F471-4EBA-4200-82ED-4EB058329F80}"/>
    <hyperlink ref="P1141" r:id="rId2248" display="https://my.zakupivli.pro/remote/dispatcher/state_purchase_view/61268878" xr:uid="{B5AF2394-74E4-43BD-810D-57481EB90A45}"/>
    <hyperlink ref="P1142" r:id="rId2249" display="https://my.zakupivli.pro/remote/dispatcher/state_purchase_view/61268850" xr:uid="{4CD46EE4-31DB-499B-88B5-8A7BA2D4E4BA}"/>
    <hyperlink ref="N1140" r:id="rId2250" xr:uid="{2C40E20E-D7A9-4F52-87E6-6A716552269D}"/>
    <hyperlink ref="N1141" r:id="rId2251" xr:uid="{E0B37AB1-4867-4D37-9E24-7AA45F19861A}"/>
    <hyperlink ref="N1142" r:id="rId2252" xr:uid="{EE0FD762-09B8-4042-B293-DB44571DBE6C}"/>
    <hyperlink ref="P1143" r:id="rId2253" display="https://my.zakupivli.pro/remote/dispatcher/state_purchase_view/61302632" xr:uid="{80AAB76D-76FC-497D-9548-68AC39A07E00}"/>
    <hyperlink ref="P1144" r:id="rId2254" display="https://my.zakupivli.pro/remote/dispatcher/state_purchase_view/61285293" xr:uid="{B2D83821-9ECE-4F0D-967E-A120F888FAC4}"/>
    <hyperlink ref="N1143" r:id="rId2255" xr:uid="{154AB41C-6052-4896-82D6-2DA01FFF8A82}"/>
    <hyperlink ref="N1144" r:id="rId2256" xr:uid="{82B32733-D55C-405E-BB13-BACA25E49420}"/>
    <hyperlink ref="P1148" r:id="rId2257" display="https://my.zakupivli.pro/remote/dispatcher/state_purchase_view/61470402" xr:uid="{9B869DF1-F98E-472D-81B3-18091366B684}"/>
    <hyperlink ref="P1149" r:id="rId2258" display="https://my.zakupivli.pro/remote/dispatcher/state_purchase_view/61469452" xr:uid="{218BD9BB-DBB7-459A-A9F4-6E199DC5327A}"/>
    <hyperlink ref="P1145" r:id="rId2259" display="https://my.zakupivli.pro/remote/dispatcher/state_purchase_view/61349840" xr:uid="{316F26F9-7DD0-4DC0-A904-4D489B356AF2}"/>
    <hyperlink ref="P1146" r:id="rId2260" display="https://my.zakupivli.pro/remote/dispatcher/state_purchase_view/61348521" xr:uid="{C3FDAE3D-00E5-43E4-9403-833A1E5F2A8D}"/>
    <hyperlink ref="P1147" r:id="rId2261" display="https://my.zakupivli.pro/remote/dispatcher/state_purchase_view/61345643" xr:uid="{E81BAB4F-53A2-4EE0-8F7C-CC52500FC938}"/>
    <hyperlink ref="N1145" r:id="rId2262" xr:uid="{40C69F45-5446-4FB7-8002-0C06BFD5FFAD}"/>
    <hyperlink ref="N1146" r:id="rId2263" xr:uid="{D7D4CE4A-BFDC-4643-B216-D7F9C28BC2B7}"/>
    <hyperlink ref="N1147" r:id="rId2264" xr:uid="{1876A1B8-45CE-42FA-A9B9-F598B0D83A75}"/>
    <hyperlink ref="N1148" r:id="rId2265" xr:uid="{D5401B9E-C608-49EA-A02E-19DE159465CD}"/>
    <hyperlink ref="N1149" r:id="rId2266" xr:uid="{96AECF49-87A6-467A-B471-7A9391E1F701}"/>
    <hyperlink ref="P1151" r:id="rId2267" display="https://my.zakupivli.pro/remote/dispatcher/state_purchase_view/61566886" xr:uid="{D91F07FF-B8E3-4434-8A8F-B5C80CDBA78C}"/>
    <hyperlink ref="P1150" r:id="rId2268" display="https://my.zakupivli.pro/remote/dispatcher/state_purchase_view/61525821" xr:uid="{ED9EBF10-70E1-41A5-9CD4-1C1823100AF9}"/>
    <hyperlink ref="N1150" r:id="rId2269" xr:uid="{99D91DFD-3C15-4F64-BBA0-A5ACE274762C}"/>
    <hyperlink ref="N1151" r:id="rId2270" xr:uid="{F46898E7-0EF9-454E-A19D-62642783DEFB}"/>
    <hyperlink ref="P1152" r:id="rId2271" display="https://my.zakupivli.pro/remote/dispatcher/state_purchase_view/61620347" xr:uid="{61DA3CBC-B8C5-433B-933D-2F3EE7E60313}"/>
    <hyperlink ref="N1152" r:id="rId2272" xr:uid="{6A4782A5-E46A-440A-9758-EA70E840B7FB}"/>
    <hyperlink ref="P1153" r:id="rId2273" display="https://my.zakupivli.pro/remote/dispatcher/state_purchase_view/61685372" xr:uid="{DD6CC02D-D21E-4668-96F0-4608DCA68876}"/>
    <hyperlink ref="P1154" r:id="rId2274" display="https://my.zakupivli.pro/remote/dispatcher/state_purchase_view/61671235" xr:uid="{7E10C7A7-2AA9-4D08-8790-68BE2964C2F2}"/>
    <hyperlink ref="P1155" r:id="rId2275" display="https://my.zakupivli.pro/remote/dispatcher/state_purchase_view/61670233" xr:uid="{1517FFEB-01A3-4E05-9771-1D9D304D5EF6}"/>
    <hyperlink ref="P1156" r:id="rId2276" display="https://my.zakupivli.pro/remote/dispatcher/state_purchase_view/61669257" xr:uid="{94AFEDC7-6FCF-4622-9DA8-0465B31B7F29}"/>
    <hyperlink ref="N1153" r:id="rId2277" xr:uid="{D445ED9A-6B20-4EE6-A143-37A0EFD6917B}"/>
    <hyperlink ref="N1154" r:id="rId2278" xr:uid="{5320E432-E25D-45A7-B97D-C3C33EBE654B}"/>
    <hyperlink ref="N1155" r:id="rId2279" xr:uid="{4E18C24D-BE8D-41B9-A510-E523E2E1C122}"/>
    <hyperlink ref="N1156" r:id="rId2280" xr:uid="{4AD78A26-B987-4D4C-9ECA-823F8374AE4C}"/>
    <hyperlink ref="P1157" r:id="rId2281" display="https://my.zakupivli.pro/remote/dispatcher/state_purchase_view/61710895" xr:uid="{672A4AB8-622D-4F6A-B300-D1B0298F3343}"/>
    <hyperlink ref="N1157" r:id="rId2282" xr:uid="{767BFB93-0537-438C-8667-01BBF42DECA8}"/>
    <hyperlink ref="P1158" r:id="rId2283" display="https://my.zakupivli.pro/remote/dispatcher/state_purchase_view/61768919" xr:uid="{C8615DD2-AF1D-48F9-B65A-A9C9F27AE0BF}"/>
    <hyperlink ref="P1159" r:id="rId2284" display="https://my.zakupivli.pro/remote/dispatcher/state_purchase_view/61767574" xr:uid="{BB796CD2-857A-4F94-ADF0-707C17680772}"/>
    <hyperlink ref="N1158" r:id="rId2285" xr:uid="{29DE7992-533C-4DE6-A900-15DFCE5BA123}"/>
    <hyperlink ref="N1159" r:id="rId2286" xr:uid="{D180D65A-496D-446D-A001-C728BCD07F68}"/>
    <hyperlink ref="P1160" r:id="rId2287" display="https://my.zakupivli.pro/remote/dispatcher/state_purchase_view/61819547" xr:uid="{E05D4A91-64AC-45B4-B547-C8A8A834E857}"/>
    <hyperlink ref="P1161" r:id="rId2288" display="https://my.zakupivli.pro/remote/dispatcher/state_purchase_view/61819431" xr:uid="{B9107728-A254-4D3E-A42F-1C1DE4418FD6}"/>
    <hyperlink ref="N1160" r:id="rId2289" xr:uid="{20A33D29-35C7-4994-AAFC-F437989252B5}"/>
    <hyperlink ref="N1161" r:id="rId2290" xr:uid="{6E178705-9185-41B0-96EC-FAE0DDE8E7C5}"/>
    <hyperlink ref="P1162" r:id="rId2291" display="https://my.zakupivli.pro/remote/dispatcher/state_purchase_view/61839031" xr:uid="{2CDCE385-F7CC-472B-8C93-1439F787DA9F}"/>
    <hyperlink ref="P1163" r:id="rId2292" display="https://my.zakupivli.pro/remote/dispatcher/state_purchase_view/61838634" xr:uid="{DDFEA9EF-C6B1-4118-BBF5-651B610F7584}"/>
    <hyperlink ref="N1162" r:id="rId2293" xr:uid="{19E0D8FD-7F68-4AE8-ABD9-413524BD3A24}"/>
    <hyperlink ref="N1163" r:id="rId2294" xr:uid="{F2BD6834-91BF-4105-9A1B-5745AFEDFCF4}"/>
    <hyperlink ref="P1164" r:id="rId2295" display="https://my.zakupivli.pro/remote/dispatcher/state_purchase_view/61902847" xr:uid="{AA9C9656-413D-4D82-A794-87A9C58AC171}"/>
    <hyperlink ref="N1164" r:id="rId2296" xr:uid="{D46F221A-CE94-4F36-A8ED-63ECFE922DD1}"/>
    <hyperlink ref="P1165" r:id="rId2297" display="https://my.zakupivli.pro/remote/dispatcher/state_purchase_view/61920548" xr:uid="{D874C58A-52E0-4E66-9383-7D810E019124}"/>
    <hyperlink ref="N1165" r:id="rId2298" xr:uid="{A7B6126E-940D-4049-BA4F-3FF28C1567FB}"/>
    <hyperlink ref="P1166" r:id="rId2299" display="https://my.zakupivli.pro/remote/dispatcher/state_purchase_view/61992375" xr:uid="{950D4587-49ED-4F14-A31D-99D98C8277F3}"/>
    <hyperlink ref="P1167" r:id="rId2300" display="https://my.zakupivli.pro/remote/dispatcher/state_purchase_view/61992341" xr:uid="{780A7960-BD6E-4D28-8738-F0C2EA9455BE}"/>
    <hyperlink ref="P1168" r:id="rId2301" display="https://my.zakupivli.pro/remote/dispatcher/state_purchase_view/61971794" xr:uid="{69919915-5853-42BF-8681-1F9DBD17F7A0}"/>
    <hyperlink ref="N1166" r:id="rId2302" xr:uid="{85AC0762-425B-4020-B82E-535985821B36}"/>
    <hyperlink ref="N1167" r:id="rId2303" xr:uid="{5F6492F8-A686-4C81-9314-FE133EB698ED}"/>
    <hyperlink ref="N1168" r:id="rId2304" xr:uid="{CF59B873-DA2D-4EBA-9978-3D900FBA26D3}"/>
    <hyperlink ref="P1169" r:id="rId2305" display="https://my.zakupivli.pro/remote/dispatcher/state_purchase_view/62023792" xr:uid="{AB2807C8-138B-4EF4-9D10-EFA8416A6055}"/>
    <hyperlink ref="P1170" r:id="rId2306" display="https://my.zakupivli.pro/remote/dispatcher/state_purchase_view/62023755" xr:uid="{592285D7-82CC-499F-95CC-1695844D6B1A}"/>
    <hyperlink ref="P1171" r:id="rId2307" display="https://my.zakupivli.pro/remote/dispatcher/state_purchase_view/62023572" xr:uid="{50803B7C-A7F1-4EEC-8EC9-5FAE38B9F988}"/>
    <hyperlink ref="P1172" r:id="rId2308" display="https://my.zakupivli.pro/remote/dispatcher/state_purchase_view/62023565" xr:uid="{D1CDC553-D725-49B9-AEC9-77A2BC30671A}"/>
    <hyperlink ref="N1169" r:id="rId2309" xr:uid="{16AE6D51-945B-4E61-944A-2B8B44796D7D}"/>
    <hyperlink ref="N1170" r:id="rId2310" xr:uid="{0EDC0E68-191E-4EE0-9C12-935F043798BD}"/>
    <hyperlink ref="N1171" r:id="rId2311" xr:uid="{7804D7DF-9057-4F66-AE87-714FFDB6902B}"/>
    <hyperlink ref="N1172" r:id="rId2312" xr:uid="{D17A84FE-9ADB-481A-8013-5CA946941FE8}"/>
    <hyperlink ref="P1173" r:id="rId2313" display="https://my.zakupivli.pro/remote/dispatcher/state_purchase_view/62162482" xr:uid="{2651F981-B08D-438D-A3D4-3AE3D713696D}"/>
    <hyperlink ref="P1174" r:id="rId2314" display="https://my.zakupivli.pro/remote/dispatcher/state_purchase_view/62161705" xr:uid="{9E4A91D7-D573-4FF1-937A-1617BBA945F9}"/>
    <hyperlink ref="P1175" r:id="rId2315" display="https://my.zakupivli.pro/remote/dispatcher/state_purchase_view/62151427" xr:uid="{38AE1D9C-0E77-4B77-AD14-272AD5C68A17}"/>
    <hyperlink ref="P1176" r:id="rId2316" display="https://my.zakupivli.pro/remote/dispatcher/state_purchase_view/62151404" xr:uid="{C344CF39-DBFE-4538-8918-3AA8A4811CCD}"/>
    <hyperlink ref="N1173" r:id="rId2317" xr:uid="{DA8818EC-0603-4538-9E17-5FE63067B250}"/>
    <hyperlink ref="N1174" r:id="rId2318" xr:uid="{461CF821-4ECB-44D7-86C1-8696651ECB31}"/>
    <hyperlink ref="N1175" r:id="rId2319" xr:uid="{3C7B2A59-6FC3-418C-8793-1F2EBEAF00FA}"/>
    <hyperlink ref="N1176" r:id="rId2320" xr:uid="{5EF2DA71-5852-4425-B74C-5B7EA9AE588B}"/>
    <hyperlink ref="P1177" r:id="rId2321" display="https://my.zakupivli.pro/remote/dispatcher/state_purchase_view/62233171" xr:uid="{6276779C-488C-47B6-813D-03F3C4A34A08}"/>
    <hyperlink ref="P1178" r:id="rId2322" display="https://my.zakupivli.pro/remote/dispatcher/state_purchase_view/62233167" xr:uid="{5B67B25F-41D3-4583-A8E0-3816D3B3C33D}"/>
    <hyperlink ref="P1179" r:id="rId2323" display="https://my.zakupivli.pro/remote/dispatcher/state_purchase_view/62218308" xr:uid="{4B3B70FE-FCB7-4F43-B226-1A07610DF84B}"/>
    <hyperlink ref="N1177" r:id="rId2324" xr:uid="{B98BF1A8-B448-47BA-AD5B-293932FAA237}"/>
    <hyperlink ref="N1178" r:id="rId2325" xr:uid="{C5221E81-BBB7-4EF7-BF33-082642A4D5E4}"/>
    <hyperlink ref="N1179" r:id="rId2326" xr:uid="{FAAF7DBB-8603-47BF-B6D2-F8FDB5B9C074}"/>
    <hyperlink ref="P1180" r:id="rId2327" display="https://my.zakupivli.pro/remote/dispatcher/state_purchase_view/62255275" xr:uid="{F9882453-11D1-417C-95E2-EE8936CDCE89}"/>
    <hyperlink ref="P1181" r:id="rId2328" display="https://my.zakupivli.pro/remote/dispatcher/state_purchase_view/62254986" xr:uid="{86709EF3-55FF-499F-A860-50EEB7C5B452}"/>
    <hyperlink ref="N1180" r:id="rId2329" xr:uid="{D98EBDEA-E21D-4585-8519-174BB59FB799}"/>
    <hyperlink ref="N1181" r:id="rId2330" xr:uid="{C7A231DA-EC2D-4244-8388-5295186CA906}"/>
    <hyperlink ref="P1182" r:id="rId2331" display="https://my.zakupivli.pro/remote/dispatcher/state_purchase_view/62294874" xr:uid="{E83511D6-508A-48FB-BDA5-CEA61CBA6A64}"/>
    <hyperlink ref="P1183" r:id="rId2332" display="https://my.zakupivli.pro/remote/dispatcher/state_purchase_view/62293226" xr:uid="{BD47357C-ED79-4C4F-BF4A-BCD1BCD750BA}"/>
    <hyperlink ref="P1184" r:id="rId2333" display="https://my.zakupivli.pro/remote/dispatcher/state_purchase_view/62282984" xr:uid="{E7A702EC-1143-481F-A1B5-42720DD74359}"/>
    <hyperlink ref="N1182" r:id="rId2334" xr:uid="{35C62C88-FDA1-4548-8EC2-7B224C1C6D24}"/>
    <hyperlink ref="N1183" r:id="rId2335" xr:uid="{9A8DF79A-E2D7-4678-BEC6-8E3ACE997D8F}"/>
    <hyperlink ref="N1184" r:id="rId2336" xr:uid="{5D4DC0D1-9C5B-4FC1-BF33-9B6F345B818D}"/>
    <hyperlink ref="P1185" r:id="rId2337" display="https://my.zakupivli.pro/remote/dispatcher/state_purchase_view/62325380" xr:uid="{CE7499A2-2121-4BD2-846B-550A2D9AE7FB}"/>
    <hyperlink ref="N1185" r:id="rId2338" xr:uid="{067B7C85-E909-47E9-82AA-DD936FC7771E}"/>
    <hyperlink ref="P1186" r:id="rId2339" display="https://my.zakupivli.pro/remote/dispatcher/state_purchase_view/62380160" xr:uid="{6CB50FFC-D00F-408D-A751-8B5AE034C87F}"/>
    <hyperlink ref="P1187" r:id="rId2340" display="https://my.zakupivli.pro/remote/dispatcher/state_purchase_view/62379747" xr:uid="{3D0AFA79-D2CD-4514-8CBC-F8273FB09965}"/>
    <hyperlink ref="P1188" r:id="rId2341" display="https://my.zakupivli.pro/remote/dispatcher/state_purchase_view/62379482" xr:uid="{AA1DB326-3AAE-4C04-8041-C61412356B1C}"/>
    <hyperlink ref="P1189" r:id="rId2342" display="https://my.zakupivli.pro/remote/dispatcher/state_purchase_view/62379146" xr:uid="{8459AFB2-9E7E-403C-B320-0A6ABE561683}"/>
    <hyperlink ref="P1190" r:id="rId2343" display="https://my.zakupivli.pro/remote/dispatcher/state_purchase_view/62378982" xr:uid="{17444956-82F5-43BE-866E-78DB97A798EC}"/>
    <hyperlink ref="N1186" r:id="rId2344" xr:uid="{A6BE57E3-9289-409A-9C44-E5FDAD48252D}"/>
    <hyperlink ref="N1187" r:id="rId2345" xr:uid="{08FC90DD-CE37-4B99-8CCE-AE0A140B65A8}"/>
    <hyperlink ref="N1188" r:id="rId2346" xr:uid="{D938AF24-216E-498F-970E-B661DC04D535}"/>
    <hyperlink ref="N1189" r:id="rId2347" xr:uid="{326CDFA1-2A6F-4EE6-9EC8-1932E900FB50}"/>
    <hyperlink ref="N1190" r:id="rId2348" xr:uid="{D93B858D-A64D-4C5A-88F5-C7CAEE413952}"/>
    <hyperlink ref="P1191" r:id="rId2349" display="https://my.zakupivli.pro/remote/dispatcher/state_purchase_view/62400402" xr:uid="{F8387FF3-D3BB-4BFF-9038-E2B6A3ED07E6}"/>
    <hyperlink ref="P1192" r:id="rId2350" display="https://my.zakupivli.pro/remote/dispatcher/state_purchase_view/62399381" xr:uid="{C4DEC7D2-BB63-479D-9755-EA3BF84ECCB4}"/>
    <hyperlink ref="P1193" r:id="rId2351" display="https://my.zakupivli.pro/remote/dispatcher/state_purchase_view/62399033" xr:uid="{5C33547F-03F4-42DD-9972-A498D7228245}"/>
    <hyperlink ref="N1191" r:id="rId2352" xr:uid="{8B2628D8-533F-4F67-8E17-B0B9B69FC24A}"/>
    <hyperlink ref="N1192" r:id="rId2353" xr:uid="{07C538DC-EE70-4F8A-9EB3-2C1C7A9B103D}"/>
    <hyperlink ref="N1193" r:id="rId2354" xr:uid="{64A933E4-414F-4C31-90A7-658CB9D511B0}"/>
    <hyperlink ref="P1194" r:id="rId2355" display="https://my.zakupivli.pro/remote/dispatcher/state_purchase_view/62449848" xr:uid="{31B5E07C-C1C6-41D4-B54A-3C43F1C213E6}"/>
    <hyperlink ref="N1194" r:id="rId2356" xr:uid="{A8A7C9DE-3CAB-40AB-B3C0-B945E63E3C1E}"/>
    <hyperlink ref="P1195" r:id="rId2357" display="https://my.zakupivli.pro/remote/dispatcher/state_purchase_view/62549013" xr:uid="{B0736300-D995-491B-B8D4-5ACA26F88FF7}"/>
    <hyperlink ref="N1195" r:id="rId2358" xr:uid="{3415BF90-9F66-4A22-BC33-08AED49A27D5}"/>
    <hyperlink ref="P1196" r:id="rId2359" display="https://my.zakupivli.pro/remote/dispatcher/state_purchase_view/62631986" xr:uid="{97E77927-C973-4641-99F8-0C838185A17E}"/>
    <hyperlink ref="N1196" r:id="rId2360" xr:uid="{C88F5DEE-2076-423F-AF89-E9D93647C98D}"/>
    <hyperlink ref="P1197" r:id="rId2361" display="https://my.zakupivli.pro/remote/dispatcher/state_purchase_view/62766493" xr:uid="{438F9604-5FF3-4AEF-8DDD-1EFE0521205F}"/>
    <hyperlink ref="P1198" r:id="rId2362" display="https://my.zakupivli.pro/remote/dispatcher/state_purchase_view/62764998" xr:uid="{F38A277A-60FB-4105-8330-8CCCB0422479}"/>
    <hyperlink ref="P1199" r:id="rId2363" display="https://my.zakupivli.pro/remote/dispatcher/state_purchase_view/62761705" xr:uid="{78096B29-D0CA-44F8-93ED-EAD2B3E9A791}"/>
    <hyperlink ref="N1197" r:id="rId2364" xr:uid="{0F03EFAF-3171-446C-87B2-0BFB5C27F3E3}"/>
    <hyperlink ref="N1198" r:id="rId2365" xr:uid="{A14E2A10-294E-4B17-9AFE-46DEF1675038}"/>
    <hyperlink ref="N1199" r:id="rId2366" xr:uid="{2E9B41E7-6F76-45F4-B0D5-8081147C9257}"/>
    <hyperlink ref="P1200" r:id="rId2367" display="https://my.zakupivli.pro/remote/dispatcher/state_purchase_view/62834469" xr:uid="{896076B2-63F0-477D-9697-6F94B5CA1B44}"/>
    <hyperlink ref="P1201" r:id="rId2368" display="https://my.zakupivli.pro/remote/dispatcher/state_purchase_view/62833061" xr:uid="{6780F690-F2E6-4F66-9EAD-2E5025FEF385}"/>
    <hyperlink ref="P1202" r:id="rId2369" display="https://my.zakupivli.pro/remote/dispatcher/state_purchase_view/62831582" xr:uid="{16A678EF-3816-40F1-AA47-0FE1B0808363}"/>
    <hyperlink ref="N1200" r:id="rId2370" xr:uid="{1801494D-F79C-4E81-B4A4-A5023B9BEF68}"/>
    <hyperlink ref="N1201" r:id="rId2371" xr:uid="{14B6B142-D296-4105-9A4B-35F5DC4D975C}"/>
    <hyperlink ref="N1202" r:id="rId2372" xr:uid="{1AEBC0A4-B6CB-4F35-A4B1-6EFAE6A8B381}"/>
    <hyperlink ref="P1203" r:id="rId2373" display="https://my.zakupivli.pro/remote/dispatcher/state_purchase_view/62863987" xr:uid="{D7231BC8-101D-4A1B-A64A-6BC6CCDADFB9}"/>
    <hyperlink ref="P1204" r:id="rId2374" display="https://my.zakupivli.pro/remote/dispatcher/state_purchase_view/62863476" xr:uid="{B6CDA0D6-0542-45EB-8D9A-0742BEDF1E77}"/>
    <hyperlink ref="P1205" r:id="rId2375" display="https://my.zakupivli.pro/remote/dispatcher/state_purchase_view/62863079" xr:uid="{3812231F-E87B-45B2-B51B-C74171AAEAFB}"/>
    <hyperlink ref="P1206" r:id="rId2376" display="https://my.zakupivli.pro/remote/dispatcher/state_purchase_view/62862549" xr:uid="{3C4A95CE-6013-41CE-AB2B-DCE0E12339AC}"/>
    <hyperlink ref="P1207" r:id="rId2377" display="https://my.zakupivli.pro/remote/dispatcher/state_purchase_view/62855820" xr:uid="{955CD991-691D-4E9F-8C5C-ECDB8EED9542}"/>
    <hyperlink ref="P1208" r:id="rId2378" display="https://my.zakupivli.pro/remote/dispatcher/state_purchase_view/62855366" xr:uid="{220AECAA-5C6C-4F3E-9DF4-4BCB2CF866CB}"/>
    <hyperlink ref="P1209" r:id="rId2379" display="https://my.zakupivli.pro/remote/dispatcher/state_purchase_view/62853645" xr:uid="{577C85A6-0031-4DCD-9C0C-6042F1B7327E}"/>
    <hyperlink ref="P1210" r:id="rId2380" display="https://my.zakupivli.pro/remote/dispatcher/state_purchase_view/62853247" xr:uid="{F817D342-3F2A-4B0A-8868-13F2BE634E7B}"/>
    <hyperlink ref="P1211" r:id="rId2381" display="https://my.zakupivli.pro/remote/dispatcher/state_purchase_view/62852695" xr:uid="{043740B3-7022-4F00-AA17-9E9F4F6A8CFB}"/>
    <hyperlink ref="N1203" r:id="rId2382" xr:uid="{1C3FC93C-CFF1-47EF-BD94-59E89C0AACD0}"/>
    <hyperlink ref="N1204" r:id="rId2383" xr:uid="{3DA232BA-B7C6-4AB7-B186-D55E85D94650}"/>
    <hyperlink ref="N1205" r:id="rId2384" xr:uid="{D7835707-B256-4778-B2D3-E3CFF7D798A2}"/>
    <hyperlink ref="N1206" r:id="rId2385" xr:uid="{4364976D-38C1-465C-A487-512F3C4718A8}"/>
    <hyperlink ref="N1207" r:id="rId2386" xr:uid="{2ED05747-4901-42A5-B711-01C39ECBE0C7}"/>
    <hyperlink ref="N1208" r:id="rId2387" xr:uid="{582A33D4-92C0-4980-A2ED-57B6D9579683}"/>
    <hyperlink ref="N1209" r:id="rId2388" xr:uid="{F90C8617-2117-457B-AD60-1845C4B04C98}"/>
    <hyperlink ref="N1210" r:id="rId2389" xr:uid="{B783B548-2A03-4786-8C2E-D68A68B84F8B}"/>
    <hyperlink ref="N1211" r:id="rId2390" xr:uid="{EF6B6C2D-ACB5-4005-BCC3-3CF31513CAA8}"/>
    <hyperlink ref="P1212" r:id="rId2391" display="https://my.zakupivli.pro/remote/dispatcher/state_purchase_view/62909383" xr:uid="{185C6715-321E-472E-8F5F-E2A68B1E111C}"/>
    <hyperlink ref="P1213" r:id="rId2392" display="https://my.zakupivli.pro/remote/dispatcher/state_purchase_view/62909010" xr:uid="{1796362E-1688-4694-8AED-37670BA42A65}"/>
    <hyperlink ref="P1214" r:id="rId2393" display="https://my.zakupivli.pro/remote/dispatcher/state_purchase_view/62906389" xr:uid="{5BEF1F27-3012-4774-B8D2-1C8FC1434E21}"/>
    <hyperlink ref="N1212" r:id="rId2394" xr:uid="{8E48AAEF-374C-414C-BF43-30224C781FB8}"/>
    <hyperlink ref="N1213" r:id="rId2395" xr:uid="{171C3A2B-57AF-4189-A697-6B290579DC13}"/>
    <hyperlink ref="N1214" r:id="rId2396" xr:uid="{8A91B1A4-2EC3-4D16-A4D5-B95A9C10106C}"/>
    <hyperlink ref="P1215" r:id="rId2397" display="https://my.zakupivli.pro/remote/dispatcher/state_purchase_view/62935235" xr:uid="{ED9EB9DB-7D33-426A-A605-0132B197B5F0}"/>
    <hyperlink ref="P1216" r:id="rId2398" display="https://my.zakupivli.pro/remote/dispatcher/state_purchase_view/62935086" xr:uid="{39530989-75A9-4F27-A3C7-C2B09CFB2254}"/>
    <hyperlink ref="N1215" r:id="rId2399" xr:uid="{A70E557B-A188-484B-BC2B-7457E4848481}"/>
    <hyperlink ref="N1216" r:id="rId2400" xr:uid="{A3822217-6B29-42E6-A5AA-E646E574E55A}"/>
    <hyperlink ref="P1217" r:id="rId2401" display="https://my.zakupivli.pro/remote/dispatcher/state_purchase_view/63012648" xr:uid="{78F73848-DAA8-41DE-8BAD-A9CB340923E0}"/>
    <hyperlink ref="N1217" r:id="rId2402" xr:uid="{CDF0772B-924E-4D1C-83BB-BA8457C30828}"/>
    <hyperlink ref="P1218" r:id="rId2403" display="https://my.zakupivli.pro/remote/dispatcher/state_purchase_view/63098968" xr:uid="{6AD8499C-8D9E-49B0-AC61-0AC282DA0164}"/>
    <hyperlink ref="P1219" r:id="rId2404" display="https://my.zakupivli.pro/remote/dispatcher/state_purchase_view/63074278" xr:uid="{9967868F-9043-4FC8-9A19-24D97E6719A1}"/>
    <hyperlink ref="P1220" r:id="rId2405" display="https://my.zakupivli.pro/remote/dispatcher/state_purchase_view/63073923" xr:uid="{411EEAA7-4E7E-4E9A-84DD-B43DFBCFB752}"/>
    <hyperlink ref="P1221" r:id="rId2406" display="https://my.zakupivli.pro/remote/dispatcher/state_purchase_view/63073781" xr:uid="{80A0C6E8-FB79-46B9-ACED-80AF411A0769}"/>
    <hyperlink ref="P1222" r:id="rId2407" display="https://my.zakupivli.pro/remote/dispatcher/state_purchase_view/63073212" xr:uid="{E4B35117-1F7F-48FC-BEA4-1EBBB0AF1586}"/>
    <hyperlink ref="N1218" r:id="rId2408" xr:uid="{8D635FBD-6A00-4A4F-8A95-75FF61FBE135}"/>
    <hyperlink ref="N1219" r:id="rId2409" xr:uid="{D191E4E7-8029-48E1-B416-B60FC33D96B4}"/>
    <hyperlink ref="N1220" r:id="rId2410" xr:uid="{6EC5EBDF-BAA5-4BEA-96EC-FB95E48869BF}"/>
    <hyperlink ref="N1221" r:id="rId2411" xr:uid="{DFF2A175-4D30-464F-8827-3299E5512B96}"/>
    <hyperlink ref="N1222" r:id="rId2412" xr:uid="{3A1D23A0-F854-42BA-9A10-B8EB10F7BB68}"/>
    <hyperlink ref="P1223" r:id="rId2413" display="https://my.zakupivli.pro/remote/dispatcher/state_purchase_view/63122266" xr:uid="{331538C7-0DE8-4EC0-973C-C4565EA41C69}"/>
    <hyperlink ref="N1223" r:id="rId2414" xr:uid="{E0E437D7-82C6-43AF-828B-28FD98D5591A}"/>
    <hyperlink ref="P1224" r:id="rId2415" display="https://my.zakupivli.pro/remote/dispatcher/state_purchase_view/63132864" xr:uid="{45F0F254-2580-4AE4-B360-0D754BF162F9}"/>
    <hyperlink ref="P1225" r:id="rId2416" display="https://my.zakupivli.pro/remote/dispatcher/state_purchase_view/63132800" xr:uid="{D8A00DE7-5A4E-4CFB-99DB-4804AAA42926}"/>
    <hyperlink ref="N1224" r:id="rId2417" xr:uid="{3B49121B-6237-4556-AFDB-81D83915FD08}"/>
    <hyperlink ref="N1225" r:id="rId2418" xr:uid="{7EF02441-F8E4-4B8A-B904-B01633327D61}"/>
    <hyperlink ref="P1226" r:id="rId2419" display="https://my.zakupivli.pro/remote/dispatcher/state_purchase_view/63231111" xr:uid="{277B9F7A-9A22-48F1-8CCA-141899AF044C}"/>
    <hyperlink ref="P1227" r:id="rId2420" display="https://my.zakupivli.pro/remote/dispatcher/state_purchase_view/63230963" xr:uid="{6D0E8F9B-34DB-4882-9E71-871F009FE279}"/>
    <hyperlink ref="N1226" r:id="rId2421" xr:uid="{9D85F17D-AE7A-49BD-89D2-CA12000C0838}"/>
    <hyperlink ref="N1227" r:id="rId2422" xr:uid="{6F8B0633-992B-461D-B4C3-71F92DBEA5D4}"/>
    <hyperlink ref="P1228" r:id="rId2423" display="https://my.zakupivli.pro/remote/dispatcher/state_purchase_view/63359805" xr:uid="{7CEC4C9A-309D-4F35-AF1E-ACCB6BBF7DCA}"/>
    <hyperlink ref="N1228" r:id="rId2424" xr:uid="{A29A22C3-ABFF-418A-A4F0-3FE2065835D7}"/>
    <hyperlink ref="P1229" r:id="rId2425" display="https://my.zakupivli.pro/remote/dispatcher/state_purchase_view/63417448" xr:uid="{32602881-83DE-4B88-B9A4-AB82E0FC048C}"/>
    <hyperlink ref="P1230" r:id="rId2426" display="https://my.zakupivli.pro/remote/dispatcher/state_purchase_view/63415282" xr:uid="{5104EDFD-4FD1-475B-A2A1-5F1351C3F160}"/>
    <hyperlink ref="P1231" r:id="rId2427" display="https://my.zakupivli.pro/remote/dispatcher/state_purchase_view/63414761" xr:uid="{F9E3BB04-845E-47AD-8B09-DBD0939AE1A0}"/>
    <hyperlink ref="P1232" r:id="rId2428" display="https://my.zakupivli.pro/remote/dispatcher/state_purchase_view/63414449" xr:uid="{70318BA8-6F70-414A-A9BC-F6C8A986A7E1}"/>
    <hyperlink ref="P1233" r:id="rId2429" display="https://my.zakupivli.pro/remote/dispatcher/state_purchase_view/63409896" xr:uid="{FA1E5B6C-B5E6-4BAE-9628-67B6447802E9}"/>
    <hyperlink ref="P1234" r:id="rId2430" display="https://my.zakupivli.pro/remote/dispatcher/state_purchase_view/63401610" xr:uid="{786B9056-C460-4BAC-9189-A9241F46EB9B}"/>
    <hyperlink ref="N1229" r:id="rId2431" xr:uid="{9EC93D06-D944-47C9-B0D5-D3E1E305398C}"/>
    <hyperlink ref="N1230" r:id="rId2432" xr:uid="{856906DA-34AA-4E76-ACD1-4DFC08BF2ACF}"/>
    <hyperlink ref="N1231" r:id="rId2433" xr:uid="{130165FA-53AD-436F-B779-FE74931E06B1}"/>
    <hyperlink ref="N1232" r:id="rId2434" xr:uid="{6893B425-8483-4A80-994F-0460E8E603A7}"/>
    <hyperlink ref="N1233" r:id="rId2435" xr:uid="{006A2739-963F-49D0-8342-D54028625886}"/>
    <hyperlink ref="N1234" r:id="rId2436" xr:uid="{6F388051-3418-46DD-BAF9-87FAA4397E5F}"/>
    <hyperlink ref="P1235" r:id="rId2437" display="https://my.zakupivli.pro/remote/dispatcher/state_purchase_view/63503005" xr:uid="{6E884DC5-D4C3-42E3-B0A2-E790113CF820}"/>
    <hyperlink ref="P1236" r:id="rId2438" display="https://my.zakupivli.pro/remote/dispatcher/state_purchase_view/63502920" xr:uid="{171DDF89-C814-42CF-980F-C48FFCD26F8E}"/>
    <hyperlink ref="P1237" r:id="rId2439" display="https://my.zakupivli.pro/remote/dispatcher/state_purchase_view/63502760" xr:uid="{DE133CF6-B6DF-4ABC-8CFD-2FEDC9BDEE6C}"/>
    <hyperlink ref="P1238" r:id="rId2440" display="https://my.zakupivli.pro/remote/dispatcher/state_purchase_view/63502755" xr:uid="{03291837-A97D-4885-8DA4-93A161D5DC5A}"/>
    <hyperlink ref="P1239" r:id="rId2441" display="https://my.zakupivli.pro/remote/dispatcher/state_purchase_view/63502354" xr:uid="{E4A62939-AC5D-4979-BBE9-C1BFB0164819}"/>
    <hyperlink ref="P1240" r:id="rId2442" display="https://my.zakupivli.pro/remote/dispatcher/state_purchase_view/63502201" xr:uid="{6ABEF7CA-CC62-44C8-BF8A-DB450B889F82}"/>
    <hyperlink ref="P1241" r:id="rId2443" display="https://my.zakupivli.pro/remote/dispatcher/state_purchase_view/63540537" xr:uid="{72958C6F-B38E-4801-AF66-1A7C1705DF22}"/>
    <hyperlink ref="P1242" r:id="rId2444" display="https://my.zakupivli.pro/remote/dispatcher/state_purchase_view/63539971" xr:uid="{861B1DA7-C06F-4BE4-86C4-C9E635C12EF9}"/>
    <hyperlink ref="P1243" r:id="rId2445" display="https://my.zakupivli.pro/remote/dispatcher/state_purchase_view/63539895" xr:uid="{947ABA2D-521F-4DDA-BA5D-10B1B5CE703B}"/>
    <hyperlink ref="P1244" r:id="rId2446" display="https://my.zakupivli.pro/remote/dispatcher/state_purchase_view/63539434" xr:uid="{D1B9C2B6-71E3-4F2F-9CAD-5C30D627191F}"/>
    <hyperlink ref="P1245" r:id="rId2447" display="https://my.zakupivli.pro/remote/dispatcher/state_purchase_view/63520268" xr:uid="{D12DC327-1B72-45D9-9FCB-5CB2A948409B}"/>
    <hyperlink ref="N1235" r:id="rId2448" xr:uid="{D29BB41E-5AFA-4A3F-90CA-5FD9010D0B38}"/>
    <hyperlink ref="N1236" r:id="rId2449" xr:uid="{906B67B9-390D-45C6-9C6D-7673E3563A05}"/>
    <hyperlink ref="N1237" r:id="rId2450" xr:uid="{840301B8-5148-4BDD-B4E4-2AB6BBEC0699}"/>
    <hyperlink ref="N1238" r:id="rId2451" xr:uid="{E34B176F-E15F-4C3B-8DA3-A1AEE091BA01}"/>
    <hyperlink ref="N1239" r:id="rId2452" xr:uid="{E3ADA1EE-7B37-44CC-8CA5-79FE404DE72B}"/>
    <hyperlink ref="N1240" r:id="rId2453" xr:uid="{110828FA-06F9-4A88-8CED-F9B0A124812D}"/>
    <hyperlink ref="N1241" r:id="rId2454" xr:uid="{6C962916-4C4E-476B-B66F-5CA6D267808B}"/>
    <hyperlink ref="N1242" r:id="rId2455" xr:uid="{B0F766EB-8C65-408B-9992-838352E60CE5}"/>
    <hyperlink ref="N1243" r:id="rId2456" xr:uid="{805701CF-10C1-42DF-8649-0DF8CA210830}"/>
    <hyperlink ref="N1244" r:id="rId2457" xr:uid="{3BB376FD-3994-4003-BF87-ABD3B6EBC7D7}"/>
    <hyperlink ref="N1245" r:id="rId2458" xr:uid="{B7BFB1FE-3547-47B4-BC9E-B6D425B00204}"/>
    <hyperlink ref="P1246" r:id="rId2459" display="https://my.zakupivli.pro/remote/dispatcher/state_purchase_view/63622866" xr:uid="{6B52EAF2-6FC0-41CD-962E-D0E5B554270B}"/>
    <hyperlink ref="P1247" r:id="rId2460" display="https://my.zakupivli.pro/remote/dispatcher/state_purchase_view/63612894" xr:uid="{AD8A9567-F3A8-4CC7-B83E-2B951CD7F97E}"/>
    <hyperlink ref="P1248" r:id="rId2461" display="https://my.zakupivli.pro/remote/dispatcher/state_purchase_view/63612742" xr:uid="{85A5F178-A041-4AAB-9696-A2CB76DAB45F}"/>
    <hyperlink ref="P1249" r:id="rId2462" display="https://my.zakupivli.pro/remote/dispatcher/state_purchase_view/63612349" xr:uid="{6AF7E13A-5FFE-4902-8911-234D50059E57}"/>
    <hyperlink ref="N1246" r:id="rId2463" xr:uid="{6A37EC61-A281-406D-81F3-0DC9A20E71F6}"/>
    <hyperlink ref="N1247" r:id="rId2464" xr:uid="{D323E05E-CB8D-4901-9D67-6D73A4AA43D8}"/>
    <hyperlink ref="N1248" r:id="rId2465" xr:uid="{3A4031DB-A8B8-4704-877C-C6777E30F778}"/>
    <hyperlink ref="N1249" r:id="rId2466" xr:uid="{4A4FEE03-F606-4FE6-89BA-63B1DC4E0CF2}"/>
    <hyperlink ref="P1250" r:id="rId2467" display="https://my.zakupivli.pro/remote/dispatcher/state_purchase_view/63756101" xr:uid="{50C34ACE-3030-4EFA-B1E4-24C5AD94DACE}"/>
    <hyperlink ref="N1250" r:id="rId2468" xr:uid="{A7E0FDA7-C31D-43B6-9C8A-2136EE953392}"/>
    <hyperlink ref="P1251" r:id="rId2469" display="https://my.zakupivli.pro/remote/dispatcher/state_purchase_view/63816588" xr:uid="{052E94F1-BD27-4E13-82B8-6316305204DC}"/>
    <hyperlink ref="P1252" r:id="rId2470" display="https://my.zakupivli.pro/remote/dispatcher/state_purchase_view/63816318" xr:uid="{3FB48A4C-698B-4E4A-BFA3-8C4B84C92034}"/>
    <hyperlink ref="P1253" r:id="rId2471" display="https://my.zakupivli.pro/remote/dispatcher/state_purchase_view/63816045" xr:uid="{2EC7A772-0153-4DFD-B2A6-0ED2FF2A755A}"/>
    <hyperlink ref="P1254" r:id="rId2472" display="https://my.zakupivli.pro/remote/dispatcher/state_purchase_view/63815840" xr:uid="{9187767C-F2D2-4EFF-9191-9DC280572BEC}"/>
    <hyperlink ref="P1255" r:id="rId2473" display="https://my.zakupivli.pro/remote/dispatcher/state_purchase_view/63815649" xr:uid="{B7A24AC9-7BE4-4192-A37F-345F6CD22C3C}"/>
    <hyperlink ref="P1256" r:id="rId2474" display="https://my.zakupivli.pro/remote/dispatcher/state_purchase_view/63814782" xr:uid="{97FCA324-C52F-4281-A4E4-FFCAD91964C1}"/>
    <hyperlink ref="P1257" r:id="rId2475" display="https://my.zakupivli.pro/remote/dispatcher/state_purchase_view/63807696" xr:uid="{36743A3C-8ED3-4DB1-B220-A4CF48BC6714}"/>
    <hyperlink ref="N1251" r:id="rId2476" xr:uid="{C162CD6B-550A-474A-9A8E-5430A9D2D480}"/>
    <hyperlink ref="N1252" r:id="rId2477" xr:uid="{47A8A028-B5A8-4E0C-8ED0-ADEADC30EA1E}"/>
    <hyperlink ref="N1253" r:id="rId2478" xr:uid="{03ACF36C-EFCF-4629-9884-5FF3F1B50C80}"/>
    <hyperlink ref="N1254" r:id="rId2479" xr:uid="{0B71507F-85B4-4B67-B86C-25F8D2034950}"/>
    <hyperlink ref="N1255" r:id="rId2480" xr:uid="{F851E494-A0A3-443D-B3E0-6F8B362DC168}"/>
    <hyperlink ref="N1256" r:id="rId2481" xr:uid="{B705C64E-1B02-4425-93D7-14BB2952C1A0}"/>
    <hyperlink ref="N1257" r:id="rId2482" xr:uid="{3EA608A6-0CA7-4B6B-AD1E-84403B486C27}"/>
    <hyperlink ref="P1258" r:id="rId2483" display="https://my.zakupivli.pro/remote/dispatcher/state_purchase_view/63938966" xr:uid="{D73B6E3F-3BC0-4FEE-B3AF-80DFB2AC8407}"/>
    <hyperlink ref="N1258" r:id="rId2484" xr:uid="{184DCA2E-4F7A-443B-BA9B-94D42C77DCD4}"/>
    <hyperlink ref="P1259" r:id="rId2485" display="https://my.zakupivli.pro/remote/dispatcher/state_purchase_view/63982783" xr:uid="{5BADEF7C-A8B2-40BD-864A-5DF8F6AA425A}"/>
    <hyperlink ref="N1259" r:id="rId2486" xr:uid="{66959F26-ECAA-4C7E-970A-B8406BD11848}"/>
    <hyperlink ref="P1260" r:id="rId2487" display="https://my.zakupivli.pro/remote/dispatcher/state_purchase_view/64233509" xr:uid="{433FEBF6-B323-4356-954D-355F707739CC}"/>
    <hyperlink ref="P1261" r:id="rId2488" display="https://my.zakupivli.pro/remote/dispatcher/state_purchase_view/64233392" xr:uid="{5564864D-5E28-478D-80CE-B77DF3735303}"/>
    <hyperlink ref="P1262" r:id="rId2489" display="https://my.zakupivli.pro/remote/dispatcher/state_purchase_view/64233367" xr:uid="{DFE4E079-290C-416C-A1D4-075806A62F83}"/>
    <hyperlink ref="P1263" r:id="rId2490" display="https://my.zakupivli.pro/remote/dispatcher/state_purchase_view/64232970" xr:uid="{E6371938-EFE6-4390-9262-2BC2FC15E9C7}"/>
    <hyperlink ref="P1264" r:id="rId2491" display="https://my.zakupivli.pro/remote/dispatcher/state_purchase_view/64232946" xr:uid="{D754B592-B998-47FF-A9D0-BC2EB437373C}"/>
    <hyperlink ref="P1265" r:id="rId2492" display="https://my.zakupivli.pro/remote/dispatcher/state_purchase_view/64232565" xr:uid="{D4006712-9834-4429-B14A-5655CD7B765D}"/>
    <hyperlink ref="N1260" r:id="rId2493" xr:uid="{BFEBEC7B-9D45-4BFF-B4B7-36E61DFA3548}"/>
    <hyperlink ref="N1261" r:id="rId2494" xr:uid="{222D4153-CA13-4386-8239-8976A7821A12}"/>
    <hyperlink ref="N1262" r:id="rId2495" xr:uid="{A097CE71-F7ED-4E30-B19F-A50FABBB93CB}"/>
    <hyperlink ref="N1263" r:id="rId2496" xr:uid="{E98BE16D-19B2-43FF-91A4-9EFA2345F636}"/>
    <hyperlink ref="N1264" r:id="rId2497" xr:uid="{C0EB2F50-A284-4AD3-A5A4-6785C5B53CE9}"/>
    <hyperlink ref="N1265" r:id="rId2498" xr:uid="{7A3AF35C-B12D-49C9-A9A0-261C63BB37A4}"/>
    <hyperlink ref="P1266" r:id="rId2499" display="https://my.zakupivli.pro/remote/dispatcher/state_purchase_view/64324031" xr:uid="{F3D01D4D-E667-4755-A81F-98E69C9CF039}"/>
    <hyperlink ref="P1267" r:id="rId2500" display="https://my.zakupivli.pro/remote/dispatcher/state_purchase_view/64309003" xr:uid="{AD00A839-47DA-4659-9963-311D750C31E2}"/>
    <hyperlink ref="N1266" r:id="rId2501" xr:uid="{B8EB7C07-B25B-42F1-A732-DDD5584375A3}"/>
    <hyperlink ref="N1267" r:id="rId2502" xr:uid="{566CB5D7-421C-468B-87EF-30C53BE88852}"/>
    <hyperlink ref="P1268" r:id="rId2503" display="https://my.zakupivli.pro/remote/dispatcher/state_purchase_view/64352038" xr:uid="{710F1352-6434-48C5-89B9-F69C705D80B6}"/>
    <hyperlink ref="P1269" r:id="rId2504" display="https://my.zakupivli.pro/remote/dispatcher/state_purchase_view/64341620" xr:uid="{348D70B5-0E87-4E75-9EA5-9120C645AAA7}"/>
    <hyperlink ref="N1268" r:id="rId2505" xr:uid="{CA21041D-B1BB-4839-A33D-EC69192A98EE}"/>
    <hyperlink ref="N1269" r:id="rId2506" xr:uid="{744C64AC-8E34-4649-9CCF-133E85198C3C}"/>
    <hyperlink ref="P1270" r:id="rId2507" display="https://my.zakupivli.pro/remote/dispatcher/state_purchase_view/64540574" xr:uid="{DE6817DB-6737-4760-9084-E96893D84284}"/>
    <hyperlink ref="P1271" r:id="rId2508" display="https://my.zakupivli.pro/remote/dispatcher/state_purchase_view/64539743" xr:uid="{1C923C6D-7159-4D9A-881B-3EE9EC53EC9C}"/>
    <hyperlink ref="P1272" r:id="rId2509" display="https://my.zakupivli.pro/remote/dispatcher/state_purchase_view/64539076" xr:uid="{22183A3B-0710-446B-8621-0DCEF1263F57}"/>
    <hyperlink ref="P1273" r:id="rId2510" display="https://my.zakupivli.pro/remote/dispatcher/state_purchase_view/64537810" xr:uid="{831D91CE-28D8-4419-8331-4B19940249DC}"/>
    <hyperlink ref="P1274" r:id="rId2511" display="https://my.zakupivli.pro/remote/dispatcher/state_purchase_view/64535420" xr:uid="{EF6FF902-40EE-4E1D-9928-1150C195A686}"/>
    <hyperlink ref="P1275" r:id="rId2512" display="https://my.zakupivli.pro/remote/dispatcher/state_purchase_view/64534478" xr:uid="{9D3DA970-8EF4-4471-8AE4-F3749F3C5281}"/>
    <hyperlink ref="P1276" r:id="rId2513" display="https://my.zakupivli.pro/remote/dispatcher/state_purchase_view/64533570" xr:uid="{DE6990C4-C459-42A5-850C-38E82CF2F7C9}"/>
    <hyperlink ref="P1277" r:id="rId2514" display="https://my.zakupivli.pro/remote/dispatcher/state_purchase_view/64532942" xr:uid="{8E955C16-56DB-42C5-8D37-5FE8B6D58837}"/>
    <hyperlink ref="P1278" r:id="rId2515" display="https://my.zakupivli.pro/remote/dispatcher/state_purchase_view/64532447" xr:uid="{BE984AAA-FE44-484A-B542-9A0EA01DBE55}"/>
    <hyperlink ref="P1279" r:id="rId2516" display="https://my.zakupivli.pro/remote/dispatcher/state_purchase_view/64524354" xr:uid="{F99A3210-397F-4722-954D-9EA6AF441615}"/>
    <hyperlink ref="P1280" r:id="rId2517" display="https://my.zakupivli.pro/remote/dispatcher/state_purchase_view/64507832" xr:uid="{2B6FC0BF-A43A-4ACC-A3C6-67AF0A479F2A}"/>
    <hyperlink ref="P1281" r:id="rId2518" display="https://my.zakupivli.pro/remote/dispatcher/state_purchase_view/64507690" xr:uid="{6502B96A-4D51-4A24-BF22-7D7FF77A1519}"/>
    <hyperlink ref="N1270" r:id="rId2519" xr:uid="{5459576C-0EF0-496E-ADD2-F2ED69306B12}"/>
    <hyperlink ref="N1271" r:id="rId2520" xr:uid="{82F1ED89-84B9-4F6B-8F4B-E20F02368DB6}"/>
    <hyperlink ref="N1272" r:id="rId2521" xr:uid="{F3BBB56E-E202-47F0-9AAD-D5ADA512DC9A}"/>
    <hyperlink ref="N1273" r:id="rId2522" xr:uid="{AC51FBA3-B1FB-4D54-B4F6-E84AAAEA1DD9}"/>
    <hyperlink ref="N1274" r:id="rId2523" xr:uid="{2EBD1F5E-EE28-4A64-BFCE-2449DFF273B0}"/>
    <hyperlink ref="N1275" r:id="rId2524" xr:uid="{6C4885F1-9455-473A-B9D6-ED8EDB3534C9}"/>
    <hyperlink ref="N1276" r:id="rId2525" xr:uid="{496F88C1-BFFE-44DB-9355-28B25F4BD6E4}"/>
    <hyperlink ref="N1277" r:id="rId2526" xr:uid="{7A09F952-0150-4EC9-A061-FE5C21709E04}"/>
    <hyperlink ref="N1278" r:id="rId2527" xr:uid="{BF812F31-0CAD-45E2-9039-E8CA1CD0A1A9}"/>
    <hyperlink ref="N1279" r:id="rId2528" xr:uid="{2A3766CC-006A-4F70-B9B0-D2B55CB29199}"/>
    <hyperlink ref="N1280" r:id="rId2529" xr:uid="{81009AA4-B973-498A-A45C-B60574867E42}"/>
    <hyperlink ref="N1281" r:id="rId2530" xr:uid="{A95C7AE9-7093-4250-B13A-51E38772884D}"/>
    <hyperlink ref="P1282" r:id="rId2531" display="https://my.zakupivli.pro/remote/dispatcher/state_purchase_view/64715837" xr:uid="{2F6C5DA7-099D-45A1-BDCC-B40EF48A422F}"/>
    <hyperlink ref="P1283" r:id="rId2532" display="https://my.zakupivli.pro/remote/dispatcher/state_purchase_view/64715522" xr:uid="{56EF234F-0960-4426-8C99-F53249EF7D63}"/>
    <hyperlink ref="P1284" r:id="rId2533" display="https://my.zakupivli.pro/remote/dispatcher/state_purchase_view/64688238" xr:uid="{F310E988-EC2A-40D9-B796-6773425B005F}"/>
    <hyperlink ref="N1282" r:id="rId2534" xr:uid="{F2E81E22-88E0-4C0E-87B2-A17CC5A1419C}"/>
    <hyperlink ref="N1283" r:id="rId2535" xr:uid="{265F3837-80C7-4DAF-A14A-6EFB9EEA95B1}"/>
    <hyperlink ref="N1284" r:id="rId2536" xr:uid="{1FA29FDA-219C-4AB3-B4A8-7C2BFA29EAA5}"/>
    <hyperlink ref="P1285" r:id="rId2537" display="https://my.zakupivli.pro/remote/dispatcher/state_purchase_view/64820212" xr:uid="{2AC88E85-027D-4E96-A44F-312113DCD975}"/>
    <hyperlink ref="N1285" r:id="rId2538" xr:uid="{30DD8390-913C-49B3-989B-8492F6ED8E3D}"/>
    <hyperlink ref="P1286" r:id="rId2539" display="https://my.zakupivli.pro/remote/dispatcher/state_purchase_view/64948167" xr:uid="{EDB1EC67-0954-4281-A688-F7C51FEFF46A}"/>
    <hyperlink ref="N1286" r:id="rId2540" xr:uid="{3B5AFDE5-560D-4414-B7D5-72FA49BFB61F}"/>
    <hyperlink ref="P1287" r:id="rId2541" display="https://my.zakupivli.pro/remote/dispatcher/state_purchase_view/65022258" xr:uid="{B3EE6735-D879-4165-BA12-0319503FC773}"/>
    <hyperlink ref="P1288" r:id="rId2542" display="https://my.zakupivli.pro/remote/dispatcher/state_purchase_view/65021897" xr:uid="{F684D753-2D9B-4810-B4FD-3F9071E2859B}"/>
    <hyperlink ref="N1287" r:id="rId2543" xr:uid="{E1206205-6709-43B8-B91D-E363633A1EF1}"/>
    <hyperlink ref="N1288" r:id="rId2544" xr:uid="{EC8ED4D7-416D-478C-BC99-12F25C5374B2}"/>
  </hyperlinks>
  <pageMargins left="0.7" right="0.7" top="0.75" bottom="0.75" header="0.3" footer="0.3"/>
  <pageSetup paperSize="9" scale="34" orientation="landscape" r:id="rId25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2025-12-30T13:11:08Z</dcterms:modified>
</cp:coreProperties>
</file>