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F918CF82-6D0A-428F-A8EE-6D89B22862FB}" xr6:coauthVersionLast="45" xr6:coauthVersionMax="45" xr10:uidLastSave="{00000000-0000-0000-0000-000000000000}"/>
  <bookViews>
    <workbookView xWindow="11712" yWindow="0" windowWidth="11328" windowHeight="12228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1" i="1" l="1"/>
  <c r="P1090" i="1"/>
  <c r="P1089" i="1"/>
  <c r="P1088" i="1" l="1"/>
  <c r="P1087" i="1"/>
  <c r="P1086" i="1"/>
  <c r="P1085" i="1"/>
  <c r="P1084" i="1"/>
  <c r="P1083" i="1" l="1"/>
  <c r="P1082" i="1"/>
  <c r="P1081" i="1"/>
  <c r="P1080" i="1" l="1"/>
  <c r="P1079" i="1"/>
  <c r="P1078" i="1"/>
  <c r="P1077" i="1"/>
  <c r="P1076" i="1"/>
  <c r="P1075" i="1" l="1"/>
  <c r="P1074" i="1"/>
  <c r="P1073" i="1"/>
  <c r="P1072" i="1"/>
  <c r="P1071" i="1"/>
  <c r="P1070" i="1"/>
  <c r="P1069" i="1"/>
  <c r="P1068" i="1" l="1"/>
  <c r="P1067" i="1"/>
  <c r="P1066" i="1"/>
  <c r="P1065" i="1"/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<sst xmlns="http://schemas.openxmlformats.org/spreadsheetml/2006/main" count="7685" uniqueCount="2308">
  <si>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</si>
  <si>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</si>
  <si>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</si>
  <si>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</si>
  <si>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</si>
  <si>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</si>
  <si>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</si>
  <si>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</si>
  <si>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</si>
  <si>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</si>
  <si>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</si>
  <si>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</si>
  <si>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</si>
  <si>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</si>
  <si>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</si>
  <si>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</si>
  <si>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</si>
  <si>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</si>
  <si>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</si>
  <si>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</si>
  <si>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</si>
  <si>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</si>
  <si>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</si>
  <si>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</si>
  <si>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</si>
  <si>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</si>
  <si>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</si>
  <si>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</si>
  <si>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</si>
  <si>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</si>
  <si>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</si>
  <si>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</si>
  <si>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</si>
  <si>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</si>
  <si>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</si>
  <si>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</si>
  <si>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</si>
  <si>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</si>
  <si>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</si>
  <si>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</si>
  <si>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</si>
  <si>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</si>
  <si>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</si>
  <si>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</si>
  <si>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</si>
  <si>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</si>
  <si>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</si>
  <si>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</si>
  <si>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</si>
  <si>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</si>
  <si>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</si>
  <si>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</si>
  <si>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</si>
  <si>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</si>
  <si>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</si>
  <si>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</si>
  <si>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</si>
  <si>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</si>
  <si>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</si>
  <si>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</si>
  <si>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</si>
  <si>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</si>
  <si>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</si>
  <si>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</si>
  <si>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</si>
  <si>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</si>
  <si>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</si>
  <si>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</si>
  <si>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</si>
  <si>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</si>
  <si>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</si>
  <si>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</si>
  <si>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</si>
  <si>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</si>
  <si>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</si>
  <si>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</si>
  <si>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</si>
  <si>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</si>
  <si>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</si>
  <si>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</si>
  <si>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</si>
  <si>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</si>
  <si>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</si>
  <si>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</si>
  <si>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</si>
  <si>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</si>
  <si>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</si>
  <si>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</si>
  <si>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</si>
  <si>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</si>
  <si>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</si>
  <si>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</si>
  <si>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</si>
  <si>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</si>
  <si>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</si>
  <si>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</si>
  <si>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</si>
  <si>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</si>
  <si>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</si>
  <si>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</si>
  <si>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</si>
  <si>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</si>
  <si>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</si>
  <si>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</si>
  <si>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</si>
  <si>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</si>
  <si>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</si>
  <si>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</si>
  <si>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</si>
  <si>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</si>
  <si>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</si>
  <si>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</si>
  <si>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</si>
  <si>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</si>
  <si>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</si>
  <si>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</si>
  <si>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</si>
  <si>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</si>
  <si>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</si>
  <si>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</si>
  <si>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</si>
  <si>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</si>
  <si>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</si>
  <si>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</si>
  <si>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</si>
  <si>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</si>
  <si>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</si>
  <si>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</si>
  <si>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</si>
  <si>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</si>
  <si>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</si>
  <si>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</si>
  <si>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</si>
  <si>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</si>
  <si>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</si>
  <si>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</si>
  <si>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</si>
  <si>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</si>
  <si>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</si>
  <si>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</si>
  <si>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</si>
  <si>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</si>
  <si>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</si>
  <si>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</si>
  <si>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</si>
  <si>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</si>
  <si>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</si>
  <si>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</si>
  <si>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</si>
  <si>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</si>
  <si>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</si>
  <si>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</si>
  <si>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</si>
  <si>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</si>
  <si>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</si>
  <si>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</si>
  <si>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</si>
  <si>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</si>
  <si>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</si>
  <si>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</si>
  <si>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</si>
  <si>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</si>
  <si>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</si>
  <si>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</si>
  <si>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</si>
  <si>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</si>
  <si>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</si>
  <si>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</si>
  <si>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</si>
  <si>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</si>
  <si>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</si>
  <si>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</si>
  <si>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</si>
  <si>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</si>
  <si>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</si>
  <si>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</si>
  <si>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</si>
  <si>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</si>
  <si>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</si>
  <si>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</si>
  <si>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</si>
  <si>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</si>
  <si>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</si>
  <si>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</si>
  <si>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</si>
  <si>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</si>
  <si>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</si>
  <si>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</si>
  <si>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</si>
  <si>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</si>
  <si>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</si>
  <si>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</si>
  <si>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</si>
  <si>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</si>
  <si>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</si>
  <si>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</si>
  <si>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</si>
  <si>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</si>
  <si>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</si>
  <si>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</si>
  <si>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</si>
  <si>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</si>
  <si>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</si>
  <si>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</si>
  <si>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</si>
  <si>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</si>
  <si>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</si>
  <si>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</si>
  <si>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</si>
  <si>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</si>
  <si>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</si>
  <si>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</si>
  <si>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</si>
  <si>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</si>
  <si>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</si>
  <si>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</si>
  <si>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</si>
  <si>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</si>
  <si>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</si>
  <si>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</si>
  <si>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</si>
  <si>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</si>
  <si>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</si>
  <si>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</si>
  <si>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</si>
  <si>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</si>
  <si>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</si>
  <si>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</si>
  <si>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</si>
  <si>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</si>
  <si>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</si>
  <si>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</si>
  <si>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</si>
  <si>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</si>
  <si>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</si>
  <si>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</si>
  <si>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</si>
  <si>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</si>
  <si>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</si>
  <si>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</si>
  <si>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</si>
  <si>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</si>
  <si>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</si>
  <si>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</si>
  <si>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</si>
  <si>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</si>
  <si>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</si>
  <si>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</si>
  <si>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</si>
  <si>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</si>
  <si>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</si>
  <si>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</si>
  <si>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</si>
  <si>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</si>
  <si>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</si>
  <si>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</si>
  <si>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</si>
  <si>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</si>
  <si>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</si>
  <si>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</si>
  <si>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</si>
  <si>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</si>
  <si>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</si>
  <si>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</si>
  <si>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</si>
  <si>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</si>
  <si>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</si>
  <si>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</si>
  <si>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</si>
  <si>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</si>
  <si>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</si>
  <si>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</si>
  <si>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</si>
  <si>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</si>
  <si>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</si>
  <si>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</si>
  <si>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</si>
  <si>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</si>
  <si>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</si>
  <si>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</si>
  <si>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</si>
  <si>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</si>
  <si>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</si>
  <si>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</si>
  <si>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</si>
  <si>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</si>
  <si>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</si>
  <si>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</si>
  <si>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</si>
  <si>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</si>
  <si>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</si>
  <si>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</si>
  <si>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</si>
  <si>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</si>
  <si>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</si>
  <si>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</si>
  <si>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</si>
  <si>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</si>
  <si>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</si>
  <si>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</si>
  <si>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</si>
  <si>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</si>
  <si>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</si>
  <si>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</si>
  <si>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</si>
  <si>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</si>
  <si>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</si>
  <si>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</si>
  <si>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</si>
  <si>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</si>
  <si>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</si>
  <si>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</si>
  <si>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</si>
  <si>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</si>
  <si>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</si>
  <si>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</si>
  <si>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</si>
  <si>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</si>
  <si>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</si>
  <si>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</si>
  <si>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</si>
  <si>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</si>
  <si>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</si>
  <si>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</si>
  <si>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</si>
  <si>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</si>
  <si>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</si>
  <si>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</si>
  <si>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</si>
  <si>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</si>
  <si>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</si>
  <si>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</si>
  <si>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</si>
  <si>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</si>
  <si>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</si>
  <si>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</si>
  <si>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</si>
  <si>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</si>
  <si>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</si>
  <si>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</si>
  <si>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</si>
  <si>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</si>
  <si>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</si>
  <si>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</si>
  <si>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</si>
  <si>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</si>
  <si>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</si>
  <si>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</si>
  <si>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</si>
  <si>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</si>
  <si>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</si>
  <si>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</si>
  <si>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</si>
  <si>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</si>
  <si>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</si>
  <si>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</si>
  <si>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</si>
  <si>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</si>
  <si>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</si>
  <si>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</si>
  <si>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</si>
  <si>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</si>
  <si>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</si>
  <si>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</si>
  <si>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</si>
  <si>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</si>
  <si>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</si>
  <si>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</si>
  <si>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</si>
  <si>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</si>
  <si>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</si>
  <si>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</si>
  <si>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</si>
  <si>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</si>
  <si>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</si>
  <si>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</si>
  <si>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</si>
  <si>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</si>
  <si>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</si>
  <si>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</si>
  <si>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</si>
  <si>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</si>
  <si>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</si>
  <si>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</si>
  <si>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</si>
  <si>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</si>
  <si>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</si>
  <si>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</si>
  <si>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</si>
  <si>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</si>
  <si>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</si>
  <si>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</si>
  <si>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</si>
  <si>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</si>
  <si>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</si>
  <si>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</si>
  <si>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</si>
  <si>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</si>
  <si>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</si>
  <si>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</si>
  <si>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</si>
  <si>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</si>
  <si>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</si>
  <si>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</si>
  <si>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</si>
  <si>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</si>
  <si>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</si>
  <si>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</si>
  <si>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</si>
  <si>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</si>
  <si>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</si>
  <si>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</si>
  <si>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</si>
  <si>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</si>
  <si>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</si>
  <si>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</si>
  <si>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</si>
  <si>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</si>
  <si>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</si>
  <si>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</si>
  <si>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</si>
  <si>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</si>
  <si>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</si>
  <si>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</si>
  <si>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</si>
  <si>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</si>
  <si>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</si>
  <si>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</si>
  <si>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</si>
  <si>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</si>
  <si>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</si>
  <si>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</si>
  <si>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</si>
  <si>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</si>
  <si>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</si>
  <si>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</si>
  <si>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</si>
  <si>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</si>
  <si>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</si>
  <si>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</si>
  <si>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</si>
  <si>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</si>
  <si>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</si>
  <si>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</si>
  <si>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</si>
  <si>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</si>
  <si>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</si>
  <si>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</si>
  <si>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</si>
  <si>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</si>
  <si>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</si>
  <si>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</si>
  <si>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</si>
  <si>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</si>
  <si>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</si>
  <si>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</si>
  <si>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</si>
  <si>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</si>
  <si>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</si>
  <si>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</si>
  <si>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</si>
  <si>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</si>
  <si>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</si>
  <si>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</si>
  <si>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</si>
  <si>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</si>
  <si>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</si>
  <si>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</si>
  <si>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</si>
  <si>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</si>
  <si>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</si>
  <si>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</si>
  <si>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</si>
  <si>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</si>
  <si>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</si>
  <si>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</si>
  <si>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</si>
  <si>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</si>
  <si>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</si>
  <si>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</si>
  <si>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</si>
  <si>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</si>
  <si>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</si>
  <si>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</si>
  <si>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</si>
  <si>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</si>
  <si>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</si>
  <si>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</si>
  <si>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</si>
  <si>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</si>
  <si>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</si>
  <si>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</si>
  <si>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</si>
  <si>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</si>
  <si>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</si>
  <si>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</si>
  <si>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</si>
  <si>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</si>
  <si>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</si>
  <si>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</si>
  <si>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</si>
  <si>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</si>
  <si>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</si>
  <si>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</si>
  <si>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</si>
  <si>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</si>
  <si>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</si>
  <si>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</si>
  <si>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</si>
  <si>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</si>
  <si>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</si>
  <si>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</si>
  <si>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</si>
  <si>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</si>
  <si>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</si>
  <si>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</si>
  <si>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</si>
  <si>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</si>
  <si>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</si>
  <si>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</si>
  <si>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</si>
  <si>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</si>
  <si>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</si>
  <si>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</si>
  <si>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</si>
  <si>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</si>
  <si>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</si>
  <si>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</si>
  <si>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</si>
  <si>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</si>
  <si>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</si>
  <si>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</si>
  <si>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</si>
  <si>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</si>
  <si>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</si>
  <si>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</si>
  <si>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</si>
  <si>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</si>
  <si>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</si>
  <si>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</si>
  <si>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</si>
  <si>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</si>
  <si>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</si>
  <si>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</si>
  <si>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</si>
  <si>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</si>
  <si>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</si>
  <si>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</si>
  <si>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</si>
  <si>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</si>
  <si>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</si>
  <si>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</si>
  <si>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</si>
  <si>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</si>
  <si>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</si>
  <si>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</si>
  <si>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</si>
  <si>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</si>
  <si>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</si>
  <si>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</si>
  <si>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</si>
  <si>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</si>
  <si>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</si>
  <si>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</si>
  <si>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</si>
  <si>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</si>
  <si>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</si>
  <si>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</si>
  <si>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</si>
  <si>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</si>
  <si>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</si>
  <si>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</si>
  <si>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</si>
  <si>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</si>
  <si>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</si>
  <si>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</si>
  <si>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</si>
  <si>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</si>
  <si>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</si>
  <si>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</si>
  <si>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</si>
  <si>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</si>
  <si>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</si>
  <si>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</si>
  <si>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</si>
  <si>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</si>
  <si>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</si>
  <si>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</si>
  <si>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</si>
  <si>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</si>
  <si>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</si>
  <si>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</si>
  <si>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</si>
  <si>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</si>
  <si>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</si>
  <si>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</si>
  <si>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</si>
  <si>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</si>
  <si>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</si>
  <si>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</si>
  <si>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</si>
  <si>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</si>
  <si>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</si>
  <si>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</si>
  <si>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</si>
  <si>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</si>
  <si>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</si>
  <si>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</si>
  <si>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</si>
  <si>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</si>
  <si>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</si>
  <si>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</si>
  <si>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</si>
  <si>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</si>
  <si>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</si>
  <si>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</si>
  <si>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</si>
  <si>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</si>
  <si>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</si>
  <si>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</si>
  <si>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</si>
  <si>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</si>
  <si>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</si>
  <si>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</si>
  <si>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</si>
  <si>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</si>
  <si>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</si>
  <si>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</si>
  <si>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</si>
  <si>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</si>
  <si>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</si>
  <si>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</si>
  <si>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</si>
  <si>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</si>
  <si>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</si>
  <si>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</si>
  <si>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</si>
  <si>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</si>
  <si>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</si>
  <si>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</si>
  <si>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</si>
  <si>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</si>
  <si>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</si>
  <si>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</si>
  <si>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</si>
  <si>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</si>
  <si>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</si>
  <si>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</si>
  <si>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</si>
  <si>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</si>
  <si>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</si>
  <si>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</si>
  <si>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</si>
  <si>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</si>
  <si>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</si>
  <si>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</si>
  <si>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</si>
  <si>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</si>
  <si>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</si>
  <si>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</si>
  <si>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</si>
  <si>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</si>
  <si>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</si>
  <si>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</si>
  <si>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</si>
  <si>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</si>
  <si>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</si>
  <si>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</si>
  <si>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</si>
  <si>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</si>
  <si>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</si>
  <si>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</si>
  <si>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</si>
  <si>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</si>
  <si>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</si>
  <si>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</si>
  <si>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</si>
  <si>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</si>
  <si>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</si>
  <si>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</si>
  <si>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</si>
  <si>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</si>
  <si>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</si>
  <si>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</si>
  <si>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</si>
  <si>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</si>
  <si>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</si>
  <si>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</si>
  <si>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</si>
  <si>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</si>
  <si>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</si>
  <si>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</si>
  <si>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</si>
  <si>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</si>
  <si>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</si>
  <si>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</si>
  <si>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</si>
  <si>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</si>
  <si>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</si>
  <si>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</si>
  <si>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</si>
  <si>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</si>
  <si>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</si>
  <si>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</si>
  <si>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</si>
  <si>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</si>
  <si>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</si>
  <si>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</si>
  <si>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</si>
  <si>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</si>
  <si>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</si>
  <si>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</si>
  <si>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</si>
  <si>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</si>
  <si>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</si>
  <si>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</si>
  <si>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</si>
  <si>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</si>
  <si>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</si>
  <si>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</si>
  <si>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</si>
  <si>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</si>
  <si>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</si>
  <si>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</si>
  <si>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</si>
  <si>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</si>
  <si>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</si>
  <si>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</si>
  <si>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</si>
  <si>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</si>
  <si>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</si>
  <si>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</si>
  <si>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</si>
  <si>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</si>
  <si>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</si>
  <si>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</si>
  <si>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</si>
  <si>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</si>
  <si>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</si>
  <si>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</si>
  <si>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</si>
  <si>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</si>
  <si>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</si>
  <si>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</si>
  <si>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</si>
  <si>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</si>
  <si>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</si>
  <si>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</si>
  <si>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</si>
  <si>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</si>
  <si>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</si>
  <si>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</si>
  <si>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</si>
  <si>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</si>
  <si>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</si>
  <si>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</si>
  <si>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</si>
  <si>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</si>
  <si>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</si>
  <si>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</si>
  <si>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</si>
  <si>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</si>
  <si>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</si>
  <si>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</si>
  <si>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</si>
  <si>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</si>
  <si>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</si>
  <si>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</si>
  <si>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</si>
  <si>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</si>
  <si>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</si>
  <si>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</si>
  <si>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</si>
  <si>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</si>
  <si>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</si>
  <si>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</si>
  <si>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</si>
  <si>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</si>
  <si>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</si>
  <si>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</si>
  <si>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</si>
  <si>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</si>
  <si>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</si>
  <si>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</si>
  <si>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</si>
  <si>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</si>
  <si>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</si>
  <si>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</si>
  <si>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</si>
  <si>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</si>
  <si>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</si>
  <si>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</si>
  <si>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</si>
  <si>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</si>
  <si>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</si>
  <si>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</si>
  <si>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</si>
  <si>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</si>
  <si>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</si>
  <si>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</si>
  <si>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</si>
  <si>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</si>
  <si>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</si>
  <si>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</si>
  <si>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</si>
  <si>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</si>
  <si>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</si>
  <si>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</si>
  <si>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</si>
  <si>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</si>
  <si>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</si>
  <si>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</si>
  <si>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</si>
  <si>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</si>
  <si>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</si>
  <si>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</si>
  <si>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</si>
  <si>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</si>
  <si>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</si>
  <si>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</si>
  <si>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</si>
  <si>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</si>
  <si>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</si>
  <si>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</si>
  <si>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</si>
  <si>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</si>
  <si>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</si>
  <si>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</si>
  <si>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</si>
  <si>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</si>
  <si>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</si>
  <si>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</si>
  <si>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</si>
  <si>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</si>
  <si>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</si>
  <si>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</si>
  <si>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</si>
  <si>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</si>
  <si>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</si>
  <si>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</si>
  <si>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</si>
  <si>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</si>
  <si>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</si>
  <si>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</si>
  <si>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</si>
  <si>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</si>
  <si>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</si>
  <si>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</si>
  <si>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</si>
  <si>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</si>
  <si>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</si>
  <si>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</si>
  <si>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</si>
  <si>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</si>
  <si>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</si>
  <si>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</si>
  <si>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</si>
  <si>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</si>
  <si>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</si>
  <si>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</si>
  <si>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</si>
  <si>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</si>
  <si>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</si>
  <si>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</si>
  <si>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</si>
  <si>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</si>
  <si>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</si>
  <si>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</si>
  <si>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</si>
  <si>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</si>
  <si>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</si>
  <si>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</si>
  <si>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</si>
  <si>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</si>
  <si>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</si>
  <si>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</si>
  <si>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</si>
  <si>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</si>
  <si>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</si>
  <si>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</si>
  <si>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</si>
  <si>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</si>
  <si>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</si>
  <si>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</si>
  <si>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</si>
  <si>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</si>
  <si>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</si>
  <si>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</si>
  <si>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</si>
  <si>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</si>
  <si>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</si>
  <si>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</si>
  <si>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</si>
  <si>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</si>
  <si>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</si>
  <si>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</si>
  <si>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</si>
  <si>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</si>
  <si>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</si>
  <si>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</si>
  <si>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</si>
  <si>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</si>
  <si>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</si>
  <si>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</si>
  <si>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</si>
  <si>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</si>
  <si>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</si>
  <si>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</si>
  <si>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</si>
  <si>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</si>
  <si>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</si>
  <si>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</si>
  <si>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</si>
  <si>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</si>
  <si>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</si>
  <si>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</si>
  <si>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</si>
  <si>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</si>
  <si>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</si>
  <si>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</si>
  <si>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</si>
  <si>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</si>
  <si>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</si>
  <si>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</si>
  <si>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</si>
  <si>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</si>
  <si>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</si>
  <si>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</si>
  <si>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</si>
  <si>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</si>
  <si>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</si>
  <si>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</si>
  <si>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</si>
  <si>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</si>
  <si>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</si>
  <si>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</si>
  <si>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</si>
  <si>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</si>
  <si>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</si>
  <si>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</si>
  <si>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</si>
  <si>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</si>
  <si>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</si>
  <si>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</si>
  <si>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</si>
  <si>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</si>
  <si>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</si>
  <si>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</si>
  <si>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</si>
  <si>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</si>
  <si>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</si>
  <si>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</si>
  <si>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</si>
  <si>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</si>
  <si>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</si>
  <si>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</si>
  <si>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</si>
  <si>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</si>
  <si>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</si>
  <si>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</si>
  <si>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</si>
  <si>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</si>
  <si>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</si>
  <si>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</si>
  <si>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</si>
  <si>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</si>
  <si>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</si>
  <si>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</si>
  <si>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</si>
  <si>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</si>
  <si>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</si>
  <si>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</si>
  <si>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</si>
  <si>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</si>
  <si>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</si>
  <si>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</si>
  <si>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</si>
  <si>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</si>
  <si>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</si>
  <si>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</si>
  <si>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</si>
  <si>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</si>
  <si>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</si>
  <si>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</si>
  <si>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</si>
  <si>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</si>
  <si>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</si>
  <si>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</si>
  <si>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</si>
  <si>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</si>
  <si>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</si>
  <si>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</si>
  <si>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</si>
  <si>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</si>
  <si>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</si>
  <si>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</si>
  <si>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</si>
  <si>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</si>
  <si>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</si>
  <si>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</si>
  <si>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</si>
  <si>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</si>
  <si>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</si>
  <si>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</si>
  <si>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</si>
  <si>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</si>
  <si>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</si>
  <si>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</si>
  <si>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</si>
  <si>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</si>
  <si>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</si>
  <si>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</si>
  <si>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</si>
  <si>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</si>
  <si>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</si>
  <si>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</si>
  <si>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</si>
  <si>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</si>
  <si>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</si>
  <si>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</si>
  <si>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</si>
  <si>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</si>
  <si>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</si>
  <si>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</si>
  <si>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</si>
  <si>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</si>
  <si>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</si>
  <si>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</si>
  <si>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</si>
  <si>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</si>
  <si>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</si>
  <si>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</si>
  <si>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</si>
  <si>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</si>
  <si>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</si>
  <si>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</si>
  <si>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</si>
  <si>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</si>
  <si>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</si>
  <si>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</si>
  <si>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</si>
  <si>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</si>
  <si>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</si>
  <si>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</si>
  <si>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</si>
  <si>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</si>
  <si>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</si>
  <si>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</si>
  <si>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</si>
  <si>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</si>
  <si>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</si>
  <si>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</si>
  <si>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</si>
  <si>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</si>
  <si>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</si>
  <si>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</si>
  <si>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</si>
  <si>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</si>
  <si>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</si>
  <si>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</si>
  <si>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</si>
  <si>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</si>
  <si>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</si>
  <si>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</si>
  <si>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</si>
  <si>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</si>
  <si>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</si>
  <si>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</si>
  <si>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</si>
  <si>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</si>
  <si>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</si>
  <si>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</si>
  <si>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</si>
  <si>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</si>
  <si>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</si>
  <si>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</si>
  <si>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</si>
  <si>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</si>
  <si>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</si>
  <si>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</si>
  <si>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</si>
  <si>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</si>
  <si>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</si>
  <si>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</si>
  <si>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</si>
  <si>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</si>
  <si>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</si>
  <si>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</si>
  <si>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</si>
  <si>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</si>
  <si>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</si>
  <si>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</si>
  <si>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</si>
  <si>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</si>
  <si>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</si>
  <si>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</si>
  <si>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</si>
  <si>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</si>
  <si>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</si>
  <si>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</si>
  <si>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</si>
  <si>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</si>
  <si>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</si>
  <si>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</si>
  <si>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</si>
  <si>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</si>
  <si>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</si>
  <si>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</si>
  <si>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</si>
  <si>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</si>
  <si>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</si>
  <si>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</si>
  <si>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</si>
  <si>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</si>
  <si>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</si>
  <si>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</si>
  <si>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</si>
  <si>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</si>
  <si>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</si>
  <si>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</si>
  <si>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</si>
  <si>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</si>
  <si>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</si>
  <si>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</si>
  <si>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</si>
  <si>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</si>
  <si>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</si>
  <si>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</si>
  <si>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</si>
  <si>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</si>
  <si>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</si>
  <si>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</si>
  <si>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</si>
  <si>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</si>
  <si>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</si>
  <si>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</si>
  <si>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</si>
  <si>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</si>
  <si>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</si>
  <si>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</si>
  <si>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</si>
  <si>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</si>
  <si>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</si>
  <si>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</si>
  <si>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</si>
  <si>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</si>
  <si>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</si>
  <si>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</si>
  <si>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</si>
  <si>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</si>
  <si>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</si>
  <si>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</si>
  <si>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</si>
  <si>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</si>
  <si>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</si>
  <si>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</si>
  <si>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</si>
  <si>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</si>
  <si>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</si>
  <si>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</si>
  <si>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</si>
  <si>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</si>
  <si>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</si>
  <si>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</si>
  <si>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</si>
  <si>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</si>
  <si>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</si>
  <si>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</si>
  <si>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</si>
  <si>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</si>
  <si>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</si>
  <si>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</si>
  <si>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</si>
  <si>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</si>
  <si>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</si>
  <si>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</si>
  <si>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</si>
  <si>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</si>
  <si>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</si>
  <si>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</si>
  <si>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</si>
  <si>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</si>
  <si>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</si>
  <si>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</si>
  <si>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</si>
  <si>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</si>
  <si>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</si>
  <si>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</si>
  <si>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</si>
  <si>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</si>
  <si>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</si>
  <si>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</si>
  <si>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</si>
  <si>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</si>
  <si>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</si>
  <si>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</si>
  <si>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</si>
  <si>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</si>
  <si>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</si>
  <si>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</si>
  <si>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</si>
  <si>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</si>
  <si>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</si>
  <si>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</si>
  <si>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</si>
  <si>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</si>
  <si>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</si>
  <si>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</si>
  <si>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</si>
  <si>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</si>
  <si>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</si>
  <si>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</si>
  <si>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</si>
  <si>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</si>
  <si>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</si>
  <si>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</si>
  <si>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</si>
  <si>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</si>
  <si>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</si>
  <si>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</si>
  <si>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</si>
  <si>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</si>
  <si>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</si>
  <si>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</si>
  <si>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</si>
  <si>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</si>
  <si>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</si>
  <si>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</si>
  <si>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</si>
  <si>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</si>
  <si>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</si>
  <si>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</si>
  <si>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</si>
  <si>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</si>
  <si>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</si>
  <si>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</si>
  <si>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</si>
  <si>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</si>
  <si>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</si>
  <si>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</si>
  <si>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</si>
  <si>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</si>
  <si>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</si>
  <si>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</si>
  <si>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</si>
  <si>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</si>
  <si>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</si>
  <si>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</si>
  <si>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</si>
  <si>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</si>
  <si>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</si>
  <si>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</si>
  <si>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</si>
  <si>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</si>
  <si>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</si>
  <si>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</si>
  <si>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</si>
  <si>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</si>
  <si>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</si>
  <si>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</si>
  <si>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</si>
  <si>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</si>
  <si>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</si>
  <si>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</si>
  <si>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</si>
  <si>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</si>
  <si>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</si>
  <si>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</si>
  <si>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</si>
  <si>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</si>
  <si>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</si>
  <si>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</si>
  <si>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</si>
  <si>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</si>
  <si>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</si>
  <si>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</si>
  <si>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</si>
  <si>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</si>
  <si>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</si>
  <si>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</si>
  <si>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</si>
  <si>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</si>
  <si>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</si>
  <si>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</si>
  <si>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</si>
  <si>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</si>
  <si>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</si>
  <si>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</si>
  <si>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</si>
  <si>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</si>
  <si>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</si>
  <si>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</si>
  <si>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</si>
  <si>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</si>
  <si>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</si>
  <si>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</si>
  <si>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</si>
  <si>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</si>
  <si>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</si>
  <si>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</si>
  <si>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</si>
  <si>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</si>
  <si>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</si>
  <si>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</si>
  <si>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</si>
  <si>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</si>
  <si>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</si>
  <si>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</si>
  <si>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</si>
  <si>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</si>
  <si>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</si>
  <si>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</si>
  <si>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</si>
  <si>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</si>
  <si>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</si>
  <si>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</si>
  <si>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</si>
  <si>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</si>
  <si>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</si>
  <si>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</si>
  <si>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</si>
  <si>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</si>
  <si>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</si>
  <si>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</si>
  <si>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</si>
  <si>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</si>
  <si>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</si>
  <si>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</si>
  <si>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</si>
  <si>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</si>
  <si>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</si>
  <si>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</si>
  <si>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</si>
  <si>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</si>
  <si>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</si>
  <si>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</si>
  <si>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</si>
  <si>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</si>
  <si>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</si>
  <si>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</si>
  <si>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</si>
  <si>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</si>
  <si>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</si>
  <si>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</si>
  <si>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</si>
  <si>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</si>
  <si>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</si>
  <si>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</si>
  <si>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</si>
  <si>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</si>
  <si>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</si>
  <si>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</si>
  <si>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</si>
  <si>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</si>
  <si>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</si>
  <si>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</si>
  <si>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</si>
  <si>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</si>
  <si>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</si>
  <si>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</si>
  <si>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</si>
  <si>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</si>
  <si>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</si>
  <si>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</si>
  <si>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</si>
  <si>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</si>
  <si>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</si>
  <si>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</si>
  <si>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</si>
  <si>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</si>
  <si>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</si>
  <si>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</si>
  <si>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</si>
  <si>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</si>
  <si>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</si>
  <si>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</si>
  <si>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</si>
  <si>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</si>
  <si>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</si>
  <si>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</si>
  <si>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</si>
  <si>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</si>
  <si>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</si>
  <si>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</si>
  <si>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</si>
  <si>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</si>
  <si>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</si>
  <si>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</si>
  <si>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</si>
  <si>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</si>
  <si>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</si>
  <si>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</si>
  <si>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</si>
  <si>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</si>
  <si>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</si>
  <si>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</si>
  <si>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</si>
  <si>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</si>
  <si>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</si>
  <si>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</si>
  <si>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</si>
  <si>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</si>
  <si>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</si>
  <si>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</si>
  <si>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</si>
  <si>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</si>
  <si>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</si>
  <si>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</si>
  <si>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</si>
  <si>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</si>
  <si>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</si>
  <si>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</si>
  <si>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</si>
  <si>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</si>
  <si>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</si>
  <si>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</si>
  <si>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</si>
  <si>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</si>
  <si>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</si>
  <si>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</si>
  <si>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</si>
  <si>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</si>
  <si>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</si>
  <si>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</si>
  <si>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</si>
  <si>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</si>
  <si>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</si>
  <si>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</si>
  <si>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</si>
  <si>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</si>
  <si>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</si>
  <si>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</si>
  <si>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</si>
  <si>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</si>
  <si>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</si>
  <si>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</si>
  <si>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</si>
  <si>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</si>
  <si>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</si>
  <si>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</si>
  <si>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</si>
  <si>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</si>
  <si>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</si>
  <si>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</si>
  <si>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</si>
  <si>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</si>
  <si>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</si>
  <si>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</si>
  <si>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</si>
  <si>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</si>
  <si>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</si>
  <si>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</si>
  <si>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</si>
  <si>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</si>
  <si>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</si>
  <si>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</si>
  <si>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</si>
  <si>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</si>
  <si>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</si>
  <si>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</si>
  <si>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</si>
  <si>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</si>
  <si>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</si>
  <si>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</si>
  <si>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</si>
  <si>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</si>
  <si>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</si>
  <si>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</si>
  <si>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</si>
  <si>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</si>
  <si>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</si>
  <si>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</si>
  <si>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</si>
  <si>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</si>
  <si>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</si>
  <si>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</si>
  <si>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</si>
  <si>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</si>
  <si>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</si>
  <si>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</si>
  <si>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</si>
  <si>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</si>
  <si>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</si>
  <si>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</si>
  <si>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</si>
  <si>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</si>
  <si>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</si>
  <si>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</si>
  <si>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</si>
  <si>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</si>
  <si>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</si>
  <si>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</si>
  <si>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</si>
  <si>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</si>
  <si>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</si>
  <si>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</si>
  <si>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</si>
  <si>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</si>
  <si>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</si>
  <si>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</si>
  <si>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</si>
  <si>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</si>
  <si>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</si>
  <si>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</si>
  <si>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</si>
  <si>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</si>
  <si>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</si>
  <si>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</si>
  <si>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</si>
  <si>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</si>
  <si>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</si>
  <si>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</si>
  <si>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</si>
  <si>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</si>
  <si>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</si>
  <si>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</si>
  <si>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</si>
  <si>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</si>
  <si>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</si>
  <si>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</si>
  <si>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</si>
  <si>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</si>
  <si>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</si>
  <si>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</si>
  <si>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</si>
  <si>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</si>
  <si>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</si>
  <si>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</si>
  <si>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</si>
  <si>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</si>
  <si>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</si>
  <si>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</si>
  <si>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</si>
  <si>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</si>
  <si>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</si>
  <si>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</si>
  <si>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</si>
  <si>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</si>
  <si>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</si>
  <si>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</si>
  <si>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</si>
  <si>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</si>
  <si>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</si>
  <si>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</si>
  <si>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</si>
  <si>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</si>
  <si>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</si>
  <si>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</si>
  <si>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</si>
  <si>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</si>
  <si>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</si>
  <si>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</si>
  <si>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</si>
  <si>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</si>
  <si>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</si>
  <si>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</si>
  <si>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</si>
  <si>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</si>
  <si>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</si>
  <si>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</si>
  <si>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</si>
  <si>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</si>
  <si>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</si>
  <si>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</si>
  <si>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</si>
  <si>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</si>
  <si>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</si>
  <si>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</si>
  <si>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</si>
  <si>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</si>
  <si>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</si>
  <si>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</si>
  <si>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</si>
  <si>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</si>
  <si>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</si>
  <si>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</si>
  <si>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</si>
  <si>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</si>
  <si>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</si>
  <si>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</si>
  <si>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</si>
  <si>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</si>
  <si>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</si>
  <si>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</si>
  <si>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</si>
  <si>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</si>
  <si>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</si>
  <si>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</si>
  <si>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</si>
  <si>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</si>
  <si>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</si>
  <si>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</si>
  <si>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</si>
  <si>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</si>
  <si>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</si>
  <si>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</si>
  <si>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</si>
  <si>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</si>
  <si>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</si>
  <si>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</si>
  <si>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</si>
  <si>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</si>
  <si>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</si>
  <si>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</si>
  <si>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</si>
  <si>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</si>
  <si>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</si>
  <si>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</si>
  <si>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</si>
  <si>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</si>
  <si>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</si>
  <si>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</si>
  <si>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</si>
  <si>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</si>
  <si>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</si>
  <si>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</si>
  <si>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</si>
  <si>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</si>
  <si>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</si>
  <si>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</si>
  <si>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</si>
  <si>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</si>
  <si>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</si>
  <si>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</si>
  <si>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</si>
  <si>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</si>
  <si>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</si>
  <si>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</si>
  <si>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</si>
  <si>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</si>
  <si>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</si>
  <si>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</si>
  <si>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</si>
  <si>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</si>
  <si>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</si>
  <si>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</si>
  <si>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</si>
  <si>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</si>
  <si>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</si>
  <si>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</si>
  <si>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</si>
  <si>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</si>
  <si>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</si>
  <si>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</si>
  <si>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</si>
  <si>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</si>
  <si>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</si>
  <si>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</si>
  <si>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</si>
  <si>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</si>
  <si>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</si>
  <si>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</si>
  <si>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</si>
  <si>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</si>
  <si>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</si>
  <si>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</si>
  <si>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</si>
  <si>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</si>
  <si>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</si>
  <si>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</si>
  <si>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</si>
  <si>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</si>
  <si>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</si>
  <si>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</si>
  <si>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</si>
  <si>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</si>
  <si>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</si>
  <si>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</si>
  <si>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</si>
  <si>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</si>
  <si>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</si>
  <si>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</si>
  <si>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</si>
  <si>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</si>
  <si>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</si>
  <si>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</si>
  <si>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</si>
  <si>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</si>
  <si>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</si>
  <si>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</si>
  <si>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</si>
  <si>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</si>
  <si>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</si>
  <si>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</si>
  <si>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</si>
  <si>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</si>
  <si>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</si>
  <si>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</si>
  <si>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</si>
  <si>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</si>
  <si>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</si>
  <si>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</si>
  <si>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</si>
  <si>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</si>
  <si>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</si>
  <si>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</si>
  <si>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</si>
  <si>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</si>
  <si>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</si>
  <si>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</si>
  <si>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</si>
  <si>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</si>
  <si>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</si>
  <si>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</si>
  <si>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</si>
  <si>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</si>
  <si>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</si>
  <si>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</si>
  <si>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</si>
  <si>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</si>
  <si>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</si>
  <si>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</si>
  <si>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</si>
  <si>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</si>
  <si>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</si>
  <si>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</si>
  <si>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</si>
  <si>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</si>
  <si>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</si>
  <si>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</si>
  <si>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</si>
  <si>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</si>
  <si>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</si>
  <si>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</si>
  <si>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</si>
  <si>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</si>
  <si>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</si>
  <si>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</si>
  <si>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</si>
  <si>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</si>
  <si>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</si>
  <si>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</si>
  <si>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</si>
  <si>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</si>
  <si>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</si>
  <si>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</si>
  <si>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</si>
  <si>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</si>
  <si>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</si>
  <si>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</si>
  <si>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</si>
  <si>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</si>
  <si>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</si>
  <si>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</si>
  <si>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</si>
  <si>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</si>
  <si>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</si>
  <si>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</si>
  <si>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</si>
  <si>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</si>
  <si>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</si>
  <si>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</si>
  <si>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</si>
  <si>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</si>
  <si>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</si>
  <si>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</si>
  <si>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</si>
  <si>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</si>
  <si>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</si>
  <si>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</si>
  <si>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</si>
  <si>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</si>
  <si>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</si>
  <si>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</si>
  <si>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</si>
  <si>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</si>
  <si>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</si>
  <si>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</si>
  <si>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</si>
  <si>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</si>
  <si>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</si>
  <si>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</si>
  <si>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</si>
  <si>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</si>
  <si>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</si>
  <si>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</si>
  <si>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</si>
  <si>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</si>
  <si>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</si>
  <si>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</si>
  <si>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</si>
  <si>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</si>
  <si>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</si>
  <si>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</si>
  <si>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</si>
  <si>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</si>
  <si>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</si>
  <si>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</si>
  <si>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</si>
  <si>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</si>
  <si>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</si>
  <si>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</si>
  <si>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</si>
  <si>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</si>
  <si>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</si>
  <si>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</si>
  <si>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</si>
  <si>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</si>
  <si>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</si>
  <si>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</si>
  <si>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</si>
  <si>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</si>
  <si>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</si>
  <si>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</si>
  <si>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</si>
  <si>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</si>
  <si>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</si>
  <si>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</si>
  <si>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</si>
  <si>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</si>
  <si>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</si>
  <si>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</si>
  <si>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</si>
  <si>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</si>
  <si>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</si>
  <si>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</si>
  <si>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</si>
  <si>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</si>
  <si>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</si>
  <si>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</si>
  <si>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</si>
  <si>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</si>
  <si>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</si>
  <si>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</si>
  <si>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</si>
  <si>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</si>
  <si>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</si>
  <si>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</si>
  <si>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</si>
  <si>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</si>
  <si>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</si>
  <si>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</si>
  <si>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</si>
  <si>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</si>
  <si>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</si>
  <si>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</si>
  <si>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</si>
  <si>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</si>
  <si>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</si>
  <si>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</si>
  <si>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</si>
  <si>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</si>
  <si>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</si>
  <si>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</si>
  <si>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</si>
  <si>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</si>
  <si>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</si>
  <si>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</si>
  <si>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</si>
  <si>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</si>
  <si>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</si>
  <si>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</si>
  <si>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</si>
  <si>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</si>
  <si>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</si>
  <si>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</si>
  <si>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</si>
  <si>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</si>
  <si>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</si>
  <si>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</si>
  <si>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</si>
  <si>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</si>
  <si>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</si>
  <si>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</si>
  <si>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</si>
  <si>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</si>
  <si>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</si>
  <si>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</si>
  <si>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</si>
  <si>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</si>
  <si>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</si>
  <si>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</si>
  <si>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</si>
  <si>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</si>
  <si>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</si>
  <si>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</si>
  <si>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</si>
  <si>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</si>
  <si>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</si>
  <si>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</si>
  <si>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</si>
  <si>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</si>
  <si>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</si>
  <si>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</si>
  <si>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</si>
  <si>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</si>
  <si>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</si>
  <si>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</si>
  <si>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</si>
  <si>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</si>
  <si>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</si>
  <si>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</si>
  <si>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</si>
  <si>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</si>
  <si>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</si>
  <si>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</si>
  <si>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</si>
  <si>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</si>
  <si>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</si>
  <si>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</si>
  <si>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</si>
  <si>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</si>
  <si>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</si>
  <si>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</si>
  <si>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</si>
  <si>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</si>
  <si>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</si>
  <si>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</si>
  <si>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</si>
  <si>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</si>
  <si>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</si>
  <si>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</si>
  <si>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</si>
  <si>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</si>
  <si>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</si>
  <si>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</si>
  <si>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</si>
  <si>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</si>
  <si>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</si>
  <si>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</si>
  <si>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</si>
  <si>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</si>
  <si>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</si>
  <si>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</si>
  <si>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</si>
  <si>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</si>
  <si>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</si>
  <si>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</si>
  <si>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</si>
  <si>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</si>
  <si>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</si>
  <si>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</si>
  <si>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</si>
  <si>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</si>
  <si>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</si>
  <si>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</si>
  <si>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</si>
  <si>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</si>
  <si>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</si>
  <si>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</si>
  <si>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</si>
  <si>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</si>
  <si>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</si>
  <si>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</si>
  <si>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</si>
  <si>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</si>
  <si>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</si>
  <si>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</si>
  <si>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</si>
  <si>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</si>
  <si>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</si>
  <si>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</si>
  <si>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</si>
  <si>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</si>
  <si>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</si>
  <si>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</si>
  <si>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</si>
  <si>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</si>
  <si>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</si>
  <si>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</si>
  <si>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</si>
  <si>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</si>
  <si>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</si>
  <si>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</si>
  <si>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</si>
  <si>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</si>
  <si>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</si>
  <si>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</si>
  <si>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</si>
  <si>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</si>
  <si>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</si>
  <si>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</si>
  <si>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</si>
  <si>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</si>
  <si>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</si>
  <si>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</si>
  <si>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</si>
  <si>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</si>
  <si>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</si>
  <si>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</si>
  <si>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</si>
  <si>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</si>
  <si>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</si>
  <si>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</si>
  <si>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</si>
  <si>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</si>
  <si>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</si>
  <si>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</si>
  <si>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</si>
  <si>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</si>
  <si>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</si>
  <si>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</si>
  <si>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</si>
  <si>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</si>
  <si>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</si>
  <si>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</si>
  <si>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</si>
  <si>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</si>
  <si>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</si>
  <si>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</si>
  <si>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</si>
  <si>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</si>
  <si>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</si>
  <si>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</si>
  <si>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</si>
  <si>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</si>
  <si>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</si>
  <si>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</si>
  <si>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</si>
  <si>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</si>
  <si>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</si>
  <si>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</si>
  <si>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</si>
  <si>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</si>
  <si>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</si>
  <si>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</si>
  <si>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</si>
  <si>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</si>
  <si>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</si>
  <si>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</si>
  <si>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</si>
  <si>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</si>
  <si>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</si>
  <si>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</si>
  <si>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</si>
  <si>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</si>
  <si>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</si>
  <si>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</si>
  <si>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</si>
  <si>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</si>
  <si>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</si>
  <si>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</si>
  <si>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</si>
  <si>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</si>
  <si>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</si>
  <si>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</si>
  <si>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</si>
  <si>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</si>
  <si>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</si>
  <si>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</si>
  <si>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</si>
  <si>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</si>
  <si>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</si>
  <si>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</si>
  <si>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</si>
  <si>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</si>
  <si>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</si>
  <si>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</si>
  <si>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</si>
  <si>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</si>
  <si>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</si>
  <si>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</si>
  <si>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</si>
  <si>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</si>
  <si>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</si>
  <si>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</si>
  <si>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</si>
  <si>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</si>
  <si>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</si>
  <si>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</si>
  <si>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</si>
  <si>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</si>
  <si>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</si>
  <si>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</si>
  <si>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</si>
  <si>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</si>
  <si>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</si>
  <si>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</si>
  <si>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</si>
  <si>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</si>
  <si>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</si>
  <si>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</si>
  <si>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</si>
  <si>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</si>
  <si>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</si>
  <si>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</si>
  <si>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</si>
  <si>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</si>
  <si>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</si>
  <si>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</si>
  <si>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</si>
  <si>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</si>
  <si>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</si>
  <si>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</si>
  <si>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</si>
  <si>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</si>
  <si>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</si>
  <si>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</si>
  <si>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</si>
  <si>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</si>
  <si>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</si>
  <si>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</si>
  <si>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</si>
  <si>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</si>
  <si>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</si>
  <si>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</si>
  <si>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</si>
  <si>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</si>
  <si>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</si>
  <si>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</si>
  <si>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</si>
  <si>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</si>
  <si>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</si>
  <si>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</si>
  <si>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</si>
  <si>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</si>
  <si>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</si>
  <si>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</si>
  <si>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</si>
  <si>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</si>
  <si>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</si>
  <si>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</si>
  <si>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</si>
  <si>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</si>
  <si>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</si>
  <si>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</si>
  <si>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</si>
  <si>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</si>
  <si>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</si>
  <si>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</si>
  <si>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</si>
  <si>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</si>
  <si>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</si>
  <si>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</si>
  <si>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</si>
  <si>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</si>
  <si>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</si>
  <si>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</si>
  <si>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</si>
  <si>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</si>
  <si>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</si>
  <si>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</si>
  <si>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</si>
  <si>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</si>
  <si>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</si>
  <si>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</si>
  <si>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</si>
  <si>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</si>
  <si>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</si>
  <si>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</si>
  <si>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</si>
  <si>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</si>
  <si>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</si>
  <si>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</si>
  <si>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</si>
  <si>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</si>
  <si>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</si>
  <si>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</si>
  <si>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</si>
  <si>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</si>
  <si>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</si>
  <si>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</si>
  <si>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</si>
  <si>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</si>
  <si>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</si>
  <si>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</si>
  <si>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</si>
  <si>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</si>
  <si>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</si>
  <si>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</si>
  <si>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</si>
  <si>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</si>
  <si>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</si>
  <si>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</si>
  <si>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</si>
  <si>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</si>
  <si>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</si>
  <si>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</si>
  <si>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</si>
  <si>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</si>
  <si>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</si>
  <si>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</si>
  <si>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</si>
  <si>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</si>
  <si>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</si>
  <si>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</si>
  <si>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</si>
  <si>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</si>
  <si>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</si>
  <si>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</si>
  <si>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</si>
  <si>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</si>
  <si>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</si>
  <si>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</si>
  <si>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</si>
  <si>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</si>
  <si>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</si>
  <si>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</si>
  <si>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</si>
  <si>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</si>
  <si>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</si>
  <si>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</si>
  <si>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</si>
  <si>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</si>
  <si>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</si>
  <si>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</si>
  <si>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</si>
  <si>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</si>
  <si>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</si>
  <si>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</si>
  <si>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</si>
  <si>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</si>
  <si>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</si>
  <si>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</si>
  <si>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</si>
  <si>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</si>
  <si>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</si>
  <si>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</si>
  <si>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</si>
  <si>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</si>
  <si>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</si>
  <si>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</si>
  <si>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</si>
  <si>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</si>
  <si>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</si>
  <si>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</si>
  <si>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</si>
  <si>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</si>
  <si>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</si>
  <si>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</si>
  <si>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</si>
  <si>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</si>
  <si>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</si>
  <si>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</si>
  <si>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</si>
  <si>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</si>
  <si>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</si>
  <si>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</si>
  <si>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</si>
  <si>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</si>
  <si>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</si>
  <si>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</si>
  <si>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</si>
  <si>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</si>
  <si>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</si>
  <si>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</si>
  <si>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</si>
  <si>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</si>
  <si>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</si>
  <si>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</si>
  <si>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</si>
  <si>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</si>
  <si>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</si>
  <si>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</si>
  <si>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</si>
  <si>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</si>
  <si>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</si>
  <si>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</si>
  <si>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</si>
  <si>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</si>
  <si>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</si>
  <si>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</si>
  <si>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</si>
  <si>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</si>
  <si>
    <t>Будівництво ПЛІ-0,4 кВ Л-1 оп.1-3-33, оп.64-66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</si>
  <si>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 xml:space="preserve">Будівництво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 </t>
  </si>
  <si>
    <t>Будівництво ПЛ-10 кВ Л-134 оп.248-700-712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</si>
  <si>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>Будівництво ПЛ,ПЛІ-0,4 кВ Л-1,Л-3 КТП-606 в с.Калинівка Кропивницьких ЕМ для зовнішнього електропостачання житлового будинку Переверзєва А.В. по вул. Інгульська, 86 (приєднання)</t>
  </si>
  <si>
    <t>https://zakupivli.pro/gov/tenders/ua-2025-06-18-011358-a</t>
  </si>
  <si>
    <t>https://zakupivli.pro/gov/tenders/ua-2025-06-18-011141-a</t>
  </si>
  <si>
    <t>https://zakupivli.pro/gov/tenders/ua-2025-06-18-010961-a</t>
  </si>
  <si>
    <t>https://zakupivli.pro/gov/tenders/ua-2025-06-18-000255-a</t>
  </si>
  <si>
    <t>Реконструкція ЗТП-69А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</si>
  <si>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ЗТП-69А Л-8 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</si>
  <si>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 Л-8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</si>
  <si>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Будівництво КЛ-0,4 кВ ТП-478 А-15 ком.4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</si>
  <si>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Реконструкція ЗТП-69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</si>
  <si>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Реконструкція ЗТП-478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</si>
  <si>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 xml:space="preserve">Будівництво КЛ-0,4 кВ ТП-478 А-14 ком.2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</si>
  <si>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https://zakupivli.pro/gov/tenders/ua-2025-06-19-007510-a</t>
  </si>
  <si>
    <t>https://zakupivli.pro/gov/tenders/ua-2025-06-19-007258-a</t>
  </si>
  <si>
    <t>https://zakupivli.pro/gov/tenders/ua-2025-06-19-007122-a</t>
  </si>
  <si>
    <t>https://zakupivli.pro/gov/tenders/ua-2025-06-19-007061-a</t>
  </si>
  <si>
    <t>https://zakupivli.pro/gov/tenders/ua-2025-06-19-007019-a</t>
  </si>
  <si>
    <t>https://zakupivli.pro/gov/tenders/ua-2025-06-19-006954-a</t>
  </si>
  <si>
    <t>https://zakupivli.pro/gov/tenders/ua-2025-06-19-006872-a</t>
  </si>
  <si>
    <t>Капітальний  ремонт будівлі ЗТП-1393 по вул. Самофалова, м. Олександрія, Кіровоградської обл.(Улаштування покрівлі з металопрофілю). Ремонтна програма.</t>
  </si>
  <si>
    <t>Капітальний  ремонт будівлі ЗТП-1040 по пр. Соборному, м. Олександрія, Кіровоградської обл.(Улаштування покрівлі з металопрофілю, вимощення). Ремонтна програма.</t>
  </si>
  <si>
    <t>Будівництво КТП-246 в с-щі Кам'янець Кропивницького району для зовнішнього електропостачання нежитлового приміщення ТОВ "Вересень плюс" по вул. Центральна, буд.4-А (приєднання)</t>
  </si>
  <si>
    <t>Капітальний  ремонт будівлі ЗТП-1181 по пр. Соборний, м. Олександрія, Кіровоградської обл.(Улаштування покрівлі з металопрофілю). Ремонтна програма</t>
  </si>
  <si>
    <t>Капітальний  ремонт будівлі ЗТП-1176 по вул. Семашко, м. Олександрія, Кіровоградської обл.(Улаштування покрівлі з металопрофілю, вимощення). Ремонтна програма</t>
  </si>
  <si>
    <t>https://zakupivli.pro/gov/tenders/ua-2025-06-20-003030-a</t>
  </si>
  <si>
    <t>https://zakupivli.pro/gov/tenders/ua-2025-06-20-002917-a</t>
  </si>
  <si>
    <t>https://zakupivli.pro/gov/tenders/ua-2025-06-20-002761-a</t>
  </si>
  <si>
    <t>https://zakupivli.pro/gov/tenders/ua-2025-06-20-002703-a</t>
  </si>
  <si>
    <t>https://zakupivli.pro/gov/tenders/ua-2025-06-20-002566-a</t>
  </si>
  <si>
    <t>Ремонт РВТ, гідроциліндрів (ремонтна програма)</t>
  </si>
  <si>
    <t xml:space="preserve">Будівництво ПЛ-10 кВ Л-126 оп.214-214/1 в с.Клинці Кропивницьких ЕМ для зовнішнього електропостачання комплексу будівель ТОВ"АГРО-СТАЙЛ"  по вул. Перемоги, 42 (приєднання) </t>
  </si>
  <si>
    <t xml:space="preserve">Будівництво ПЛ,ПЛІ-10-0,4 кВ Л-123, Л-1 від КТП-117 в с.Грушка Благовіщенських ЕМ для зовнішнього електропостачання житлового будинку гр. Величко Г.П. по пров.Садовий, 7(приєднання) </t>
  </si>
  <si>
    <t>https://zakupivli.pro/gov/tenders/ua-2025-06-23-004108-a</t>
  </si>
  <si>
    <t>https://zakupivli.pro/gov/tenders/ua-2025-06-23-001718-a</t>
  </si>
  <si>
    <t>https://zakupivli.pro/gov/tenders/ua-2025-06-23-000983-a</t>
  </si>
  <si>
    <t>Будівництво ЩТП-115 в сел. Нова Прага Олександрійських ЕМ для зовнішнього електропостачання ж/б Шкіренко О.С. (приєднання)</t>
  </si>
  <si>
    <t>Будівництво ПЛ,ПЛІ-0,4 кВ Л-7, Л-4 КТП-407 в м.Благовіщенське  для зовнішнього електропостачання житлового будинку гр. Шевченко Н.П.  по вул. Райдужна, 15 (приєднання)</t>
  </si>
  <si>
    <t>Реконструкція ПЛ-0,4 кВ від КТП-44 в сел. Нова Прага Олександрійських ЕМ для зовнішнього електропостачання ж/б Шкіренко О.С. (приєднання)</t>
  </si>
  <si>
    <t>Будівництво ПЛІ-0,4 кВ Л-1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</si>
  <si>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Будівництво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</si>
  <si>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https://zakupivli.pro/gov/tenders/ua-2025-06-24-000612-a</t>
  </si>
  <si>
    <t>https://zakupivli.pro/gov/tenders/ua-2025-06-24-000503-a</t>
  </si>
  <si>
    <t>https://zakupivli.pro/gov/tenders/ua-2025-06-24-000275-a</t>
  </si>
  <si>
    <t>https://zakupivli.pro/gov/tenders/ua-2025-06-24-000229-a</t>
  </si>
  <si>
    <t>https://zakupivli.pro/gov/tenders/ua-2025-06-24-000119-a</t>
  </si>
  <si>
    <t xml:space="preserve">Будівництво ПЛ-10 кВ Л-210 в м.Новоукраїнка для зовнішнього електропостачання ж/б Яндульського О.І.(приєднання) </t>
  </si>
  <si>
    <t>Будівництво ЩТП-85 в м.Новоукраїнка для зовнішнього електропостачання ж/б Яндульського О.І. (приєднання)</t>
  </si>
  <si>
    <t>Реконструкція ПЛ-0,4 кВ від КТП-14 в м.Новоукраїнка для зовнішнього електропостачання ж/б Яндульського О.І. (приєднання)</t>
  </si>
  <si>
    <t>https://zakupivli.pro/gov/tenders/ua-2025-06-25-008168-a</t>
  </si>
  <si>
    <t>https://zakupivli.pro/gov/tenders/ua-2025-06-25-007605-a</t>
  </si>
  <si>
    <t>https://zakupivli.pro/gov/tenders/ua-2025-06-25-007384-a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</si>
</sst>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00"/>
    <numFmt numFmtId="166" formatCode="#,##0.000"/>
    <numFmt numFmtId="167" formatCode="#,##0.00000"/>
    <numFmt numFmtId="168" formatCode="0.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2105" Type="http://schemas.openxmlformats.org/officeDocument/2006/relationships/hyperlink" Target="https://my.zakupivli.pro/remote/dispatcher/state_purchase_view/60216674" TargetMode="External"/><Relationship Id="rId1121" Type="http://schemas.openxmlformats.org/officeDocument/2006/relationships/hyperlink" Target="https://my.zakupivli.pro/remote/dispatcher/state_purchase_view/51251419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7" Type="http://schemas.openxmlformats.org/officeDocument/2006/relationships/hyperlink" Target="https://zakupki.prom.ua/gov/tenders/UA-2022-11-14-013851-a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2149" Type="http://schemas.openxmlformats.org/officeDocument/2006/relationships/hyperlink" Target="https://zakupivli.pro/gov/tenders/ua-2025-06-25-007605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my.zakupivli.pro/remote/dispatcher/state_purchase_view/57606569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073" Type="http://schemas.openxmlformats.org/officeDocument/2006/relationships/hyperlink" Target="https://my.zakupivli.pro/remote/dispatcher/state_purchase_view/6006873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2140" Type="http://schemas.openxmlformats.org/officeDocument/2006/relationships/hyperlink" Target="https://zakupivli.pro/gov/tenders/ua-2025-06-24-000612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2111" Type="http://schemas.openxmlformats.org/officeDocument/2006/relationships/hyperlink" Target="https://my.zakupivli.pro/remote/dispatcher/state_purchase_view/60215232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my.zakupivli.pro/remote/dispatcher/state_purchase_view/5809622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2133" Type="http://schemas.openxmlformats.org/officeDocument/2006/relationships/hyperlink" Target="https://zakupivli.pro/gov/tenders/ua-2025-06-23-001718-a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2104" Type="http://schemas.openxmlformats.org/officeDocument/2006/relationships/hyperlink" Target="https://zakupivli.pro/gov/tenders/ua-2025-06-18-0002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2126" Type="http://schemas.openxmlformats.org/officeDocument/2006/relationships/hyperlink" Target="https://zakupivli.pro/gov/tenders/ua-2025-06-20-002761-a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2148" Type="http://schemas.openxmlformats.org/officeDocument/2006/relationships/hyperlink" Target="https://zakupivli.pro/gov/tenders/ua-2025-06-25-0081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2119" Type="http://schemas.openxmlformats.org/officeDocument/2006/relationships/hyperlink" Target="https://my.zakupivli.pro/remote/dispatcher/state_purchase_view/60238175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2110" Type="http://schemas.openxmlformats.org/officeDocument/2006/relationships/hyperlink" Target="https://my.zakupivli.pro/remote/dispatcher/state_purchase_view/60215368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2132" Type="http://schemas.openxmlformats.org/officeDocument/2006/relationships/hyperlink" Target="https://zakupivli.pro/gov/tenders/ua-2025-06-23-004108-a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2103" Type="http://schemas.openxmlformats.org/officeDocument/2006/relationships/hyperlink" Target="https://zakupivli.pro/gov/tenders/ua-2025-06-18-010961-a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2125" Type="http://schemas.openxmlformats.org/officeDocument/2006/relationships/hyperlink" Target="https://zakupivli.pro/gov/tenders/ua-2025-06-20-002917-a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2147" Type="http://schemas.openxmlformats.org/officeDocument/2006/relationships/hyperlink" Target="https://my.zakupivli.pro/remote/dispatcher/state_purchase_view/60340885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118" Type="http://schemas.openxmlformats.org/officeDocument/2006/relationships/hyperlink" Target="https://zakupivli.pro/gov/tenders/ua-2025-06-19-006872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2131" Type="http://schemas.openxmlformats.org/officeDocument/2006/relationships/hyperlink" Target="https://my.zakupivli.pro/remote/dispatcher/state_purchase_view/6026380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2102" Type="http://schemas.openxmlformats.org/officeDocument/2006/relationships/hyperlink" Target="https://zakupivli.pro/gov/tenders/ua-2025-06-18-011141-a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2124" Type="http://schemas.openxmlformats.org/officeDocument/2006/relationships/hyperlink" Target="https://zakupivli.pro/gov/tenders/ua-2025-06-20-003030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2146" Type="http://schemas.openxmlformats.org/officeDocument/2006/relationships/hyperlink" Target="https://my.zakupivli.pro/remote/dispatcher/state_purchase_view/60341421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2117" Type="http://schemas.openxmlformats.org/officeDocument/2006/relationships/hyperlink" Target="https://zakupivli.pro/gov/tenders/ua-2025-06-19-006954-a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2139" Type="http://schemas.openxmlformats.org/officeDocument/2006/relationships/hyperlink" Target="https://my.zakupivli.pro/remote/dispatcher/state_purchase_view/60292907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2130" Type="http://schemas.openxmlformats.org/officeDocument/2006/relationships/hyperlink" Target="https://my.zakupivli.pro/remote/dispatcher/state_purchase_view/60265394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2101" Type="http://schemas.openxmlformats.org/officeDocument/2006/relationships/hyperlink" Target="https://zakupivli.pro/gov/tenders/ua-2025-06-18-011358-a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2123" Type="http://schemas.openxmlformats.org/officeDocument/2006/relationships/hyperlink" Target="https://my.zakupivli.pro/remote/dispatcher/state_purchase_view/60237216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2145" Type="http://schemas.openxmlformats.org/officeDocument/2006/relationships/hyperlink" Target="https://my.zakupivli.pro/remote/dispatcher/state_purchase_view/60342656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2116" Type="http://schemas.openxmlformats.org/officeDocument/2006/relationships/hyperlink" Target="https://zakupivli.pro/gov/tenders/ua-2025-06-19-007019-a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2138" Type="http://schemas.openxmlformats.org/officeDocument/2006/relationships/hyperlink" Target="https://my.zakupivli.pro/remote/dispatcher/state_purchase_view/60293182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2151" Type="http://schemas.openxmlformats.org/officeDocument/2006/relationships/printerSettings" Target="../printerSettings/printerSettings1.bin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2109" Type="http://schemas.openxmlformats.org/officeDocument/2006/relationships/hyperlink" Target="https://my.zakupivli.pro/remote/dispatcher/state_purchase_view/60215472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2100" Type="http://schemas.openxmlformats.org/officeDocument/2006/relationships/hyperlink" Target="https://my.zakupivli.pro/remote/dispatcher/state_purchase_view/60168545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2122" Type="http://schemas.openxmlformats.org/officeDocument/2006/relationships/hyperlink" Target="https://my.zakupivli.pro/remote/dispatcher/state_purchase_view/60237438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2144" Type="http://schemas.openxmlformats.org/officeDocument/2006/relationships/hyperlink" Target="https://zakupivli.pro/gov/tenders/ua-2025-06-24-000119-a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2099" Type="http://schemas.openxmlformats.org/officeDocument/2006/relationships/hyperlink" Target="https://my.zakupivli.pro/remote/dispatcher/state_purchase_view/60193024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2115" Type="http://schemas.openxmlformats.org/officeDocument/2006/relationships/hyperlink" Target="https://zakupivli.pro/gov/tenders/ua-2025-06-19-007061-a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2137" Type="http://schemas.openxmlformats.org/officeDocument/2006/relationships/hyperlink" Target="https://my.zakupivli.pro/remote/dispatcher/state_purchase_view/60293316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2150" Type="http://schemas.openxmlformats.org/officeDocument/2006/relationships/hyperlink" Target="https://zakupivli.pro/gov/tenders/ua-2025-06-25-007384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2108" Type="http://schemas.openxmlformats.org/officeDocument/2006/relationships/hyperlink" Target="https://my.zakupivli.pro/remote/dispatcher/state_purchase_view/60215677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121" Type="http://schemas.openxmlformats.org/officeDocument/2006/relationships/hyperlink" Target="https://my.zakupivli.pro/remote/dispatcher/state_purchase_view/60237708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2143" Type="http://schemas.openxmlformats.org/officeDocument/2006/relationships/hyperlink" Target="https://zakupivli.pro/gov/tenders/ua-2025-06-24-000229-a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098" Type="http://schemas.openxmlformats.org/officeDocument/2006/relationships/hyperlink" Target="https://my.zakupivli.pro/remote/dispatcher/state_purchase_view/60193349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2114" Type="http://schemas.openxmlformats.org/officeDocument/2006/relationships/hyperlink" Target="https://zakupivli.pro/gov/tenders/ua-2025-06-19-007122-a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2136" Type="http://schemas.openxmlformats.org/officeDocument/2006/relationships/hyperlink" Target="https://my.zakupivli.pro/remote/dispatcher/state_purchase_view/60293760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2107" Type="http://schemas.openxmlformats.org/officeDocument/2006/relationships/hyperlink" Target="https://my.zakupivli.pro/remote/dispatcher/state_purchase_view/60215788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2129" Type="http://schemas.openxmlformats.org/officeDocument/2006/relationships/hyperlink" Target="https://my.zakupivli.pro/remote/dispatcher/state_purchase_view/60270749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120" Type="http://schemas.openxmlformats.org/officeDocument/2006/relationships/hyperlink" Target="https://my.zakupivli.pro/remote/dispatcher/state_purchase_view/60237997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2142" Type="http://schemas.openxmlformats.org/officeDocument/2006/relationships/hyperlink" Target="https://zakupivli.pro/gov/tenders/ua-2025-06-24-000275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hyperlink" Target="https://my.zakupivli.pro/remote/dispatcher/state_purchase_view/60193887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2113" Type="http://schemas.openxmlformats.org/officeDocument/2006/relationships/hyperlink" Target="https://zakupivli.pro/gov/tenders/ua-2025-06-19-007258-a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2135" Type="http://schemas.openxmlformats.org/officeDocument/2006/relationships/hyperlink" Target="https://my.zakupivli.pro/remote/dispatcher/state_purchase_view/60294015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106" Type="http://schemas.openxmlformats.org/officeDocument/2006/relationships/hyperlink" Target="https://my.zakupivli.pro/remote/dispatcher/state_purchase_view/60216127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2128" Type="http://schemas.openxmlformats.org/officeDocument/2006/relationships/hyperlink" Target="https://zakupivli.pro/gov/tenders/ua-2025-06-20-002566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2141" Type="http://schemas.openxmlformats.org/officeDocument/2006/relationships/hyperlink" Target="https://zakupivli.pro/gov/tenders/ua-2025-06-24-000503-a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2112" Type="http://schemas.openxmlformats.org/officeDocument/2006/relationships/hyperlink" Target="https://zakupivli.pro/gov/tenders/ua-2025-06-19-007510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2134" Type="http://schemas.openxmlformats.org/officeDocument/2006/relationships/hyperlink" Target="https://zakupivli.pro/gov/tenders/ua-2025-06-23-000983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2127" Type="http://schemas.openxmlformats.org/officeDocument/2006/relationships/hyperlink" Target="https://zakupivli.pro/gov/tenders/ua-2025-06-20-002703-a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1143" Type="http://schemas.openxmlformats.org/officeDocument/2006/relationships/hyperlink" Target="https://zakupivli.pro/gov/tenders/UA-2024-06-06-001299-a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1350" Type="http://schemas.openxmlformats.org/officeDocument/2006/relationships/hyperlink" Target="https://zakupivli.pro/gov/tenders/ua-2024-09-23-002326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7"/>
  <sheetViews>
    <sheetView tabSelected="1" zoomScale="54" zoomScaleNormal="55" workbookViewId="0">
      <pane ySplit="4" topLeftCell="A1086" activePane="bottomLeft" state="frozen"/>
      <selection pane="bottomLeft" activeCell="A1092" sqref="A1092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40" t="s">
        <v>19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</row>
    <row r="2" spans="1:22" ht="99" customHeight="1" x14ac:dyDescent="0.3">
      <c r="A2" s="539" t="s">
        <v>1</v>
      </c>
      <c r="B2" s="539" t="s">
        <v>0</v>
      </c>
      <c r="C2" s="539" t="s">
        <v>29</v>
      </c>
      <c r="D2" s="539" t="s">
        <v>2</v>
      </c>
      <c r="E2" s="539" t="s">
        <v>3</v>
      </c>
      <c r="F2" s="539" t="s">
        <v>4</v>
      </c>
      <c r="G2" s="539" t="s">
        <v>5</v>
      </c>
      <c r="H2" s="539" t="s">
        <v>6</v>
      </c>
      <c r="I2" s="539"/>
      <c r="J2" s="539"/>
      <c r="K2" s="539" t="s">
        <v>7</v>
      </c>
      <c r="L2" s="539"/>
      <c r="M2" s="539"/>
      <c r="N2" s="539" t="s">
        <v>11</v>
      </c>
      <c r="O2" s="538" t="s">
        <v>12</v>
      </c>
      <c r="P2" s="539" t="s">
        <v>13</v>
      </c>
      <c r="Q2" s="539" t="s">
        <v>14</v>
      </c>
      <c r="R2" s="539"/>
      <c r="S2" s="539"/>
      <c r="T2" s="538" t="s">
        <v>16</v>
      </c>
      <c r="U2" s="539" t="s">
        <v>17</v>
      </c>
      <c r="V2" s="539" t="s">
        <v>18</v>
      </c>
    </row>
    <row r="3" spans="1:22" ht="103.95" customHeight="1" x14ac:dyDescent="0.3">
      <c r="A3" s="539"/>
      <c r="B3" s="539"/>
      <c r="C3" s="539"/>
      <c r="D3" s="539"/>
      <c r="E3" s="539"/>
      <c r="F3" s="539"/>
      <c r="G3" s="539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539"/>
      <c r="O3" s="538"/>
      <c r="P3" s="539"/>
      <c r="Q3" s="30" t="s">
        <v>8</v>
      </c>
      <c r="R3" s="30" t="s">
        <v>9</v>
      </c>
      <c r="S3" s="30" t="s">
        <v>15</v>
      </c>
      <c r="T3" s="538"/>
      <c r="U3" s="539"/>
      <c r="V3" s="539"/>
    </row>
    <row r="4" spans="1:22" x14ac:dyDescent="0.3">
      <c r="A4" s="30">
        <v>1</v>
      </c>
      <c r="B4" s="30">
        <v>2</v>
      </c>
      <c r="C4" s="522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522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522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522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522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522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522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522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522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522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522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522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522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522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8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8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522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522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522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522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522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522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522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522" t="s">
        <v>41</v>
      </c>
      <c r="D168" s="30"/>
      <c r="E168" s="448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522" t="s">
        <v>41</v>
      </c>
      <c r="D169" s="30"/>
      <c r="E169" s="448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522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522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522" t="s">
        <v>41</v>
      </c>
      <c r="D172" s="30"/>
      <c r="E172" s="448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522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522" t="s">
        <v>405</v>
      </c>
      <c r="D174" s="30"/>
      <c r="E174" s="448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522" t="s">
        <v>412</v>
      </c>
      <c r="D175" s="30" t="s">
        <v>58</v>
      </c>
      <c r="E175" s="448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522" t="s">
        <v>32</v>
      </c>
      <c r="D176" s="30" t="s">
        <v>58</v>
      </c>
      <c r="E176" s="448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522" t="s">
        <v>405</v>
      </c>
      <c r="D177" s="30" t="s">
        <v>58</v>
      </c>
      <c r="E177" s="448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522" t="s">
        <v>405</v>
      </c>
      <c r="D178" s="30" t="s">
        <v>58</v>
      </c>
      <c r="E178" s="448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522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522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522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522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522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522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522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522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522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522" t="s">
        <v>41</v>
      </c>
      <c r="D188" s="30"/>
      <c r="E188" s="448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522" t="s">
        <v>41</v>
      </c>
      <c r="D189" s="30"/>
      <c r="E189" s="448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522" t="s">
        <v>41</v>
      </c>
      <c r="D190" s="30"/>
      <c r="E190" s="448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8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522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522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522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522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522" t="s">
        <v>32</v>
      </c>
      <c r="D196" s="30" t="s">
        <v>58</v>
      </c>
      <c r="E196" s="448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8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8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522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522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522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522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522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522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522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522" t="s">
        <v>41</v>
      </c>
      <c r="D206" s="30"/>
      <c r="E206" s="448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522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522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522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522" t="s">
        <v>41</v>
      </c>
      <c r="D210" s="30"/>
      <c r="E210" s="448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522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522" t="s">
        <v>41</v>
      </c>
      <c r="D212" s="30"/>
      <c r="E212" s="448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522" t="s">
        <v>41</v>
      </c>
      <c r="D213" s="30"/>
      <c r="E213" s="448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522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522" t="s">
        <v>41</v>
      </c>
      <c r="D215" s="30"/>
      <c r="E215" s="448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522" t="s">
        <v>41</v>
      </c>
      <c r="D216" s="30" t="s">
        <v>58</v>
      </c>
      <c r="E216" s="448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522" t="s">
        <v>41</v>
      </c>
      <c r="D217" s="30" t="s">
        <v>58</v>
      </c>
      <c r="E217" s="448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522" t="s">
        <v>41</v>
      </c>
      <c r="D218" s="30"/>
      <c r="E218" s="448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522" t="s">
        <v>41</v>
      </c>
      <c r="D219" s="30"/>
      <c r="E219" s="448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522" t="s">
        <v>41</v>
      </c>
      <c r="D220" s="30"/>
      <c r="E220" s="448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522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522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522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522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522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522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522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522" t="s">
        <v>41</v>
      </c>
      <c r="D228" s="30" t="s">
        <v>58</v>
      </c>
      <c r="E228" s="448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522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522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522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522" t="s">
        <v>41</v>
      </c>
      <c r="D232" s="34"/>
      <c r="E232" s="448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522" t="s">
        <v>41</v>
      </c>
      <c r="D233" s="34"/>
      <c r="E233" s="448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522" t="s">
        <v>41</v>
      </c>
      <c r="D234" s="34"/>
      <c r="E234" s="448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522" t="s">
        <v>32</v>
      </c>
      <c r="D235" s="34" t="s">
        <v>58</v>
      </c>
      <c r="E235" s="448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8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8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8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8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522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522" t="s">
        <v>41</v>
      </c>
      <c r="D244" s="39"/>
      <c r="E244" s="448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522" t="s">
        <v>41</v>
      </c>
      <c r="D245" s="39"/>
      <c r="E245" s="448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522" t="s">
        <v>41</v>
      </c>
      <c r="D246" s="39"/>
      <c r="E246" s="448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522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522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22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22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48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48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48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48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48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48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48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48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522" t="s">
        <v>41</v>
      </c>
      <c r="D268" s="77"/>
      <c r="E268" s="448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522" t="s">
        <v>41</v>
      </c>
      <c r="D269" s="77"/>
      <c r="E269" s="448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522" t="s">
        <v>41</v>
      </c>
      <c r="D270" s="77"/>
      <c r="E270" s="448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522" t="s">
        <v>41</v>
      </c>
      <c r="D271" s="77"/>
      <c r="E271" s="448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522" t="s">
        <v>41</v>
      </c>
      <c r="D272" s="77"/>
      <c r="E272" s="448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522" t="s">
        <v>41</v>
      </c>
      <c r="D277" s="80"/>
      <c r="E277" s="448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522" t="s">
        <v>41</v>
      </c>
      <c r="D280" s="86"/>
      <c r="E280" s="448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48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48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48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48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522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48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48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48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48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48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48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48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48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48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48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48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48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48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48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48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48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48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48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1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1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1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1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3" t="s">
        <v>40</v>
      </c>
      <c r="C591" s="454" t="s">
        <v>884</v>
      </c>
      <c r="D591" s="448"/>
      <c r="E591" s="448" t="s">
        <v>20</v>
      </c>
      <c r="F591" s="454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1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48">
        <v>604</v>
      </c>
      <c r="B610" s="453" t="s">
        <v>40</v>
      </c>
      <c r="C610" s="454" t="s">
        <v>41</v>
      </c>
      <c r="D610" s="448"/>
      <c r="E610" s="448" t="s">
        <v>20</v>
      </c>
      <c r="F610" s="454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48">
        <v>646</v>
      </c>
      <c r="B652" s="453" t="s">
        <v>40</v>
      </c>
      <c r="C652" s="454" t="s">
        <v>41</v>
      </c>
      <c r="D652" s="448"/>
      <c r="E652" s="448" t="s">
        <v>20</v>
      </c>
      <c r="F652" s="454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522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522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2001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2002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2003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1991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2004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2005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2006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1623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2007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1624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2001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1625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2008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1626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1622</v>
      </c>
      <c r="D771" s="397" t="s">
        <v>58</v>
      </c>
      <c r="E771" s="365" t="s">
        <v>75</v>
      </c>
      <c r="F771" s="44" t="s">
        <v>2009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1627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2010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1628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2011</v>
      </c>
      <c r="D773" s="354"/>
      <c r="E773" s="365" t="s">
        <v>75</v>
      </c>
      <c r="F773" s="44" t="s">
        <v>1629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1630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2001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1631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1632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1638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1633</v>
      </c>
      <c r="D776" s="397" t="s">
        <v>58</v>
      </c>
      <c r="E776" s="365" t="s">
        <v>75</v>
      </c>
      <c r="F776" s="44" t="s">
        <v>1639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1640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1634</v>
      </c>
      <c r="D777" s="397" t="s">
        <v>58</v>
      </c>
      <c r="E777" s="365" t="s">
        <v>75</v>
      </c>
      <c r="F777" s="44" t="s">
        <v>1639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1641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1635</v>
      </c>
      <c r="D778" s="397" t="s">
        <v>58</v>
      </c>
      <c r="E778" s="365" t="s">
        <v>75</v>
      </c>
      <c r="F778" s="44" t="s">
        <v>1639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1642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1636</v>
      </c>
      <c r="D779" s="397" t="s">
        <v>58</v>
      </c>
      <c r="E779" s="365" t="s">
        <v>75</v>
      </c>
      <c r="F779" s="44" t="s">
        <v>1639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1643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1637</v>
      </c>
      <c r="D780" s="397" t="s">
        <v>58</v>
      </c>
      <c r="E780" s="365" t="s">
        <v>75</v>
      </c>
      <c r="F780" s="44" t="s">
        <v>1639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1644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1645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1651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1646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1652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1647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1653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1648</v>
      </c>
      <c r="D784" s="397" t="s">
        <v>58</v>
      </c>
      <c r="E784" s="366" t="s">
        <v>75</v>
      </c>
      <c r="F784" s="225" t="s">
        <v>1650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1654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1649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1655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1656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1657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1706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1658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1660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1706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1656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1661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1659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1662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1663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1664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1665</v>
      </c>
      <c r="D791" s="397" t="s">
        <v>58</v>
      </c>
      <c r="E791" s="373" t="s">
        <v>75</v>
      </c>
      <c r="F791" s="44" t="s">
        <v>1670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1671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1666</v>
      </c>
      <c r="D792" s="397" t="s">
        <v>58</v>
      </c>
      <c r="E792" s="373" t="s">
        <v>75</v>
      </c>
      <c r="F792" s="44" t="s">
        <v>1670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1671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1667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1672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1668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1673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1669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1674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1675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1678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43.2" x14ac:dyDescent="0.3">
      <c r="A797" s="354">
        <v>791</v>
      </c>
      <c r="B797" s="376" t="s">
        <v>21</v>
      </c>
      <c r="C797" s="44" t="s">
        <v>30</v>
      </c>
      <c r="D797" s="397" t="s">
        <v>58</v>
      </c>
      <c r="E797" s="376" t="s">
        <v>75</v>
      </c>
      <c r="F797" s="44" t="s">
        <v>2199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1679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62.4" x14ac:dyDescent="0.3">
      <c r="A798" s="354">
        <v>792</v>
      </c>
      <c r="B798" s="354" t="s">
        <v>40</v>
      </c>
      <c r="C798" s="44" t="s">
        <v>884</v>
      </c>
      <c r="D798" s="354"/>
      <c r="E798" s="376" t="s">
        <v>20</v>
      </c>
      <c r="F798" s="44" t="s">
        <v>2198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2011</v>
      </c>
      <c r="D799" s="354"/>
      <c r="E799" s="376" t="s">
        <v>20</v>
      </c>
      <c r="F799" s="44" t="s">
        <v>1629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2001</v>
      </c>
      <c r="D800" s="354"/>
      <c r="E800" s="376" t="s">
        <v>20</v>
      </c>
      <c r="F800" s="44" t="s">
        <v>1676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46.8" x14ac:dyDescent="0.3">
      <c r="A801" s="354">
        <v>795</v>
      </c>
      <c r="B801" s="448" t="s">
        <v>21</v>
      </c>
      <c r="C801" s="454" t="s">
        <v>1677</v>
      </c>
      <c r="D801" s="448" t="s">
        <v>58</v>
      </c>
      <c r="E801" s="448" t="s">
        <v>20</v>
      </c>
      <c r="F801" s="454" t="s">
        <v>2197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46.8" x14ac:dyDescent="0.3">
      <c r="A802" s="354">
        <v>796</v>
      </c>
      <c r="B802" s="377" t="s">
        <v>21</v>
      </c>
      <c r="C802" s="44" t="s">
        <v>1684</v>
      </c>
      <c r="D802" s="397" t="s">
        <v>58</v>
      </c>
      <c r="E802" s="377" t="s">
        <v>20</v>
      </c>
      <c r="F802" s="44" t="s">
        <v>2196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1685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62.4" x14ac:dyDescent="0.3">
      <c r="A803" s="354">
        <v>797</v>
      </c>
      <c r="B803" s="378" t="s">
        <v>40</v>
      </c>
      <c r="C803" s="44" t="s">
        <v>884</v>
      </c>
      <c r="D803" s="354"/>
      <c r="E803" s="378" t="s">
        <v>20</v>
      </c>
      <c r="F803" s="44" t="s">
        <v>2195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1689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62.4" x14ac:dyDescent="0.3">
      <c r="A804" s="354">
        <v>798</v>
      </c>
      <c r="B804" s="448" t="s">
        <v>40</v>
      </c>
      <c r="C804" s="454" t="s">
        <v>884</v>
      </c>
      <c r="D804" s="448"/>
      <c r="E804" s="448" t="s">
        <v>20</v>
      </c>
      <c r="F804" s="454" t="s">
        <v>1686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1690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1991</v>
      </c>
      <c r="D805" s="354"/>
      <c r="E805" s="378" t="s">
        <v>20</v>
      </c>
      <c r="F805" s="44" t="s">
        <v>1687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1691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62.4" x14ac:dyDescent="0.3">
      <c r="A806" s="354">
        <v>800</v>
      </c>
      <c r="B806" s="378" t="s">
        <v>40</v>
      </c>
      <c r="C806" s="44" t="s">
        <v>884</v>
      </c>
      <c r="D806" s="354"/>
      <c r="E806" s="378" t="s">
        <v>20</v>
      </c>
      <c r="F806" s="44" t="s">
        <v>2194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1692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62.4" x14ac:dyDescent="0.3">
      <c r="A807" s="354">
        <v>801</v>
      </c>
      <c r="B807" s="448" t="s">
        <v>40</v>
      </c>
      <c r="C807" s="454" t="s">
        <v>1991</v>
      </c>
      <c r="D807" s="448"/>
      <c r="E807" s="448" t="s">
        <v>20</v>
      </c>
      <c r="F807" s="454" t="s">
        <v>1688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1693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88.4" customHeight="1" x14ac:dyDescent="0.3">
      <c r="A808" s="354">
        <v>802</v>
      </c>
      <c r="B808" s="378" t="s">
        <v>40</v>
      </c>
      <c r="C808" s="44" t="s">
        <v>41</v>
      </c>
      <c r="D808" s="354"/>
      <c r="E808" s="378" t="s">
        <v>20</v>
      </c>
      <c r="F808" s="44" t="s">
        <v>2193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1694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3.2" x14ac:dyDescent="0.3">
      <c r="A809" s="354">
        <v>803</v>
      </c>
      <c r="B809" s="378" t="s">
        <v>21</v>
      </c>
      <c r="C809" s="44" t="s">
        <v>176</v>
      </c>
      <c r="D809" s="397" t="s">
        <v>58</v>
      </c>
      <c r="E809" s="378" t="s">
        <v>75</v>
      </c>
      <c r="F809" s="44" t="s">
        <v>2192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1699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1704</v>
      </c>
      <c r="V809" s="354"/>
    </row>
    <row r="810" spans="1:22" ht="43.2" x14ac:dyDescent="0.3">
      <c r="A810" s="354">
        <v>804</v>
      </c>
      <c r="B810" s="378" t="s">
        <v>21</v>
      </c>
      <c r="C810" s="44" t="s">
        <v>969</v>
      </c>
      <c r="D810" s="397" t="s">
        <v>58</v>
      </c>
      <c r="E810" s="378" t="s">
        <v>75</v>
      </c>
      <c r="F810" s="44" t="s">
        <v>2191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1700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1793</v>
      </c>
      <c r="V810" s="354"/>
    </row>
    <row r="811" spans="1:22" ht="43.2" x14ac:dyDescent="0.3">
      <c r="A811" s="354">
        <v>805</v>
      </c>
      <c r="B811" s="448" t="s">
        <v>21</v>
      </c>
      <c r="C811" s="454" t="s">
        <v>2190</v>
      </c>
      <c r="D811" s="448" t="s">
        <v>58</v>
      </c>
      <c r="E811" s="448" t="s">
        <v>75</v>
      </c>
      <c r="F811" s="454" t="s">
        <v>1696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1701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43.2" x14ac:dyDescent="0.3">
      <c r="A812" s="354">
        <v>806</v>
      </c>
      <c r="B812" s="378" t="s">
        <v>21</v>
      </c>
      <c r="C812" s="44" t="s">
        <v>2190</v>
      </c>
      <c r="D812" s="397" t="s">
        <v>58</v>
      </c>
      <c r="E812" s="378" t="s">
        <v>75</v>
      </c>
      <c r="F812" s="44" t="s">
        <v>1697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1702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43.2" x14ac:dyDescent="0.3">
      <c r="A813" s="354">
        <v>807</v>
      </c>
      <c r="B813" s="378" t="s">
        <v>21</v>
      </c>
      <c r="C813" s="44" t="s">
        <v>2190</v>
      </c>
      <c r="D813" s="397" t="s">
        <v>58</v>
      </c>
      <c r="E813" s="378" t="s">
        <v>75</v>
      </c>
      <c r="F813" s="44" t="s">
        <v>1698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1703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1793</v>
      </c>
      <c r="V813" s="354"/>
    </row>
    <row r="814" spans="1:22" ht="43.2" x14ac:dyDescent="0.3">
      <c r="A814" s="354">
        <v>808</v>
      </c>
      <c r="B814" s="380" t="s">
        <v>21</v>
      </c>
      <c r="C814" s="44" t="s">
        <v>2037</v>
      </c>
      <c r="D814" s="397" t="s">
        <v>58</v>
      </c>
      <c r="E814" s="380" t="s">
        <v>75</v>
      </c>
      <c r="F814" s="44" t="s">
        <v>1695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1705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62.4" x14ac:dyDescent="0.3">
      <c r="A815" s="354">
        <v>809</v>
      </c>
      <c r="B815" s="382" t="s">
        <v>40</v>
      </c>
      <c r="C815" s="44" t="s">
        <v>2008</v>
      </c>
      <c r="D815" s="354"/>
      <c r="E815" s="382" t="s">
        <v>20</v>
      </c>
      <c r="F815" s="44" t="s">
        <v>1707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1710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3.2" x14ac:dyDescent="0.3">
      <c r="A816" s="354">
        <v>810</v>
      </c>
      <c r="B816" s="448" t="s">
        <v>21</v>
      </c>
      <c r="C816" s="454" t="s">
        <v>2183</v>
      </c>
      <c r="D816" s="448" t="s">
        <v>58</v>
      </c>
      <c r="E816" s="448" t="s">
        <v>75</v>
      </c>
      <c r="F816" s="454" t="s">
        <v>1708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1711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3.2" x14ac:dyDescent="0.3">
      <c r="A817" s="354">
        <v>811</v>
      </c>
      <c r="B817" s="382" t="s">
        <v>21</v>
      </c>
      <c r="C817" s="44" t="s">
        <v>2183</v>
      </c>
      <c r="D817" s="397" t="s">
        <v>58</v>
      </c>
      <c r="E817" s="382" t="s">
        <v>75</v>
      </c>
      <c r="F817" s="44" t="s">
        <v>1709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1712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62.4" x14ac:dyDescent="0.3">
      <c r="A818" s="354">
        <v>812</v>
      </c>
      <c r="B818" s="385" t="s">
        <v>21</v>
      </c>
      <c r="C818" s="44" t="s">
        <v>412</v>
      </c>
      <c r="D818" s="397" t="s">
        <v>58</v>
      </c>
      <c r="E818" s="385" t="s">
        <v>20</v>
      </c>
      <c r="F818" s="44" t="s">
        <v>2189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1715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62.4" x14ac:dyDescent="0.3">
      <c r="A819" s="354">
        <v>813</v>
      </c>
      <c r="B819" s="385" t="s">
        <v>21</v>
      </c>
      <c r="C819" s="44" t="s">
        <v>412</v>
      </c>
      <c r="D819" s="397" t="s">
        <v>58</v>
      </c>
      <c r="E819" s="385" t="s">
        <v>75</v>
      </c>
      <c r="F819" s="44" t="s">
        <v>2180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1716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1875</v>
      </c>
      <c r="V819" s="354"/>
    </row>
    <row r="820" spans="1:22" ht="43.2" x14ac:dyDescent="0.3">
      <c r="A820" s="354">
        <v>814</v>
      </c>
      <c r="B820" s="385" t="s">
        <v>21</v>
      </c>
      <c r="C820" s="44" t="s">
        <v>2188</v>
      </c>
      <c r="D820" s="397" t="s">
        <v>58</v>
      </c>
      <c r="E820" s="385" t="s">
        <v>75</v>
      </c>
      <c r="F820" s="44" t="s">
        <v>1713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1717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46.8" x14ac:dyDescent="0.3">
      <c r="A821" s="354">
        <v>815</v>
      </c>
      <c r="B821" s="448" t="s">
        <v>21</v>
      </c>
      <c r="C821" s="454" t="s">
        <v>171</v>
      </c>
      <c r="D821" s="448" t="s">
        <v>58</v>
      </c>
      <c r="E821" s="448" t="s">
        <v>75</v>
      </c>
      <c r="F821" s="454" t="s">
        <v>2187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1718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46.8" x14ac:dyDescent="0.3">
      <c r="A822" s="354">
        <v>816</v>
      </c>
      <c r="B822" s="385" t="s">
        <v>21</v>
      </c>
      <c r="C822" s="44" t="s">
        <v>2186</v>
      </c>
      <c r="D822" s="397" t="s">
        <v>58</v>
      </c>
      <c r="E822" s="385" t="s">
        <v>75</v>
      </c>
      <c r="F822" s="44" t="s">
        <v>1714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1719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62.4" x14ac:dyDescent="0.3">
      <c r="A823" s="354">
        <v>817</v>
      </c>
      <c r="B823" s="386" t="s">
        <v>21</v>
      </c>
      <c r="C823" s="44" t="s">
        <v>2007</v>
      </c>
      <c r="D823" s="397" t="s">
        <v>58</v>
      </c>
      <c r="E823" s="386" t="s">
        <v>75</v>
      </c>
      <c r="F823" s="44" t="s">
        <v>1720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1724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109.2" x14ac:dyDescent="0.3">
      <c r="A824" s="354">
        <v>818</v>
      </c>
      <c r="B824" s="448" t="s">
        <v>21</v>
      </c>
      <c r="C824" s="454" t="s">
        <v>2185</v>
      </c>
      <c r="D824" s="448" t="s">
        <v>58</v>
      </c>
      <c r="E824" s="448" t="s">
        <v>75</v>
      </c>
      <c r="F824" s="454" t="s">
        <v>1721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1725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1793</v>
      </c>
      <c r="V824" s="354"/>
    </row>
    <row r="825" spans="1:22" ht="62.4" x14ac:dyDescent="0.3">
      <c r="A825" s="354">
        <v>819</v>
      </c>
      <c r="B825" s="386" t="s">
        <v>21</v>
      </c>
      <c r="C825" s="44" t="s">
        <v>412</v>
      </c>
      <c r="D825" s="354"/>
      <c r="E825" s="386" t="s">
        <v>20</v>
      </c>
      <c r="F825" s="44" t="s">
        <v>2184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1726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62.4" x14ac:dyDescent="0.3">
      <c r="A826" s="354">
        <v>820</v>
      </c>
      <c r="B826" s="386" t="s">
        <v>21</v>
      </c>
      <c r="C826" s="44" t="s">
        <v>2001</v>
      </c>
      <c r="D826" s="354"/>
      <c r="E826" s="386" t="s">
        <v>20</v>
      </c>
      <c r="F826" s="44" t="s">
        <v>1722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1727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78" x14ac:dyDescent="0.3">
      <c r="A827" s="354">
        <v>821</v>
      </c>
      <c r="B827" s="448" t="s">
        <v>40</v>
      </c>
      <c r="C827" s="454" t="s">
        <v>1991</v>
      </c>
      <c r="D827" s="448"/>
      <c r="E827" s="448" t="s">
        <v>20</v>
      </c>
      <c r="F827" s="454" t="s">
        <v>1728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1730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78" x14ac:dyDescent="0.3">
      <c r="A828" s="354">
        <v>822</v>
      </c>
      <c r="B828" s="354" t="s">
        <v>40</v>
      </c>
      <c r="C828" s="44" t="s">
        <v>1991</v>
      </c>
      <c r="D828" s="354"/>
      <c r="E828" s="388" t="s">
        <v>20</v>
      </c>
      <c r="F828" s="44" t="s">
        <v>1729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1731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46.8" x14ac:dyDescent="0.3">
      <c r="A829" s="354">
        <v>823</v>
      </c>
      <c r="B829" s="354" t="s">
        <v>21</v>
      </c>
      <c r="C829" s="41" t="s">
        <v>2183</v>
      </c>
      <c r="D829" s="397" t="s">
        <v>58</v>
      </c>
      <c r="E829" s="354" t="s">
        <v>75</v>
      </c>
      <c r="F829" s="44" t="s">
        <v>1732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1733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93.6" x14ac:dyDescent="0.3">
      <c r="A830" s="354">
        <v>824</v>
      </c>
      <c r="B830" s="354" t="s">
        <v>1150</v>
      </c>
      <c r="C830" s="454" t="s">
        <v>2182</v>
      </c>
      <c r="D830" s="448"/>
      <c r="E830" s="448" t="s">
        <v>75</v>
      </c>
      <c r="F830" s="454" t="s">
        <v>1734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1737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46.8" x14ac:dyDescent="0.3">
      <c r="A831" s="354">
        <v>825</v>
      </c>
      <c r="B831" s="391" t="s">
        <v>21</v>
      </c>
      <c r="C831" s="44" t="s">
        <v>1155</v>
      </c>
      <c r="D831" s="397" t="s">
        <v>58</v>
      </c>
      <c r="E831" s="391" t="s">
        <v>75</v>
      </c>
      <c r="F831" s="44" t="s">
        <v>2181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1738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62.4" x14ac:dyDescent="0.3">
      <c r="A832" s="354">
        <v>826</v>
      </c>
      <c r="B832" s="391" t="s">
        <v>21</v>
      </c>
      <c r="C832" s="454" t="s">
        <v>412</v>
      </c>
      <c r="D832" s="448" t="s">
        <v>58</v>
      </c>
      <c r="E832" s="448" t="s">
        <v>75</v>
      </c>
      <c r="F832" s="454" t="s">
        <v>2180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1739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3">
        <v>45727</v>
      </c>
      <c r="U832" s="354"/>
      <c r="V832" s="354"/>
    </row>
    <row r="833" spans="1:22" ht="62.4" x14ac:dyDescent="0.3">
      <c r="A833" s="354">
        <v>827</v>
      </c>
      <c r="B833" s="354" t="s">
        <v>40</v>
      </c>
      <c r="C833" s="44" t="s">
        <v>1991</v>
      </c>
      <c r="D833" s="354"/>
      <c r="E833" s="354" t="s">
        <v>20</v>
      </c>
      <c r="F833" s="44" t="s">
        <v>1735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1740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93.6" x14ac:dyDescent="0.3">
      <c r="A834" s="354">
        <v>828</v>
      </c>
      <c r="B834" s="354" t="s">
        <v>1150</v>
      </c>
      <c r="C834" s="44" t="s">
        <v>1736</v>
      </c>
      <c r="D834" s="354"/>
      <c r="E834" s="391" t="s">
        <v>75</v>
      </c>
      <c r="F834" s="44" t="s">
        <v>2179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1741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43.2" x14ac:dyDescent="0.3">
      <c r="A835" s="354">
        <v>829</v>
      </c>
      <c r="B835" s="391" t="s">
        <v>21</v>
      </c>
      <c r="C835" s="44" t="s">
        <v>30</v>
      </c>
      <c r="D835" s="397" t="s">
        <v>58</v>
      </c>
      <c r="E835" s="391" t="s">
        <v>75</v>
      </c>
      <c r="F835" s="44" t="s">
        <v>2178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1742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43.2" x14ac:dyDescent="0.3">
      <c r="A836" s="354">
        <v>830</v>
      </c>
      <c r="B836" s="391" t="s">
        <v>21</v>
      </c>
      <c r="C836" s="454" t="s">
        <v>30</v>
      </c>
      <c r="D836" s="448" t="s">
        <v>58</v>
      </c>
      <c r="E836" s="448" t="s">
        <v>75</v>
      </c>
      <c r="F836" s="454" t="s">
        <v>2177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1743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27.8" customHeight="1" x14ac:dyDescent="0.3">
      <c r="A837" s="354">
        <v>831</v>
      </c>
      <c r="B837" s="354" t="s">
        <v>40</v>
      </c>
      <c r="C837" s="44" t="s">
        <v>2081</v>
      </c>
      <c r="D837" s="354"/>
      <c r="E837" s="393" t="s">
        <v>75</v>
      </c>
      <c r="F837" s="44" t="s">
        <v>1744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1746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46.8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2009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1747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62.4" x14ac:dyDescent="0.3">
      <c r="A839" s="354">
        <v>833</v>
      </c>
      <c r="B839" s="354" t="s">
        <v>40</v>
      </c>
      <c r="C839" s="505" t="s">
        <v>1991</v>
      </c>
      <c r="D839" s="448"/>
      <c r="E839" s="448" t="s">
        <v>20</v>
      </c>
      <c r="F839" s="454" t="s">
        <v>1745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1748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62.4" x14ac:dyDescent="0.3">
      <c r="A840" s="354">
        <v>834</v>
      </c>
      <c r="B840" s="43" t="s">
        <v>40</v>
      </c>
      <c r="C840" s="44" t="s">
        <v>41</v>
      </c>
      <c r="D840" s="107"/>
      <c r="E840" s="396" t="s">
        <v>20</v>
      </c>
      <c r="F840" s="44" t="s">
        <v>2176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1749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43.2" x14ac:dyDescent="0.3">
      <c r="A841" s="354">
        <v>835</v>
      </c>
      <c r="B841" s="397" t="s">
        <v>21</v>
      </c>
      <c r="C841" s="44" t="s">
        <v>873</v>
      </c>
      <c r="D841" s="397" t="s">
        <v>58</v>
      </c>
      <c r="E841" s="397" t="s">
        <v>75</v>
      </c>
      <c r="F841" s="44" t="s">
        <v>2175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1751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3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894</v>
      </c>
      <c r="D842" s="354"/>
      <c r="E842" s="397" t="s">
        <v>75</v>
      </c>
      <c r="F842" s="44" t="s">
        <v>2174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1752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54" t="s">
        <v>2167</v>
      </c>
      <c r="D843" s="448"/>
      <c r="E843" s="448" t="s">
        <v>75</v>
      </c>
      <c r="F843" s="454" t="s">
        <v>1750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1753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109.2" x14ac:dyDescent="0.3">
      <c r="A844" s="354">
        <v>838</v>
      </c>
      <c r="B844" s="43" t="s">
        <v>40</v>
      </c>
      <c r="C844" s="44" t="s">
        <v>2008</v>
      </c>
      <c r="D844" s="397" t="s">
        <v>58</v>
      </c>
      <c r="E844" s="397" t="s">
        <v>88</v>
      </c>
      <c r="F844" s="44" t="s">
        <v>1754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1757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1793</v>
      </c>
    </row>
    <row r="845" spans="1:22" ht="109.2" x14ac:dyDescent="0.3">
      <c r="A845" s="354">
        <v>839</v>
      </c>
      <c r="B845" s="43" t="s">
        <v>40</v>
      </c>
      <c r="C845" s="44" t="s">
        <v>2008</v>
      </c>
      <c r="D845" s="397" t="s">
        <v>58</v>
      </c>
      <c r="E845" s="397" t="s">
        <v>88</v>
      </c>
      <c r="F845" s="44" t="s">
        <v>1755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1758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109.2" x14ac:dyDescent="0.3">
      <c r="A846" s="354">
        <v>840</v>
      </c>
      <c r="B846" s="43" t="s">
        <v>40</v>
      </c>
      <c r="C846" s="44" t="s">
        <v>2008</v>
      </c>
      <c r="D846" s="397" t="s">
        <v>58</v>
      </c>
      <c r="E846" s="397" t="s">
        <v>88</v>
      </c>
      <c r="F846" s="44" t="s">
        <v>1756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1759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2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156" x14ac:dyDescent="0.3">
      <c r="A847" s="354">
        <v>841</v>
      </c>
      <c r="B847" s="43" t="s">
        <v>40</v>
      </c>
      <c r="C847" s="44" t="s">
        <v>2008</v>
      </c>
      <c r="D847" s="397" t="s">
        <v>58</v>
      </c>
      <c r="E847" s="397" t="s">
        <v>88</v>
      </c>
      <c r="F847" s="44" t="s">
        <v>1760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1761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48">
        <v>5461.8554999999997</v>
      </c>
      <c r="R847" s="448">
        <v>1</v>
      </c>
      <c r="S847" s="448">
        <v>5461.8554999999997</v>
      </c>
      <c r="T847" s="443">
        <v>45721</v>
      </c>
      <c r="U847" s="354"/>
      <c r="V847" s="354"/>
    </row>
    <row r="848" spans="1:22" ht="109.2" x14ac:dyDescent="0.3">
      <c r="A848" s="354">
        <v>842</v>
      </c>
      <c r="B848" s="43" t="s">
        <v>40</v>
      </c>
      <c r="C848" s="44" t="s">
        <v>41</v>
      </c>
      <c r="D848" s="397" t="s">
        <v>58</v>
      </c>
      <c r="E848" s="397" t="s">
        <v>88</v>
      </c>
      <c r="F848" s="44" t="s">
        <v>2173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1762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5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140.4" x14ac:dyDescent="0.3">
      <c r="A849" s="354">
        <v>843</v>
      </c>
      <c r="B849" s="43" t="s">
        <v>40</v>
      </c>
      <c r="C849" s="44" t="s">
        <v>1991</v>
      </c>
      <c r="D849" s="397" t="s">
        <v>58</v>
      </c>
      <c r="E849" s="397" t="s">
        <v>88</v>
      </c>
      <c r="F849" s="44" t="s">
        <v>1763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1765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5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109.2" x14ac:dyDescent="0.3">
      <c r="A850" s="354">
        <v>844</v>
      </c>
      <c r="B850" s="43" t="s">
        <v>40</v>
      </c>
      <c r="C850" s="44" t="s">
        <v>2008</v>
      </c>
      <c r="D850" s="397" t="s">
        <v>58</v>
      </c>
      <c r="E850" s="397" t="s">
        <v>88</v>
      </c>
      <c r="F850" s="44" t="s">
        <v>1764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1766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5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156" x14ac:dyDescent="0.3">
      <c r="A851" s="354">
        <v>845</v>
      </c>
      <c r="B851" s="43" t="s">
        <v>40</v>
      </c>
      <c r="C851" s="44" t="s">
        <v>41</v>
      </c>
      <c r="D851" s="397" t="s">
        <v>58</v>
      </c>
      <c r="E851" s="397" t="s">
        <v>88</v>
      </c>
      <c r="F851" s="44" t="s">
        <v>2172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1768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5">
        <v>12576.503650000001</v>
      </c>
      <c r="T851" s="355">
        <v>45726</v>
      </c>
      <c r="U851" s="354"/>
      <c r="V851" s="354"/>
    </row>
    <row r="852" spans="1:22" ht="109.2" x14ac:dyDescent="0.3">
      <c r="A852" s="354">
        <v>846</v>
      </c>
      <c r="B852" s="43" t="s">
        <v>40</v>
      </c>
      <c r="C852" s="44" t="s">
        <v>2008</v>
      </c>
      <c r="D852" s="397" t="s">
        <v>58</v>
      </c>
      <c r="E852" s="397" t="s">
        <v>88</v>
      </c>
      <c r="F852" s="44" t="s">
        <v>1767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1769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5">
        <v>2505.1131999999998</v>
      </c>
      <c r="T852" s="355">
        <v>45716</v>
      </c>
      <c r="U852" s="354"/>
      <c r="V852" s="354"/>
    </row>
    <row r="853" spans="1:22" ht="109.2" x14ac:dyDescent="0.3">
      <c r="A853" s="397">
        <v>847</v>
      </c>
      <c r="B853" s="397" t="s">
        <v>40</v>
      </c>
      <c r="C853" s="44" t="s">
        <v>1991</v>
      </c>
      <c r="D853" s="397" t="s">
        <v>58</v>
      </c>
      <c r="E853" s="397" t="s">
        <v>88</v>
      </c>
      <c r="F853" s="44" t="s">
        <v>1770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1771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5">
        <v>3716.3158699999999</v>
      </c>
      <c r="T853" s="398">
        <v>45726</v>
      </c>
      <c r="U853" s="397"/>
      <c r="V853" s="397"/>
    </row>
    <row r="854" spans="1:22" ht="109.2" x14ac:dyDescent="0.3">
      <c r="A854" s="397">
        <v>848</v>
      </c>
      <c r="B854" s="397" t="s">
        <v>40</v>
      </c>
      <c r="C854" s="44" t="s">
        <v>41</v>
      </c>
      <c r="D854" s="397" t="s">
        <v>58</v>
      </c>
      <c r="E854" s="397" t="s">
        <v>88</v>
      </c>
      <c r="F854" s="44" t="s">
        <v>2171</v>
      </c>
      <c r="G854" s="397" t="s">
        <v>184</v>
      </c>
      <c r="H854" s="397" t="s">
        <v>1773</v>
      </c>
      <c r="I854" s="397">
        <v>1</v>
      </c>
      <c r="J854" s="397" t="s">
        <v>1773</v>
      </c>
      <c r="K854" s="397" t="s">
        <v>1773</v>
      </c>
      <c r="L854" s="397">
        <v>1</v>
      </c>
      <c r="M854" s="397" t="s">
        <v>1773</v>
      </c>
      <c r="N854" s="6" t="s">
        <v>1772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5">
        <v>1525.7291700000001</v>
      </c>
      <c r="T854" s="398">
        <v>45727</v>
      </c>
      <c r="U854" s="397"/>
      <c r="V854" s="397"/>
    </row>
    <row r="855" spans="1:22" ht="62.4" x14ac:dyDescent="0.3">
      <c r="A855" s="397">
        <v>849</v>
      </c>
      <c r="B855" s="397" t="s">
        <v>40</v>
      </c>
      <c r="C855" s="44" t="s">
        <v>1991</v>
      </c>
      <c r="D855" s="397"/>
      <c r="E855" s="397" t="s">
        <v>20</v>
      </c>
      <c r="F855" s="44" t="s">
        <v>1774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1776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140.4" x14ac:dyDescent="0.3">
      <c r="A856" s="397">
        <v>850</v>
      </c>
      <c r="B856" s="397" t="s">
        <v>40</v>
      </c>
      <c r="C856" s="44" t="s">
        <v>2008</v>
      </c>
      <c r="D856" s="397" t="s">
        <v>58</v>
      </c>
      <c r="E856" s="397" t="s">
        <v>88</v>
      </c>
      <c r="F856" s="44" t="s">
        <v>1775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1777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5">
        <v>12291.666670000001</v>
      </c>
      <c r="T856" s="398">
        <v>45727</v>
      </c>
      <c r="U856" s="397"/>
      <c r="V856" s="397"/>
    </row>
    <row r="857" spans="1:22" ht="124.8" x14ac:dyDescent="0.3">
      <c r="A857" s="397">
        <v>851</v>
      </c>
      <c r="B857" s="397" t="s">
        <v>40</v>
      </c>
      <c r="C857" s="44" t="s">
        <v>2008</v>
      </c>
      <c r="D857" s="397" t="s">
        <v>58</v>
      </c>
      <c r="E857" s="397" t="s">
        <v>88</v>
      </c>
      <c r="F857" s="44" t="s">
        <v>1778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1780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5">
        <v>8871.6583300000002</v>
      </c>
      <c r="T857" s="398">
        <v>45727</v>
      </c>
      <c r="U857" s="397"/>
      <c r="V857" s="397"/>
    </row>
    <row r="858" spans="1:22" ht="109.2" x14ac:dyDescent="0.3">
      <c r="A858" s="397">
        <v>852</v>
      </c>
      <c r="B858" s="397" t="s">
        <v>40</v>
      </c>
      <c r="C858" s="44" t="s">
        <v>1991</v>
      </c>
      <c r="D858" s="397" t="s">
        <v>58</v>
      </c>
      <c r="E858" s="397" t="s">
        <v>88</v>
      </c>
      <c r="F858" s="44" t="s">
        <v>1779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1781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5">
        <v>2212.82015</v>
      </c>
      <c r="T858" s="398">
        <v>45726</v>
      </c>
      <c r="U858" s="397"/>
      <c r="V858" s="397"/>
    </row>
    <row r="859" spans="1:22" ht="140.4" x14ac:dyDescent="0.3">
      <c r="A859" s="397">
        <v>853</v>
      </c>
      <c r="B859" s="397" t="s">
        <v>40</v>
      </c>
      <c r="C859" s="44" t="s">
        <v>41</v>
      </c>
      <c r="D859" s="397" t="s">
        <v>58</v>
      </c>
      <c r="E859" s="397" t="s">
        <v>88</v>
      </c>
      <c r="F859" s="44" t="s">
        <v>2170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1783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5">
        <v>14208.07228</v>
      </c>
      <c r="T859" s="398">
        <v>45726</v>
      </c>
      <c r="U859" s="397"/>
      <c r="V859" s="397"/>
    </row>
    <row r="860" spans="1:22" ht="109.2" x14ac:dyDescent="0.3">
      <c r="A860" s="397">
        <v>854</v>
      </c>
      <c r="B860" s="397" t="s">
        <v>40</v>
      </c>
      <c r="C860" s="44" t="s">
        <v>2008</v>
      </c>
      <c r="D860" s="397" t="s">
        <v>58</v>
      </c>
      <c r="E860" s="397" t="s">
        <v>88</v>
      </c>
      <c r="F860" s="44" t="s">
        <v>1782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1784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5">
        <v>10426.333339999999</v>
      </c>
      <c r="T860" s="398">
        <v>45727</v>
      </c>
      <c r="U860" s="397"/>
      <c r="V860" s="397"/>
    </row>
    <row r="861" spans="1:22" ht="93.6" x14ac:dyDescent="0.3">
      <c r="A861" s="397">
        <v>855</v>
      </c>
      <c r="B861" s="397" t="s">
        <v>40</v>
      </c>
      <c r="C861" s="44" t="s">
        <v>2008</v>
      </c>
      <c r="D861" s="397" t="s">
        <v>58</v>
      </c>
      <c r="E861" s="397" t="s">
        <v>88</v>
      </c>
      <c r="F861" s="44" t="s">
        <v>1785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1787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5">
        <v>3416.6666700000001</v>
      </c>
      <c r="T861" s="398">
        <v>45726</v>
      </c>
      <c r="U861" s="397"/>
      <c r="V861" s="397"/>
    </row>
    <row r="862" spans="1:22" ht="93.6" x14ac:dyDescent="0.3">
      <c r="A862" s="397">
        <v>856</v>
      </c>
      <c r="B862" s="397" t="s">
        <v>40</v>
      </c>
      <c r="C862" s="44" t="s">
        <v>2008</v>
      </c>
      <c r="D862" s="397" t="s">
        <v>58</v>
      </c>
      <c r="E862" s="397" t="s">
        <v>88</v>
      </c>
      <c r="F862" s="454" t="s">
        <v>1786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1788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5">
        <v>2734.1666700000001</v>
      </c>
      <c r="T862" s="398">
        <v>45726</v>
      </c>
      <c r="U862" s="397"/>
      <c r="V862" s="397"/>
    </row>
    <row r="863" spans="1:22" ht="43.2" x14ac:dyDescent="0.3">
      <c r="A863" s="397">
        <v>857</v>
      </c>
      <c r="B863" s="397" t="s">
        <v>21</v>
      </c>
      <c r="C863" s="44" t="s">
        <v>1789</v>
      </c>
      <c r="D863" s="399" t="s">
        <v>58</v>
      </c>
      <c r="E863" s="397" t="s">
        <v>75</v>
      </c>
      <c r="F863" s="44" t="s">
        <v>2169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1790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109.2" x14ac:dyDescent="0.3">
      <c r="A864" s="397">
        <v>858</v>
      </c>
      <c r="B864" s="397" t="s">
        <v>21</v>
      </c>
      <c r="C864" s="44" t="s">
        <v>1723</v>
      </c>
      <c r="D864" s="399" t="s">
        <v>58</v>
      </c>
      <c r="E864" s="401" t="s">
        <v>75</v>
      </c>
      <c r="F864" s="504" t="s">
        <v>2168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1791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2167</v>
      </c>
      <c r="D865" s="397"/>
      <c r="E865" s="401" t="s">
        <v>75</v>
      </c>
      <c r="F865" s="44" t="s">
        <v>1750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1792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43.2" x14ac:dyDescent="0.3">
      <c r="A866" s="401">
        <v>860</v>
      </c>
      <c r="B866" s="448" t="s">
        <v>21</v>
      </c>
      <c r="C866" s="454" t="s">
        <v>2167</v>
      </c>
      <c r="D866" s="448" t="s">
        <v>58</v>
      </c>
      <c r="E866" s="448" t="s">
        <v>75</v>
      </c>
      <c r="F866" s="454" t="s">
        <v>801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1794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43.2" x14ac:dyDescent="0.3">
      <c r="A867" s="401">
        <v>861</v>
      </c>
      <c r="B867" s="401" t="s">
        <v>21</v>
      </c>
      <c r="C867" s="44" t="s">
        <v>2167</v>
      </c>
      <c r="D867" s="401" t="s">
        <v>58</v>
      </c>
      <c r="E867" s="401" t="s">
        <v>75</v>
      </c>
      <c r="F867" s="44" t="s">
        <v>802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1795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3.2" x14ac:dyDescent="0.3">
      <c r="A868" s="401">
        <v>862</v>
      </c>
      <c r="B868" s="401" t="s">
        <v>21</v>
      </c>
      <c r="C868" s="44" t="s">
        <v>32</v>
      </c>
      <c r="D868" s="401" t="s">
        <v>58</v>
      </c>
      <c r="E868" s="401" t="s">
        <v>75</v>
      </c>
      <c r="F868" s="44" t="s">
        <v>2166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1796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48"/>
      <c r="R868" s="448">
        <v>8</v>
      </c>
      <c r="S868" s="448">
        <v>405.4</v>
      </c>
      <c r="T868" s="443">
        <v>45712</v>
      </c>
      <c r="U868" s="401"/>
      <c r="V868" s="401"/>
    </row>
    <row r="869" spans="1:22" ht="43.2" x14ac:dyDescent="0.3">
      <c r="A869" s="401">
        <v>863</v>
      </c>
      <c r="B869" s="401" t="s">
        <v>21</v>
      </c>
      <c r="C869" s="44" t="s">
        <v>2039</v>
      </c>
      <c r="D869" s="401" t="s">
        <v>58</v>
      </c>
      <c r="E869" s="401" t="s">
        <v>75</v>
      </c>
      <c r="F869" s="44" t="s">
        <v>982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1797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3.2" x14ac:dyDescent="0.3">
      <c r="A870" s="401">
        <v>864</v>
      </c>
      <c r="B870" s="401" t="s">
        <v>21</v>
      </c>
      <c r="C870" s="44" t="s">
        <v>2039</v>
      </c>
      <c r="D870" s="401" t="s">
        <v>58</v>
      </c>
      <c r="E870" s="401" t="s">
        <v>75</v>
      </c>
      <c r="F870" s="44" t="s">
        <v>983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1798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5">
        <v>1256.3040000000001</v>
      </c>
      <c r="T870" s="402">
        <v>45726</v>
      </c>
      <c r="U870" s="401"/>
      <c r="V870" s="401"/>
    </row>
    <row r="871" spans="1:22" ht="43.2" x14ac:dyDescent="0.3">
      <c r="A871" s="401">
        <v>865</v>
      </c>
      <c r="B871" s="401" t="s">
        <v>21</v>
      </c>
      <c r="C871" s="44" t="s">
        <v>2039</v>
      </c>
      <c r="D871" s="401" t="s">
        <v>58</v>
      </c>
      <c r="E871" s="401" t="s">
        <v>75</v>
      </c>
      <c r="F871" s="44" t="s">
        <v>984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1799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62.4" x14ac:dyDescent="0.3">
      <c r="A872" s="401">
        <v>866</v>
      </c>
      <c r="B872" s="448" t="s">
        <v>40</v>
      </c>
      <c r="C872" s="454" t="s">
        <v>2081</v>
      </c>
      <c r="D872" s="448"/>
      <c r="E872" s="448" t="s">
        <v>75</v>
      </c>
      <c r="F872" s="454" t="s">
        <v>1800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1804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62.4" x14ac:dyDescent="0.3">
      <c r="A873" s="403">
        <v>867</v>
      </c>
      <c r="B873" s="403" t="s">
        <v>40</v>
      </c>
      <c r="C873" s="44" t="s">
        <v>41</v>
      </c>
      <c r="D873" s="403"/>
      <c r="E873" s="403" t="s">
        <v>20</v>
      </c>
      <c r="F873" s="44" t="s">
        <v>2165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1805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62.4" x14ac:dyDescent="0.3">
      <c r="A874" s="403">
        <v>868</v>
      </c>
      <c r="B874" s="448" t="s">
        <v>40</v>
      </c>
      <c r="C874" s="454" t="s">
        <v>2081</v>
      </c>
      <c r="D874" s="448"/>
      <c r="E874" s="448" t="s">
        <v>75</v>
      </c>
      <c r="F874" s="454" t="s">
        <v>1801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1806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62.4" x14ac:dyDescent="0.3">
      <c r="A875" s="403">
        <v>869</v>
      </c>
      <c r="B875" s="403" t="s">
        <v>40</v>
      </c>
      <c r="C875" s="44" t="s">
        <v>73</v>
      </c>
      <c r="D875" s="403"/>
      <c r="E875" s="403" t="s">
        <v>75</v>
      </c>
      <c r="F875" s="44" t="s">
        <v>2164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1807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62.4" x14ac:dyDescent="0.3">
      <c r="A876" s="403">
        <v>870</v>
      </c>
      <c r="B876" s="403" t="s">
        <v>21</v>
      </c>
      <c r="C876" s="44" t="s">
        <v>2007</v>
      </c>
      <c r="D876" s="403"/>
      <c r="E876" s="448" t="s">
        <v>75</v>
      </c>
      <c r="F876" s="454" t="s">
        <v>1720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1808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3.2" x14ac:dyDescent="0.3">
      <c r="A877" s="403">
        <v>871</v>
      </c>
      <c r="B877" s="403" t="s">
        <v>21</v>
      </c>
      <c r="C877" s="44" t="s">
        <v>1803</v>
      </c>
      <c r="D877" s="403"/>
      <c r="E877" s="403" t="s">
        <v>75</v>
      </c>
      <c r="F877" s="44" t="s">
        <v>2163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1809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4">
        <v>45707</v>
      </c>
      <c r="U877" s="403"/>
      <c r="V877" s="403"/>
    </row>
    <row r="878" spans="1:22" ht="43.2" x14ac:dyDescent="0.3">
      <c r="A878" s="403">
        <v>872</v>
      </c>
      <c r="B878" s="403" t="s">
        <v>21</v>
      </c>
      <c r="C878" s="44" t="s">
        <v>2162</v>
      </c>
      <c r="D878" s="403"/>
      <c r="E878" s="403" t="s">
        <v>75</v>
      </c>
      <c r="F878" s="44" t="s">
        <v>1802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1810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73</v>
      </c>
      <c r="D879" s="403"/>
      <c r="E879" s="405" t="s">
        <v>75</v>
      </c>
      <c r="F879" s="44" t="s">
        <v>2161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1813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54" t="s">
        <v>73</v>
      </c>
      <c r="D880" s="448"/>
      <c r="E880" s="448" t="s">
        <v>75</v>
      </c>
      <c r="F880" s="454" t="s">
        <v>2160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1814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2081</v>
      </c>
      <c r="D881" s="405"/>
      <c r="E881" s="405" t="s">
        <v>75</v>
      </c>
      <c r="F881" s="44" t="s">
        <v>1811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1815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2081</v>
      </c>
      <c r="D882" s="405"/>
      <c r="E882" s="405" t="s">
        <v>75</v>
      </c>
      <c r="F882" s="44" t="s">
        <v>1812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1816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884</v>
      </c>
      <c r="D883" s="405"/>
      <c r="E883" s="405" t="s">
        <v>20</v>
      </c>
      <c r="F883" s="44" t="s">
        <v>2119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1817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62.4" x14ac:dyDescent="0.3">
      <c r="A884" s="405">
        <v>878</v>
      </c>
      <c r="B884" s="405" t="s">
        <v>40</v>
      </c>
      <c r="C884" s="44" t="s">
        <v>884</v>
      </c>
      <c r="D884" s="405"/>
      <c r="E884" s="405" t="s">
        <v>20</v>
      </c>
      <c r="F884" s="44" t="s">
        <v>2118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1818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93.6" x14ac:dyDescent="0.3">
      <c r="A885" s="405">
        <v>879</v>
      </c>
      <c r="B885" s="405" t="s">
        <v>1150</v>
      </c>
      <c r="C885" s="44" t="s">
        <v>2117</v>
      </c>
      <c r="D885" s="407" t="s">
        <v>58</v>
      </c>
      <c r="E885" s="405" t="s">
        <v>75</v>
      </c>
      <c r="F885" s="44" t="s">
        <v>1819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1820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5">
        <v>1491.6666600000001</v>
      </c>
      <c r="T885" s="406">
        <v>45708</v>
      </c>
      <c r="U885" s="405"/>
      <c r="V885" s="405"/>
    </row>
    <row r="886" spans="1:22" ht="78" x14ac:dyDescent="0.3">
      <c r="A886" s="405">
        <v>880</v>
      </c>
      <c r="B886" s="405" t="s">
        <v>40</v>
      </c>
      <c r="C886" s="44" t="s">
        <v>1991</v>
      </c>
      <c r="D886" s="405"/>
      <c r="E886" s="405" t="s">
        <v>20</v>
      </c>
      <c r="F886" s="44" t="s">
        <v>1821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1826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2038</v>
      </c>
      <c r="D887" s="408"/>
      <c r="E887" s="408" t="s">
        <v>75</v>
      </c>
      <c r="F887" s="44" t="s">
        <v>908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1827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78" x14ac:dyDescent="0.3">
      <c r="A888" s="408">
        <v>882</v>
      </c>
      <c r="B888" s="408" t="s">
        <v>40</v>
      </c>
      <c r="C888" s="44" t="s">
        <v>1991</v>
      </c>
      <c r="D888" s="408"/>
      <c r="E888" s="408" t="s">
        <v>20</v>
      </c>
      <c r="F888" s="44" t="s">
        <v>1822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1828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78" x14ac:dyDescent="0.3">
      <c r="A889" s="408">
        <v>883</v>
      </c>
      <c r="B889" s="408" t="s">
        <v>40</v>
      </c>
      <c r="C889" s="44" t="s">
        <v>1991</v>
      </c>
      <c r="D889" s="408"/>
      <c r="E889" s="408" t="s">
        <v>20</v>
      </c>
      <c r="F889" s="44" t="s">
        <v>1823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1829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62.4" x14ac:dyDescent="0.3">
      <c r="A890" s="408">
        <v>884</v>
      </c>
      <c r="B890" s="408" t="s">
        <v>21</v>
      </c>
      <c r="C890" s="454" t="s">
        <v>2116</v>
      </c>
      <c r="D890" s="448" t="s">
        <v>58</v>
      </c>
      <c r="E890" s="448" t="s">
        <v>75</v>
      </c>
      <c r="F890" s="454" t="s">
        <v>1824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1830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62.4" x14ac:dyDescent="0.3">
      <c r="A891" s="408">
        <v>885</v>
      </c>
      <c r="B891" s="408" t="s">
        <v>21</v>
      </c>
      <c r="C891" s="44" t="s">
        <v>1217</v>
      </c>
      <c r="D891" s="408" t="s">
        <v>58</v>
      </c>
      <c r="E891" s="408" t="s">
        <v>75</v>
      </c>
      <c r="F891" s="44" t="s">
        <v>2087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1831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43.2" x14ac:dyDescent="0.3">
      <c r="A892" s="408">
        <v>886</v>
      </c>
      <c r="B892" s="408" t="s">
        <v>21</v>
      </c>
      <c r="C892" s="44" t="s">
        <v>2086</v>
      </c>
      <c r="D892" s="408" t="s">
        <v>58</v>
      </c>
      <c r="E892" s="408" t="s">
        <v>75</v>
      </c>
      <c r="F892" s="44" t="s">
        <v>1825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1832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43.2" x14ac:dyDescent="0.3">
      <c r="A893" s="410">
        <v>887</v>
      </c>
      <c r="B893" s="410" t="s">
        <v>21</v>
      </c>
      <c r="C893" s="454" t="s">
        <v>2085</v>
      </c>
      <c r="D893" s="448" t="s">
        <v>58</v>
      </c>
      <c r="E893" s="448" t="s">
        <v>75</v>
      </c>
      <c r="F893" s="477" t="s">
        <v>1833</v>
      </c>
      <c r="G893" s="410" t="s">
        <v>186</v>
      </c>
      <c r="H893" s="410"/>
      <c r="I893" s="410">
        <v>16</v>
      </c>
      <c r="J893" s="410">
        <v>1516.6666600000001</v>
      </c>
      <c r="K893" s="410"/>
      <c r="L893" s="410">
        <v>16</v>
      </c>
      <c r="M893" s="410">
        <v>1516.6666600000001</v>
      </c>
      <c r="N893" s="6" t="s">
        <v>1834</v>
      </c>
      <c r="O893" s="411">
        <v>45694</v>
      </c>
      <c r="P893" s="33" t="str">
        <f>HYPERLINK("https://my.zakupivli.pro/remote/dispatcher/state_purchase_view/57248238", "UA-2025-02-06-004155-a")</f>
        <v>UA-2025-02-06-004155-a</v>
      </c>
      <c r="Q893" s="448"/>
      <c r="R893" s="448">
        <v>16</v>
      </c>
      <c r="S893" s="448">
        <v>1264.9974999999999</v>
      </c>
      <c r="T893" s="443">
        <v>45713</v>
      </c>
      <c r="U893" s="410"/>
      <c r="V893" s="410"/>
    </row>
    <row r="894" spans="1:22" ht="78" x14ac:dyDescent="0.3">
      <c r="A894" s="410">
        <v>888</v>
      </c>
      <c r="B894" s="410" t="s">
        <v>21</v>
      </c>
      <c r="C894" s="44" t="s">
        <v>174</v>
      </c>
      <c r="D894" s="412" t="s">
        <v>58</v>
      </c>
      <c r="E894" s="410" t="s">
        <v>75</v>
      </c>
      <c r="F894" s="44" t="s">
        <v>2084</v>
      </c>
      <c r="G894" s="410" t="s">
        <v>186</v>
      </c>
      <c r="H894" s="410"/>
      <c r="I894" s="410">
        <v>17</v>
      </c>
      <c r="J894" s="119">
        <v>720</v>
      </c>
      <c r="K894" s="410"/>
      <c r="L894" s="412">
        <v>17</v>
      </c>
      <c r="M894" s="119">
        <v>720</v>
      </c>
      <c r="N894" s="6" t="s">
        <v>1835</v>
      </c>
      <c r="O894" s="411">
        <v>45695</v>
      </c>
      <c r="P894" s="33" t="str">
        <f>HYPERLINK("https://my.zakupivli.pro/remote/dispatcher/state_purchase_view/57301275", "UA-2025-02-07-010817-a")</f>
        <v>UA-2025-02-07-010817-a</v>
      </c>
      <c r="Q894" s="410"/>
      <c r="R894" s="410">
        <v>17</v>
      </c>
      <c r="S894" s="410">
        <v>580.73310000000004</v>
      </c>
      <c r="T894" s="411">
        <v>45715</v>
      </c>
      <c r="U894" s="410"/>
      <c r="V894" s="410"/>
    </row>
    <row r="895" spans="1:22" ht="93.6" x14ac:dyDescent="0.3">
      <c r="A895" s="410">
        <v>889</v>
      </c>
      <c r="B895" s="410" t="s">
        <v>40</v>
      </c>
      <c r="C895" s="44" t="s">
        <v>41</v>
      </c>
      <c r="D895" s="410"/>
      <c r="E895" s="410" t="s">
        <v>20</v>
      </c>
      <c r="F895" s="44" t="s">
        <v>2083</v>
      </c>
      <c r="G895" s="410" t="s">
        <v>184</v>
      </c>
      <c r="H895" s="410">
        <v>787.02700000000004</v>
      </c>
      <c r="I895" s="410">
        <v>1</v>
      </c>
      <c r="J895" s="412">
        <v>787.02700000000004</v>
      </c>
      <c r="K895" s="412">
        <v>787.02700000000004</v>
      </c>
      <c r="L895" s="412">
        <v>1</v>
      </c>
      <c r="M895" s="412">
        <v>787.02700000000004</v>
      </c>
      <c r="N895" s="6" t="s">
        <v>1836</v>
      </c>
      <c r="O895" s="413">
        <v>45695</v>
      </c>
      <c r="P895" s="33" t="str">
        <f>HYPERLINK("https://my.zakupivli.pro/remote/dispatcher/state_purchase_view/57295165", "UA-2025-02-07-007901-a")</f>
        <v>UA-2025-02-07-007901-a</v>
      </c>
      <c r="Q895" s="412">
        <v>787.02700000000004</v>
      </c>
      <c r="R895" s="412">
        <v>1</v>
      </c>
      <c r="S895" s="412">
        <v>787.02700000000004</v>
      </c>
      <c r="T895" s="413">
        <v>45695</v>
      </c>
      <c r="U895" s="410"/>
      <c r="V895" s="412" t="s">
        <v>59</v>
      </c>
    </row>
    <row r="896" spans="1:22" ht="62.4" x14ac:dyDescent="0.3">
      <c r="A896" s="410">
        <v>890</v>
      </c>
      <c r="B896" s="410" t="s">
        <v>40</v>
      </c>
      <c r="C896" s="454" t="s">
        <v>73</v>
      </c>
      <c r="D896" s="448"/>
      <c r="E896" s="448" t="s">
        <v>75</v>
      </c>
      <c r="F896" s="454" t="s">
        <v>2082</v>
      </c>
      <c r="G896" s="410" t="s">
        <v>184</v>
      </c>
      <c r="H896" s="410">
        <v>387.74173999999999</v>
      </c>
      <c r="I896" s="410">
        <v>1</v>
      </c>
      <c r="J896" s="412">
        <v>387.74173999999999</v>
      </c>
      <c r="K896" s="412">
        <v>387.74173999999999</v>
      </c>
      <c r="L896" s="412">
        <v>1</v>
      </c>
      <c r="M896" s="412">
        <v>387.74173999999999</v>
      </c>
      <c r="N896" s="6" t="s">
        <v>1837</v>
      </c>
      <c r="O896" s="413">
        <v>45695</v>
      </c>
      <c r="P896" s="33" t="str">
        <f>HYPERLINK("https://my.zakupivli.pro/remote/dispatcher/state_purchase_view/57279883", "UA-2025-02-07-001208-a")</f>
        <v>UA-2025-02-07-001208-a</v>
      </c>
      <c r="Q896" s="412">
        <v>387.74173999999999</v>
      </c>
      <c r="R896" s="412">
        <v>1</v>
      </c>
      <c r="S896" s="412">
        <v>387.74173999999999</v>
      </c>
      <c r="T896" s="413">
        <v>45695</v>
      </c>
      <c r="U896" s="410"/>
      <c r="V896" s="412" t="s">
        <v>59</v>
      </c>
    </row>
    <row r="897" spans="1:22" ht="62.4" x14ac:dyDescent="0.3">
      <c r="A897" s="414">
        <v>891</v>
      </c>
      <c r="B897" s="414" t="s">
        <v>40</v>
      </c>
      <c r="C897" s="44" t="s">
        <v>2081</v>
      </c>
      <c r="D897" s="414"/>
      <c r="E897" s="414" t="s">
        <v>75</v>
      </c>
      <c r="F897" s="44" t="s">
        <v>1838</v>
      </c>
      <c r="G897" s="414" t="s">
        <v>184</v>
      </c>
      <c r="H897" s="414">
        <v>243.83950999999999</v>
      </c>
      <c r="I897" s="414">
        <v>1</v>
      </c>
      <c r="J897" s="414">
        <v>243.83950999999999</v>
      </c>
      <c r="K897" s="414">
        <v>243.83950999999999</v>
      </c>
      <c r="L897" s="414">
        <v>1</v>
      </c>
      <c r="M897" s="414">
        <v>243.83950999999999</v>
      </c>
      <c r="N897" s="6" t="s">
        <v>1839</v>
      </c>
      <c r="O897" s="415">
        <v>45698</v>
      </c>
      <c r="P897" s="33" t="str">
        <f>HYPERLINK("https://my.zakupivli.pro/remote/dispatcher/state_purchase_view/57327334", "UA-2025-02-10-005542-a")</f>
        <v>UA-2025-02-10-005542-a</v>
      </c>
      <c r="Q897" s="414">
        <v>243.83950999999999</v>
      </c>
      <c r="R897" s="414">
        <v>1</v>
      </c>
      <c r="S897" s="414">
        <v>243.83950999999999</v>
      </c>
      <c r="T897" s="415">
        <v>45691</v>
      </c>
      <c r="U897" s="414"/>
      <c r="V897" s="414" t="s">
        <v>59</v>
      </c>
    </row>
    <row r="898" spans="1:22" ht="62.4" x14ac:dyDescent="0.3">
      <c r="A898" s="416">
        <v>892</v>
      </c>
      <c r="B898" s="416" t="s">
        <v>21</v>
      </c>
      <c r="C898" s="44" t="s">
        <v>2080</v>
      </c>
      <c r="D898" s="416" t="s">
        <v>58</v>
      </c>
      <c r="E898" s="416" t="s">
        <v>75</v>
      </c>
      <c r="F898" s="44" t="s">
        <v>1840</v>
      </c>
      <c r="G898" s="416" t="s">
        <v>185</v>
      </c>
      <c r="H898" s="416"/>
      <c r="I898" s="416">
        <v>121</v>
      </c>
      <c r="J898" s="119">
        <v>2684.5</v>
      </c>
      <c r="K898" s="416"/>
      <c r="L898" s="416">
        <v>121</v>
      </c>
      <c r="M898" s="119">
        <v>2684.5</v>
      </c>
      <c r="N898" s="6" t="s">
        <v>1844</v>
      </c>
      <c r="O898" s="417">
        <v>45699</v>
      </c>
      <c r="P898" s="33" t="str">
        <f>HYPERLINK("https://my.zakupivli.pro/remote/dispatcher/state_purchase_view/57385934", "UA-2025-02-11-014813-a")</f>
        <v>UA-2025-02-11-014813-a</v>
      </c>
      <c r="Q898" s="416"/>
      <c r="R898" s="416">
        <v>121</v>
      </c>
      <c r="S898" s="416">
        <v>2361.3530000000001</v>
      </c>
      <c r="T898" s="417">
        <v>45727</v>
      </c>
      <c r="U898" s="416"/>
      <c r="V898" s="416"/>
    </row>
    <row r="899" spans="1:22" ht="62.4" x14ac:dyDescent="0.3">
      <c r="A899" s="416">
        <v>893</v>
      </c>
      <c r="B899" s="416" t="s">
        <v>21</v>
      </c>
      <c r="C899" s="44" t="s">
        <v>405</v>
      </c>
      <c r="D899" s="416" t="s">
        <v>58</v>
      </c>
      <c r="E899" s="416" t="s">
        <v>75</v>
      </c>
      <c r="F899" s="44" t="s">
        <v>2079</v>
      </c>
      <c r="G899" s="416" t="s">
        <v>186</v>
      </c>
      <c r="H899" s="416"/>
      <c r="I899" s="416">
        <v>23</v>
      </c>
      <c r="J899" s="416">
        <v>2904.5833299999999</v>
      </c>
      <c r="K899" s="416"/>
      <c r="L899" s="416">
        <v>23</v>
      </c>
      <c r="M899" s="416">
        <v>2904.5833299999999</v>
      </c>
      <c r="N899" s="6" t="s">
        <v>1845</v>
      </c>
      <c r="O899" s="417">
        <v>45699</v>
      </c>
      <c r="P899" s="33" t="str">
        <f>HYPERLINK("https://my.zakupivli.pro/remote/dispatcher/state_purchase_view/57385694", "UA-2025-02-11-014703-a")</f>
        <v>UA-2025-02-11-014703-a</v>
      </c>
      <c r="Q899" s="416"/>
      <c r="R899" s="416">
        <v>23</v>
      </c>
      <c r="S899" s="416">
        <v>2737.4838</v>
      </c>
      <c r="T899" s="417">
        <v>45733</v>
      </c>
      <c r="U899" s="416"/>
      <c r="V899" s="416"/>
    </row>
    <row r="900" spans="1:22" ht="62.4" x14ac:dyDescent="0.3">
      <c r="A900" s="416">
        <v>894</v>
      </c>
      <c r="B900" s="416" t="s">
        <v>21</v>
      </c>
      <c r="C900" s="454" t="s">
        <v>2007</v>
      </c>
      <c r="D900" s="448" t="s">
        <v>58</v>
      </c>
      <c r="E900" s="448" t="s">
        <v>75</v>
      </c>
      <c r="F900" s="454" t="s">
        <v>1841</v>
      </c>
      <c r="G900" s="416" t="s">
        <v>186</v>
      </c>
      <c r="H900" s="416"/>
      <c r="I900" s="416">
        <v>18</v>
      </c>
      <c r="J900" s="416">
        <v>2034.8084100000001</v>
      </c>
      <c r="K900" s="416"/>
      <c r="L900" s="416">
        <v>18</v>
      </c>
      <c r="M900" s="416">
        <v>2034.8084100000001</v>
      </c>
      <c r="N900" s="6" t="s">
        <v>1846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18</v>
      </c>
      <c r="S900" s="416">
        <v>1745.1990000000001</v>
      </c>
      <c r="T900" s="417">
        <v>45727</v>
      </c>
      <c r="U900" s="416"/>
      <c r="V900" s="416"/>
    </row>
    <row r="901" spans="1:22" ht="62.4" x14ac:dyDescent="0.3">
      <c r="A901" s="416">
        <v>895</v>
      </c>
      <c r="B901" s="416" t="s">
        <v>21</v>
      </c>
      <c r="C901" s="44" t="s">
        <v>2007</v>
      </c>
      <c r="D901" s="416" t="s">
        <v>58</v>
      </c>
      <c r="E901" s="416" t="s">
        <v>75</v>
      </c>
      <c r="F901" s="44" t="s">
        <v>1842</v>
      </c>
      <c r="G901" s="416" t="s">
        <v>186</v>
      </c>
      <c r="H901" s="445">
        <v>1791.6666600000001</v>
      </c>
      <c r="I901" s="416">
        <v>1</v>
      </c>
      <c r="J901" s="416">
        <v>1791.6666600000001</v>
      </c>
      <c r="K901" s="445">
        <v>1791.6666600000001</v>
      </c>
      <c r="L901" s="416">
        <v>1</v>
      </c>
      <c r="M901" s="416">
        <v>1791.6666600000001</v>
      </c>
      <c r="N901" s="6" t="s">
        <v>1847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>
        <v>1579.16</v>
      </c>
      <c r="R901" s="416">
        <v>1</v>
      </c>
      <c r="S901" s="445">
        <v>1579.16</v>
      </c>
      <c r="T901" s="417">
        <v>45733</v>
      </c>
      <c r="U901" s="416"/>
      <c r="V901" s="416"/>
    </row>
    <row r="902" spans="1:22" ht="62.4" x14ac:dyDescent="0.3">
      <c r="A902" s="416">
        <v>896</v>
      </c>
      <c r="B902" s="416" t="s">
        <v>21</v>
      </c>
      <c r="C902" s="44" t="s">
        <v>405</v>
      </c>
      <c r="D902" s="416" t="s">
        <v>58</v>
      </c>
      <c r="E902" s="416" t="s">
        <v>75</v>
      </c>
      <c r="F902" s="44" t="s">
        <v>2078</v>
      </c>
      <c r="G902" s="416" t="s">
        <v>186</v>
      </c>
      <c r="H902" s="416"/>
      <c r="I902" s="416">
        <v>4</v>
      </c>
      <c r="J902" s="119">
        <v>6268.7</v>
      </c>
      <c r="K902" s="416"/>
      <c r="L902" s="416">
        <v>4</v>
      </c>
      <c r="M902" s="119">
        <v>6268.7</v>
      </c>
      <c r="N902" s="6" t="s">
        <v>1848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>
        <v>4</v>
      </c>
      <c r="S902" s="119">
        <v>6260</v>
      </c>
      <c r="T902" s="417">
        <v>45727</v>
      </c>
      <c r="U902" s="416"/>
      <c r="V902" s="416"/>
    </row>
    <row r="903" spans="1:22" ht="46.8" x14ac:dyDescent="0.3">
      <c r="A903" s="416">
        <v>897</v>
      </c>
      <c r="B903" s="416" t="s">
        <v>21</v>
      </c>
      <c r="C903" s="454" t="s">
        <v>1117</v>
      </c>
      <c r="D903" s="448" t="s">
        <v>58</v>
      </c>
      <c r="E903" s="448" t="s">
        <v>75</v>
      </c>
      <c r="F903" s="454" t="s">
        <v>2077</v>
      </c>
      <c r="G903" s="416" t="s">
        <v>186</v>
      </c>
      <c r="H903" s="416"/>
      <c r="I903" s="416">
        <v>10</v>
      </c>
      <c r="J903" s="119">
        <v>218.75</v>
      </c>
      <c r="K903" s="416"/>
      <c r="L903" s="416">
        <v>10</v>
      </c>
      <c r="M903" s="119">
        <v>218.75</v>
      </c>
      <c r="N903" s="6" t="s">
        <v>1849</v>
      </c>
      <c r="O903" s="417">
        <v>45699</v>
      </c>
      <c r="P903" s="33" t="str">
        <f>HYPERLINK("https://my.zakupivli.pro/remote/dispatcher/state_purchase_view/57380194", "UA-2025-02-11-012151-a")</f>
        <v>UA-2025-02-11-012151-a</v>
      </c>
      <c r="Q903" s="416"/>
      <c r="R903" s="416"/>
      <c r="S903" s="416"/>
      <c r="T903" s="417"/>
      <c r="U903" s="416" t="s">
        <v>1793</v>
      </c>
      <c r="V903" s="416"/>
    </row>
    <row r="904" spans="1:22" ht="62.4" x14ac:dyDescent="0.3">
      <c r="A904" s="416">
        <v>898</v>
      </c>
      <c r="B904" s="416" t="s">
        <v>21</v>
      </c>
      <c r="C904" s="44" t="s">
        <v>2011</v>
      </c>
      <c r="D904" s="416"/>
      <c r="E904" s="416" t="s">
        <v>20</v>
      </c>
      <c r="F904" s="44" t="s">
        <v>1843</v>
      </c>
      <c r="G904" s="416" t="s">
        <v>185</v>
      </c>
      <c r="H904" s="119">
        <v>47.5</v>
      </c>
      <c r="I904" s="416">
        <v>1</v>
      </c>
      <c r="J904" s="119">
        <v>47.5</v>
      </c>
      <c r="K904" s="119">
        <v>47.5</v>
      </c>
      <c r="L904" s="416">
        <v>1</v>
      </c>
      <c r="M904" s="119">
        <v>47.5</v>
      </c>
      <c r="N904" s="6" t="s">
        <v>1850</v>
      </c>
      <c r="O904" s="417">
        <v>45700</v>
      </c>
      <c r="P904" s="33" t="str">
        <f>HYPERLINK("https://my.zakupivli.pro/remote/dispatcher/state_purchase_view/57407976", "UA-2025-02-12-008425-a")</f>
        <v>UA-2025-02-12-008425-a</v>
      </c>
      <c r="Q904" s="119">
        <v>47.5</v>
      </c>
      <c r="R904" s="416">
        <v>1</v>
      </c>
      <c r="S904" s="119">
        <v>47.5</v>
      </c>
      <c r="T904" s="417">
        <v>45700</v>
      </c>
      <c r="U904" s="416"/>
      <c r="V904" s="416" t="s">
        <v>59</v>
      </c>
    </row>
    <row r="905" spans="1:22" ht="62.4" x14ac:dyDescent="0.3">
      <c r="A905" s="416">
        <v>899</v>
      </c>
      <c r="B905" s="416" t="s">
        <v>21</v>
      </c>
      <c r="C905" s="44" t="s">
        <v>2076</v>
      </c>
      <c r="D905" s="416"/>
      <c r="E905" s="416" t="s">
        <v>75</v>
      </c>
      <c r="F905" s="44" t="s">
        <v>1851</v>
      </c>
      <c r="G905" s="416" t="s">
        <v>185</v>
      </c>
      <c r="H905" s="416"/>
      <c r="I905" s="416">
        <v>600</v>
      </c>
      <c r="J905" s="119">
        <v>82.38</v>
      </c>
      <c r="K905" s="416"/>
      <c r="L905" s="419">
        <v>600</v>
      </c>
      <c r="M905" s="119">
        <v>82.38</v>
      </c>
      <c r="N905" s="6" t="s">
        <v>1854</v>
      </c>
      <c r="O905" s="417">
        <v>45701</v>
      </c>
      <c r="P905" s="33" t="str">
        <f>HYPERLINK("https://my.zakupivli.pro/remote/dispatcher/state_purchase_view/57447516", "UA-2025-02-13-010243-a")</f>
        <v>UA-2025-02-13-010243-a</v>
      </c>
      <c r="Q905" s="416"/>
      <c r="R905" s="419">
        <v>600</v>
      </c>
      <c r="S905" s="119">
        <v>82.38</v>
      </c>
      <c r="T905" s="418">
        <v>45729</v>
      </c>
      <c r="U905" s="416"/>
      <c r="V905" s="419" t="s">
        <v>59</v>
      </c>
    </row>
    <row r="906" spans="1:22" ht="62.4" x14ac:dyDescent="0.3">
      <c r="A906" s="416">
        <v>900</v>
      </c>
      <c r="B906" s="416" t="s">
        <v>21</v>
      </c>
      <c r="C906" s="454" t="s">
        <v>1853</v>
      </c>
      <c r="D906" s="448" t="s">
        <v>58</v>
      </c>
      <c r="E906" s="448" t="s">
        <v>75</v>
      </c>
      <c r="F906" s="454" t="s">
        <v>2075</v>
      </c>
      <c r="G906" s="416" t="s">
        <v>186</v>
      </c>
      <c r="H906" s="416"/>
      <c r="I906" s="416">
        <v>23</v>
      </c>
      <c r="J906" s="416">
        <v>1258.3333299999999</v>
      </c>
      <c r="K906" s="416"/>
      <c r="L906" s="419">
        <v>23</v>
      </c>
      <c r="M906" s="419">
        <v>1258.3333299999999</v>
      </c>
      <c r="N906" s="6" t="s">
        <v>1855</v>
      </c>
      <c r="O906" s="421">
        <v>45701</v>
      </c>
      <c r="P906" s="33" t="str">
        <f>HYPERLINK("https://my.zakupivli.pro/remote/dispatcher/state_purchase_view/57446387", "UA-2025-02-13-009809-a")</f>
        <v>UA-2025-02-13-009809-a</v>
      </c>
      <c r="Q906" s="416"/>
      <c r="R906" s="416">
        <v>23</v>
      </c>
      <c r="S906" s="416">
        <v>1133.4929</v>
      </c>
      <c r="T906" s="417">
        <v>45715</v>
      </c>
      <c r="U906" s="416"/>
      <c r="V906" s="416"/>
    </row>
    <row r="907" spans="1:22" ht="46.8" x14ac:dyDescent="0.3">
      <c r="A907" s="416">
        <v>901</v>
      </c>
      <c r="B907" s="416" t="s">
        <v>21</v>
      </c>
      <c r="C907" s="44" t="s">
        <v>1068</v>
      </c>
      <c r="D907" s="419" t="s">
        <v>58</v>
      </c>
      <c r="E907" s="416" t="s">
        <v>75</v>
      </c>
      <c r="F907" s="44" t="s">
        <v>2074</v>
      </c>
      <c r="G907" s="416" t="s">
        <v>185</v>
      </c>
      <c r="H907" s="416"/>
      <c r="I907" s="416">
        <v>762</v>
      </c>
      <c r="J907" s="416">
        <v>464.81247000000002</v>
      </c>
      <c r="K907" s="416"/>
      <c r="L907" s="419">
        <v>762</v>
      </c>
      <c r="M907" s="419">
        <v>464.81247000000002</v>
      </c>
      <c r="N907" s="6" t="s">
        <v>1856</v>
      </c>
      <c r="O907" s="421">
        <v>45701</v>
      </c>
      <c r="P907" s="33" t="str">
        <f>HYPERLINK("https://my.zakupivli.pro/remote/dispatcher/state_purchase_view/57445600", "UA-2025-02-13-009405-a")</f>
        <v>UA-2025-02-13-009405-a</v>
      </c>
      <c r="Q907" s="416"/>
      <c r="R907" s="416">
        <v>762</v>
      </c>
      <c r="S907" s="416">
        <v>459.81484999999998</v>
      </c>
      <c r="T907" s="417">
        <v>45716</v>
      </c>
      <c r="U907" s="416"/>
      <c r="V907" s="416"/>
    </row>
    <row r="908" spans="1:22" ht="62.4" x14ac:dyDescent="0.3">
      <c r="A908" s="416">
        <v>902</v>
      </c>
      <c r="B908" s="416" t="s">
        <v>40</v>
      </c>
      <c r="C908" s="44" t="s">
        <v>884</v>
      </c>
      <c r="D908" s="416"/>
      <c r="E908" s="416" t="s">
        <v>20</v>
      </c>
      <c r="F908" s="44" t="s">
        <v>2073</v>
      </c>
      <c r="G908" s="416" t="s">
        <v>184</v>
      </c>
      <c r="H908" s="416">
        <v>373.69754999999998</v>
      </c>
      <c r="I908" s="416">
        <v>1</v>
      </c>
      <c r="J908" s="419">
        <v>373.69754999999998</v>
      </c>
      <c r="K908" s="419">
        <v>373.69754999999998</v>
      </c>
      <c r="L908" s="419">
        <v>1</v>
      </c>
      <c r="M908" s="419">
        <v>373.69754999999998</v>
      </c>
      <c r="N908" s="6" t="s">
        <v>1857</v>
      </c>
      <c r="O908" s="421">
        <v>45701</v>
      </c>
      <c r="P908" s="33" t="str">
        <f>HYPERLINK("https://my.zakupivli.pro/remote/dispatcher/state_purchase_view/57443185", "UA-2025-02-13-008334-a")</f>
        <v>UA-2025-02-13-008334-a</v>
      </c>
      <c r="Q908" s="419">
        <v>373.69754999999998</v>
      </c>
      <c r="R908" s="419">
        <v>1</v>
      </c>
      <c r="S908" s="419">
        <v>373.69754999999998</v>
      </c>
      <c r="T908" s="421">
        <v>45701</v>
      </c>
      <c r="U908" s="416"/>
      <c r="V908" s="419" t="s">
        <v>59</v>
      </c>
    </row>
    <row r="909" spans="1:22" ht="62.4" x14ac:dyDescent="0.3">
      <c r="A909" s="416">
        <v>903</v>
      </c>
      <c r="B909" s="416" t="s">
        <v>40</v>
      </c>
      <c r="C909" s="454" t="s">
        <v>2008</v>
      </c>
      <c r="D909" s="448"/>
      <c r="E909" s="448" t="s">
        <v>20</v>
      </c>
      <c r="F909" s="454" t="s">
        <v>1852</v>
      </c>
      <c r="G909" s="416" t="s">
        <v>184</v>
      </c>
      <c r="H909" s="416">
        <v>91.886300000000006</v>
      </c>
      <c r="I909" s="416">
        <v>1</v>
      </c>
      <c r="J909" s="419">
        <v>91.886300000000006</v>
      </c>
      <c r="K909" s="419">
        <v>91.886300000000006</v>
      </c>
      <c r="L909" s="419">
        <v>1</v>
      </c>
      <c r="M909" s="419">
        <v>91.886300000000006</v>
      </c>
      <c r="N909" s="6" t="s">
        <v>1858</v>
      </c>
      <c r="O909" s="421">
        <v>45701</v>
      </c>
      <c r="P909" s="33" t="str">
        <f>HYPERLINK("https://my.zakupivli.pro/remote/dispatcher/state_purchase_view/57441860", "UA-2025-02-13-007747-a")</f>
        <v>UA-2025-02-13-007747-a</v>
      </c>
      <c r="Q909" s="419">
        <v>91.886300000000006</v>
      </c>
      <c r="R909" s="419">
        <v>1</v>
      </c>
      <c r="S909" s="419">
        <v>91.886300000000006</v>
      </c>
      <c r="T909" s="421">
        <v>45701</v>
      </c>
      <c r="U909" s="416"/>
      <c r="V909" s="419" t="s">
        <v>59</v>
      </c>
    </row>
    <row r="910" spans="1:22" ht="62.4" x14ac:dyDescent="0.3">
      <c r="A910" s="416">
        <v>904</v>
      </c>
      <c r="B910" s="416" t="s">
        <v>40</v>
      </c>
      <c r="C910" s="44" t="s">
        <v>884</v>
      </c>
      <c r="D910" s="416"/>
      <c r="E910" s="416" t="s">
        <v>20</v>
      </c>
      <c r="F910" s="44" t="s">
        <v>2072</v>
      </c>
      <c r="G910" s="416" t="s">
        <v>184</v>
      </c>
      <c r="H910" s="416">
        <v>82.772499999999994</v>
      </c>
      <c r="I910" s="416">
        <v>1</v>
      </c>
      <c r="J910" s="419">
        <v>82.772499999999994</v>
      </c>
      <c r="K910" s="419">
        <v>82.772499999999994</v>
      </c>
      <c r="L910" s="419">
        <v>1</v>
      </c>
      <c r="M910" s="419">
        <v>82.772499999999994</v>
      </c>
      <c r="N910" s="6" t="s">
        <v>1859</v>
      </c>
      <c r="O910" s="421">
        <v>45701</v>
      </c>
      <c r="P910" s="33" t="str">
        <f>HYPERLINK("https://my.zakupivli.pro/remote/dispatcher/state_purchase_view/57435375", "UA-2025-02-13-004874-a")</f>
        <v>UA-2025-02-13-004874-a</v>
      </c>
      <c r="Q910" s="419">
        <v>82.772499999999994</v>
      </c>
      <c r="R910" s="419">
        <v>1</v>
      </c>
      <c r="S910" s="419">
        <v>82.772499999999994</v>
      </c>
      <c r="T910" s="421">
        <v>45701</v>
      </c>
      <c r="U910" s="416"/>
      <c r="V910" s="419" t="s">
        <v>59</v>
      </c>
    </row>
    <row r="911" spans="1:22" ht="62.4" x14ac:dyDescent="0.3">
      <c r="A911" s="419">
        <v>905</v>
      </c>
      <c r="B911" s="420" t="s">
        <v>40</v>
      </c>
      <c r="C911" s="44" t="s">
        <v>73</v>
      </c>
      <c r="D911" s="419"/>
      <c r="E911" s="419" t="s">
        <v>75</v>
      </c>
      <c r="F911" s="44" t="s">
        <v>2071</v>
      </c>
      <c r="G911" s="419" t="s">
        <v>184</v>
      </c>
      <c r="H911" s="419">
        <v>273.72771999999998</v>
      </c>
      <c r="I911" s="419">
        <v>1</v>
      </c>
      <c r="J911" s="420">
        <v>273.72771999999998</v>
      </c>
      <c r="K911" s="420">
        <v>273.72771999999998</v>
      </c>
      <c r="L911" s="420">
        <v>1</v>
      </c>
      <c r="M911" s="420">
        <v>273.72771999999998</v>
      </c>
      <c r="N911" s="6" t="s">
        <v>1860</v>
      </c>
      <c r="O911" s="421">
        <v>45701</v>
      </c>
      <c r="P911" s="122" t="str">
        <f>HYPERLINK("https://my.zakupivli.pro/remote/dispatcher/state_purchase_view/57453868", "UA-2025-02-13-013204-a")</f>
        <v>UA-2025-02-13-013204-a</v>
      </c>
      <c r="Q911" s="420">
        <v>273.72771999999998</v>
      </c>
      <c r="R911" s="420">
        <v>1</v>
      </c>
      <c r="S911" s="420">
        <v>273.72771999999998</v>
      </c>
      <c r="T911" s="421">
        <v>45687</v>
      </c>
      <c r="U911" s="419"/>
      <c r="V911" s="420" t="s">
        <v>59</v>
      </c>
    </row>
    <row r="912" spans="1:22" ht="46.8" x14ac:dyDescent="0.3">
      <c r="A912" s="419">
        <v>906</v>
      </c>
      <c r="B912" s="419" t="s">
        <v>21</v>
      </c>
      <c r="C912" s="44" t="s">
        <v>733</v>
      </c>
      <c r="D912" s="419"/>
      <c r="E912" s="422" t="s">
        <v>75</v>
      </c>
      <c r="F912" s="44" t="s">
        <v>2070</v>
      </c>
      <c r="G912" s="419" t="s">
        <v>186</v>
      </c>
      <c r="H912" s="419"/>
      <c r="I912" s="419">
        <v>41</v>
      </c>
      <c r="J912" s="419">
        <v>541.66665999999998</v>
      </c>
      <c r="K912" s="419"/>
      <c r="L912" s="422">
        <v>41</v>
      </c>
      <c r="M912" s="422">
        <v>541.66665999999998</v>
      </c>
      <c r="N912" s="6" t="s">
        <v>1864</v>
      </c>
      <c r="O912" s="418">
        <v>45702</v>
      </c>
      <c r="P912" s="33" t="str">
        <f>HYPERLINK("https://my.zakupivli.pro/remote/dispatcher/state_purchase_view/57483469", "UA-2025-02-14-010906-a")</f>
        <v>UA-2025-02-14-010906-a</v>
      </c>
      <c r="Q912" s="419"/>
      <c r="R912" s="419">
        <v>41</v>
      </c>
      <c r="S912" s="419">
        <v>323.62799999999999</v>
      </c>
      <c r="T912" s="418">
        <v>45733</v>
      </c>
      <c r="U912" s="419"/>
      <c r="V912" s="419"/>
    </row>
    <row r="913" spans="1:22" ht="62.4" x14ac:dyDescent="0.3">
      <c r="A913" s="419">
        <v>907</v>
      </c>
      <c r="B913" s="422" t="s">
        <v>40</v>
      </c>
      <c r="C913" s="454" t="s">
        <v>2069</v>
      </c>
      <c r="D913" s="448"/>
      <c r="E913" s="448" t="s">
        <v>75</v>
      </c>
      <c r="F913" s="454" t="s">
        <v>1861</v>
      </c>
      <c r="G913" s="419" t="s">
        <v>184</v>
      </c>
      <c r="H913" s="419">
        <v>640.28858000000002</v>
      </c>
      <c r="I913" s="419">
        <v>1</v>
      </c>
      <c r="J913" s="422">
        <v>640.28858000000002</v>
      </c>
      <c r="K913" s="422">
        <v>640.28858000000002</v>
      </c>
      <c r="L913" s="422">
        <v>1</v>
      </c>
      <c r="M913" s="422">
        <v>640.28858000000002</v>
      </c>
      <c r="N913" s="6" t="s">
        <v>1865</v>
      </c>
      <c r="O913" s="423">
        <v>45702</v>
      </c>
      <c r="P913" s="33" t="str">
        <f>HYPERLINK("https://my.zakupivli.pro/remote/dispatcher/state_purchase_view/57480226", "UA-2025-02-14-009461-a")</f>
        <v>UA-2025-02-14-009461-a</v>
      </c>
      <c r="Q913" s="422">
        <v>640.28858000000002</v>
      </c>
      <c r="R913" s="422">
        <v>1</v>
      </c>
      <c r="S913" s="422">
        <v>640.28858000000002</v>
      </c>
      <c r="T913" s="423">
        <v>45702</v>
      </c>
      <c r="U913" s="419"/>
      <c r="V913" s="422" t="s">
        <v>59</v>
      </c>
    </row>
    <row r="914" spans="1:22" ht="62.4" x14ac:dyDescent="0.3">
      <c r="A914" s="419">
        <v>908</v>
      </c>
      <c r="B914" s="422" t="s">
        <v>40</v>
      </c>
      <c r="C914" s="44" t="s">
        <v>541</v>
      </c>
      <c r="D914" s="419"/>
      <c r="E914" s="422" t="s">
        <v>75</v>
      </c>
      <c r="F914" s="44" t="s">
        <v>2031</v>
      </c>
      <c r="G914" s="419" t="s">
        <v>184</v>
      </c>
      <c r="H914" s="419">
        <v>603.43341999999996</v>
      </c>
      <c r="I914" s="419">
        <v>1</v>
      </c>
      <c r="J914" s="422">
        <v>603.43341999999996</v>
      </c>
      <c r="K914" s="422">
        <v>603.43341999999996</v>
      </c>
      <c r="L914" s="422">
        <v>1</v>
      </c>
      <c r="M914" s="422">
        <v>603.43341999999996</v>
      </c>
      <c r="N914" s="6" t="s">
        <v>1866</v>
      </c>
      <c r="O914" s="423">
        <v>45702</v>
      </c>
      <c r="P914" s="33" t="str">
        <f>HYPERLINK("https://my.zakupivli.pro/remote/dispatcher/state_purchase_view/57478572", "UA-2025-02-14-008779-a")</f>
        <v>UA-2025-02-14-008779-a</v>
      </c>
      <c r="Q914" s="422">
        <v>603.43341999999996</v>
      </c>
      <c r="R914" s="422">
        <v>1</v>
      </c>
      <c r="S914" s="422">
        <v>603.43341999999996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884</v>
      </c>
      <c r="D915" s="419"/>
      <c r="E915" s="419" t="s">
        <v>20</v>
      </c>
      <c r="F915" s="44" t="s">
        <v>2060</v>
      </c>
      <c r="G915" s="419" t="s">
        <v>184</v>
      </c>
      <c r="H915" s="419">
        <v>77.498519999999999</v>
      </c>
      <c r="I915" s="419">
        <v>1</v>
      </c>
      <c r="J915" s="422">
        <v>77.498519999999999</v>
      </c>
      <c r="K915" s="422">
        <v>77.498519999999999</v>
      </c>
      <c r="L915" s="422">
        <v>1</v>
      </c>
      <c r="M915" s="422">
        <v>77.498519999999999</v>
      </c>
      <c r="N915" s="6" t="s">
        <v>1867</v>
      </c>
      <c r="O915" s="423">
        <v>45702</v>
      </c>
      <c r="P915" s="33" t="str">
        <f>HYPERLINK("https://my.zakupivli.pro/remote/dispatcher/state_purchase_view/57476914", "UA-2025-02-14-008026-a")</f>
        <v>UA-2025-02-14-008026-a</v>
      </c>
      <c r="Q915" s="422">
        <v>77.498519999999999</v>
      </c>
      <c r="R915" s="422">
        <v>1</v>
      </c>
      <c r="S915" s="422">
        <v>77.498519999999999</v>
      </c>
      <c r="T915" s="423">
        <v>45702</v>
      </c>
      <c r="U915" s="419"/>
      <c r="V915" s="422" t="s">
        <v>59</v>
      </c>
    </row>
    <row r="916" spans="1:22" ht="62.4" x14ac:dyDescent="0.3">
      <c r="A916" s="422">
        <v>910</v>
      </c>
      <c r="B916" s="422" t="s">
        <v>21</v>
      </c>
      <c r="C916" s="44" t="s">
        <v>2059</v>
      </c>
      <c r="D916" s="422"/>
      <c r="E916" s="422" t="s">
        <v>75</v>
      </c>
      <c r="F916" s="44" t="s">
        <v>1862</v>
      </c>
      <c r="G916" s="422" t="s">
        <v>1158</v>
      </c>
      <c r="H916" s="422"/>
      <c r="I916" s="422">
        <v>143</v>
      </c>
      <c r="J916" s="422">
        <v>48.762999999999998</v>
      </c>
      <c r="K916" s="422"/>
      <c r="L916" s="422">
        <v>143</v>
      </c>
      <c r="M916" s="422">
        <v>48.762999999999998</v>
      </c>
      <c r="N916" s="6" t="s">
        <v>1868</v>
      </c>
      <c r="O916" s="423">
        <v>45702</v>
      </c>
      <c r="P916" s="33" t="str">
        <f>HYPERLINK("https://my.zakupivli.pro/remote/dispatcher/state_purchase_view/57476203", "UA-2025-02-14-007675-a")</f>
        <v>UA-2025-02-14-007675-a</v>
      </c>
      <c r="Q916" s="422"/>
      <c r="R916" s="422">
        <v>143</v>
      </c>
      <c r="S916" s="422">
        <v>48.762999999999998</v>
      </c>
      <c r="T916" s="423">
        <v>45702</v>
      </c>
      <c r="U916" s="422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54" t="s">
        <v>178</v>
      </c>
      <c r="D917" s="448"/>
      <c r="E917" s="448" t="s">
        <v>75</v>
      </c>
      <c r="F917" s="454" t="s">
        <v>2058</v>
      </c>
      <c r="G917" s="422" t="s">
        <v>185</v>
      </c>
      <c r="H917" s="422"/>
      <c r="I917" s="422">
        <v>10</v>
      </c>
      <c r="J917" s="119">
        <v>330</v>
      </c>
      <c r="K917" s="422"/>
      <c r="L917" s="422">
        <v>10</v>
      </c>
      <c r="M917" s="119">
        <v>330</v>
      </c>
      <c r="N917" s="6" t="s">
        <v>1869</v>
      </c>
      <c r="O917" s="423">
        <v>45702</v>
      </c>
      <c r="P917" s="33" t="str">
        <f>HYPERLINK("https://my.zakupivli.pro/remote/dispatcher/state_purchase_view/57475723", "UA-2025-02-14-007472-a")</f>
        <v>UA-2025-02-14-007472-a</v>
      </c>
      <c r="Q917" s="422"/>
      <c r="R917" s="422">
        <v>10</v>
      </c>
      <c r="S917" s="119">
        <v>310.3</v>
      </c>
      <c r="T917" s="423">
        <v>45726</v>
      </c>
      <c r="U917" s="422"/>
      <c r="V917" s="422"/>
    </row>
    <row r="918" spans="1:22" ht="62.4" x14ac:dyDescent="0.3">
      <c r="A918" s="422">
        <v>912</v>
      </c>
      <c r="B918" s="422" t="s">
        <v>21</v>
      </c>
      <c r="C918" s="44" t="s">
        <v>2038</v>
      </c>
      <c r="D918" s="422"/>
      <c r="E918" s="422" t="s">
        <v>75</v>
      </c>
      <c r="F918" s="44" t="s">
        <v>1863</v>
      </c>
      <c r="G918" s="422" t="s">
        <v>185</v>
      </c>
      <c r="H918" s="422"/>
      <c r="I918" s="422">
        <v>2</v>
      </c>
      <c r="J918" s="119">
        <v>52.1</v>
      </c>
      <c r="K918" s="422"/>
      <c r="L918" s="422">
        <v>2</v>
      </c>
      <c r="M918" s="119">
        <v>52.1</v>
      </c>
      <c r="N918" s="6" t="s">
        <v>1870</v>
      </c>
      <c r="O918" s="423">
        <v>45702</v>
      </c>
      <c r="P918" s="33" t="str">
        <f>HYPERLINK("https://my.zakupivli.pro/remote/dispatcher/state_purchase_view/57469944", "UA-2025-02-14-004784-a")</f>
        <v>UA-2025-02-14-004784-a</v>
      </c>
      <c r="Q918" s="422"/>
      <c r="R918" s="422">
        <v>2</v>
      </c>
      <c r="S918" s="119">
        <v>52.1</v>
      </c>
      <c r="T918" s="423">
        <v>45702</v>
      </c>
      <c r="U918" s="422"/>
      <c r="V918" s="422" t="s">
        <v>59</v>
      </c>
    </row>
    <row r="919" spans="1:22" ht="62.4" x14ac:dyDescent="0.3">
      <c r="A919" s="424">
        <v>913</v>
      </c>
      <c r="B919" s="424" t="s">
        <v>40</v>
      </c>
      <c r="C919" s="44" t="s">
        <v>1991</v>
      </c>
      <c r="D919" s="424"/>
      <c r="E919" s="424" t="s">
        <v>20</v>
      </c>
      <c r="F919" s="44" t="s">
        <v>1871</v>
      </c>
      <c r="G919" s="424" t="s">
        <v>184</v>
      </c>
      <c r="H919" s="424">
        <v>110.63678</v>
      </c>
      <c r="I919" s="424">
        <v>1</v>
      </c>
      <c r="J919" s="424">
        <v>110.63678</v>
      </c>
      <c r="K919" s="424">
        <v>110.63678</v>
      </c>
      <c r="L919" s="424">
        <v>1</v>
      </c>
      <c r="M919" s="424">
        <v>110.63678</v>
      </c>
      <c r="N919" s="6" t="s">
        <v>1873</v>
      </c>
      <c r="O919" s="425">
        <v>45706</v>
      </c>
      <c r="P919" s="33" t="str">
        <f>HYPERLINK("https://my.zakupivli.pro/remote/dispatcher/state_purchase_view/57524444", "UA-2025-02-18-000134-a")</f>
        <v>UA-2025-02-18-000134-a</v>
      </c>
      <c r="Q919" s="424">
        <v>110.63678</v>
      </c>
      <c r="R919" s="424">
        <v>1</v>
      </c>
      <c r="S919" s="424">
        <v>110.63678</v>
      </c>
      <c r="T919" s="425">
        <v>45705</v>
      </c>
      <c r="U919" s="424"/>
      <c r="V919" s="424" t="s">
        <v>59</v>
      </c>
    </row>
    <row r="920" spans="1:22" ht="62.4" x14ac:dyDescent="0.3">
      <c r="A920" s="424">
        <v>914</v>
      </c>
      <c r="B920" s="424" t="s">
        <v>40</v>
      </c>
      <c r="C920" s="454" t="s">
        <v>2008</v>
      </c>
      <c r="D920" s="448"/>
      <c r="E920" s="448" t="s">
        <v>20</v>
      </c>
      <c r="F920" s="454" t="s">
        <v>1872</v>
      </c>
      <c r="G920" s="424" t="s">
        <v>184</v>
      </c>
      <c r="H920" s="424">
        <v>160.78029000000001</v>
      </c>
      <c r="I920" s="424">
        <v>1</v>
      </c>
      <c r="J920" s="424">
        <v>160.78029000000001</v>
      </c>
      <c r="K920" s="424">
        <v>160.78029000000001</v>
      </c>
      <c r="L920" s="424">
        <v>1</v>
      </c>
      <c r="M920" s="424">
        <v>160.78029000000001</v>
      </c>
      <c r="N920" s="6" t="s">
        <v>1874</v>
      </c>
      <c r="O920" s="425">
        <v>45706</v>
      </c>
      <c r="P920" s="33" t="str">
        <f>HYPERLINK("https://my.zakupivli.pro/remote/dispatcher/state_purchase_view/57524423", "UA-2025-02-18-000121-a")</f>
        <v>UA-2025-02-18-000121-a</v>
      </c>
      <c r="Q920" s="424">
        <v>160.78029000000001</v>
      </c>
      <c r="R920" s="424">
        <v>1</v>
      </c>
      <c r="S920" s="424">
        <v>160.78029000000001</v>
      </c>
      <c r="T920" s="425">
        <v>45705</v>
      </c>
      <c r="U920" s="424"/>
      <c r="V920" s="424" t="s">
        <v>59</v>
      </c>
    </row>
    <row r="921" spans="1:22" ht="62.4" x14ac:dyDescent="0.3">
      <c r="A921" s="426">
        <v>915</v>
      </c>
      <c r="B921" s="426" t="s">
        <v>40</v>
      </c>
      <c r="C921" s="44" t="s">
        <v>73</v>
      </c>
      <c r="D921" s="426"/>
      <c r="E921" s="426" t="s">
        <v>75</v>
      </c>
      <c r="F921" s="44" t="s">
        <v>2040</v>
      </c>
      <c r="G921" s="426" t="s">
        <v>184</v>
      </c>
      <c r="H921" s="426">
        <v>194.39855</v>
      </c>
      <c r="I921" s="426">
        <v>1</v>
      </c>
      <c r="J921" s="426">
        <v>194.39855</v>
      </c>
      <c r="K921" s="426">
        <v>194.39855</v>
      </c>
      <c r="L921" s="426">
        <v>1</v>
      </c>
      <c r="M921" s="426">
        <v>194.39855</v>
      </c>
      <c r="N921" s="6" t="s">
        <v>1881</v>
      </c>
      <c r="O921" s="427">
        <v>45708</v>
      </c>
      <c r="P921" s="33" t="str">
        <f>HYPERLINK("https://my.zakupivli.pro/remote/dispatcher/state_purchase_view/57612514", "UA-2025-02-20-010663-a")</f>
        <v>UA-2025-02-20-010663-a</v>
      </c>
      <c r="Q921" s="426">
        <v>194.39855</v>
      </c>
      <c r="R921" s="426">
        <v>1</v>
      </c>
      <c r="S921" s="426">
        <v>194.39855</v>
      </c>
      <c r="T921" s="427">
        <v>45708</v>
      </c>
      <c r="U921" s="426"/>
      <c r="V921" s="426" t="s">
        <v>59</v>
      </c>
    </row>
    <row r="922" spans="1:22" ht="46.8" x14ac:dyDescent="0.3">
      <c r="A922" s="426">
        <v>916</v>
      </c>
      <c r="B922" s="426" t="s">
        <v>21</v>
      </c>
      <c r="C922" s="44" t="s">
        <v>2039</v>
      </c>
      <c r="D922" s="426"/>
      <c r="E922" s="426" t="s">
        <v>88</v>
      </c>
      <c r="F922" s="44" t="s">
        <v>1876</v>
      </c>
      <c r="G922" s="426" t="s">
        <v>185</v>
      </c>
      <c r="H922" s="426"/>
      <c r="I922" s="426">
        <v>147</v>
      </c>
      <c r="J922" s="426">
        <v>135.73500000000001</v>
      </c>
      <c r="K922" s="426"/>
      <c r="L922" s="426">
        <v>147</v>
      </c>
      <c r="M922" s="426">
        <v>135.73500000000001</v>
      </c>
      <c r="N922" s="6" t="s">
        <v>1882</v>
      </c>
      <c r="O922" s="427">
        <v>45708</v>
      </c>
      <c r="P922" s="33" t="str">
        <f>HYPERLINK("https://my.zakupivli.pro/remote/dispatcher/state_purchase_view/57606569", "UA-2025-02-20-008191-a")</f>
        <v>UA-2025-02-20-008191-a</v>
      </c>
      <c r="Q922" s="426"/>
      <c r="R922" s="426">
        <v>147</v>
      </c>
      <c r="S922" s="426">
        <v>124.26</v>
      </c>
      <c r="T922" s="427">
        <v>45733</v>
      </c>
      <c r="U922" s="426"/>
      <c r="V922" s="426"/>
    </row>
    <row r="923" spans="1:22" ht="62.4" x14ac:dyDescent="0.3">
      <c r="A923" s="426">
        <v>917</v>
      </c>
      <c r="B923" s="426" t="s">
        <v>21</v>
      </c>
      <c r="C923" s="44" t="s">
        <v>2038</v>
      </c>
      <c r="D923" s="426"/>
      <c r="E923" s="426" t="s">
        <v>75</v>
      </c>
      <c r="F923" s="44" t="s">
        <v>1877</v>
      </c>
      <c r="G923" s="426" t="s">
        <v>185</v>
      </c>
      <c r="H923" s="426"/>
      <c r="I923" s="426">
        <v>12</v>
      </c>
      <c r="J923" s="426">
        <v>66.396000000000001</v>
      </c>
      <c r="K923" s="426"/>
      <c r="L923" s="426">
        <v>12</v>
      </c>
      <c r="M923" s="426">
        <v>66.396000000000001</v>
      </c>
      <c r="N923" s="6" t="s">
        <v>1883</v>
      </c>
      <c r="O923" s="427">
        <v>45708</v>
      </c>
      <c r="P923" s="33" t="str">
        <f>HYPERLINK("https://my.zakupivli.pro/remote/dispatcher/state_purchase_view/57603945", "UA-2025-02-20-007017-a")</f>
        <v>UA-2025-02-20-007017-a</v>
      </c>
      <c r="Q923" s="426"/>
      <c r="R923" s="445">
        <v>12</v>
      </c>
      <c r="S923" s="445">
        <v>66.396000000000001</v>
      </c>
      <c r="T923" s="444">
        <v>45708</v>
      </c>
      <c r="U923" s="426"/>
      <c r="V923" s="445" t="s">
        <v>59</v>
      </c>
    </row>
    <row r="924" spans="1:22" ht="46.8" x14ac:dyDescent="0.3">
      <c r="A924" s="426">
        <v>918</v>
      </c>
      <c r="B924" s="426" t="s">
        <v>21</v>
      </c>
      <c r="C924" s="44" t="s">
        <v>2037</v>
      </c>
      <c r="D924" s="426"/>
      <c r="E924" s="426" t="s">
        <v>88</v>
      </c>
      <c r="F924" s="44" t="s">
        <v>1878</v>
      </c>
      <c r="G924" s="426" t="s">
        <v>186</v>
      </c>
      <c r="H924" s="426"/>
      <c r="I924" s="426">
        <v>6</v>
      </c>
      <c r="J924" s="426">
        <v>4237.9769999999999</v>
      </c>
      <c r="K924" s="426"/>
      <c r="L924" s="426">
        <v>6</v>
      </c>
      <c r="M924" s="426">
        <v>4237.9769999999999</v>
      </c>
      <c r="N924" s="6" t="s">
        <v>1884</v>
      </c>
      <c r="O924" s="427">
        <v>45708</v>
      </c>
      <c r="P924" s="33" t="str">
        <f>HYPERLINK("https://my.zakupivli.pro/remote/dispatcher/state_purchase_view/57593579", "UA-2025-02-20-002410-a")</f>
        <v>UA-2025-02-20-002410-a</v>
      </c>
      <c r="Q924" s="426"/>
      <c r="R924" s="426">
        <v>6</v>
      </c>
      <c r="S924" s="426">
        <v>4237.9279999999999</v>
      </c>
      <c r="T924" s="427">
        <v>45726</v>
      </c>
      <c r="U924" s="426"/>
      <c r="V924" s="426"/>
    </row>
    <row r="925" spans="1:22" ht="46.8" x14ac:dyDescent="0.3">
      <c r="A925" s="426">
        <v>919</v>
      </c>
      <c r="B925" s="426" t="s">
        <v>21</v>
      </c>
      <c r="C925" s="44" t="s">
        <v>2037</v>
      </c>
      <c r="D925" s="426"/>
      <c r="E925" s="426" t="s">
        <v>88</v>
      </c>
      <c r="F925" s="44" t="s">
        <v>1879</v>
      </c>
      <c r="G925" s="426" t="s">
        <v>186</v>
      </c>
      <c r="H925" s="426"/>
      <c r="I925" s="426">
        <v>2</v>
      </c>
      <c r="J925" s="119">
        <v>2549.4</v>
      </c>
      <c r="K925" s="426"/>
      <c r="L925" s="426">
        <v>2</v>
      </c>
      <c r="M925" s="119">
        <v>2549.4</v>
      </c>
      <c r="N925" s="6" t="s">
        <v>1885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2</v>
      </c>
      <c r="S925" s="119">
        <v>2549.4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1880</v>
      </c>
      <c r="D926" s="426"/>
      <c r="E926" s="426" t="s">
        <v>75</v>
      </c>
      <c r="F926" s="44" t="s">
        <v>2036</v>
      </c>
      <c r="G926" s="426" t="s">
        <v>186</v>
      </c>
      <c r="H926" s="426"/>
      <c r="I926" s="426">
        <v>6</v>
      </c>
      <c r="J926" s="426">
        <v>258.69400000000002</v>
      </c>
      <c r="K926" s="426"/>
      <c r="L926" s="426">
        <v>6</v>
      </c>
      <c r="M926" s="426">
        <v>258.69400000000002</v>
      </c>
      <c r="N926" s="6" t="s">
        <v>1886</v>
      </c>
      <c r="O926" s="427">
        <v>45708</v>
      </c>
      <c r="P926" s="33" t="str">
        <f>HYPERLINK("https://my.zakupivli.pro/remote/dispatcher/state_purchase_view/57590825", "UA-2025-02-20-001195-a")</f>
        <v>UA-2025-02-20-001195-a</v>
      </c>
      <c r="Q926" s="426"/>
      <c r="R926" s="426">
        <v>6</v>
      </c>
      <c r="S926" s="426">
        <v>258.69400000000002</v>
      </c>
      <c r="T926" s="427">
        <v>45727</v>
      </c>
      <c r="U926" s="426"/>
      <c r="V926" s="426"/>
    </row>
    <row r="927" spans="1:22" ht="62.4" x14ac:dyDescent="0.3">
      <c r="A927" s="426">
        <v>921</v>
      </c>
      <c r="B927" s="426" t="s">
        <v>40</v>
      </c>
      <c r="C927" s="44" t="s">
        <v>73</v>
      </c>
      <c r="D927" s="426"/>
      <c r="E927" s="426" t="s">
        <v>75</v>
      </c>
      <c r="F927" s="225" t="s">
        <v>1887</v>
      </c>
      <c r="G927" s="426" t="s">
        <v>184</v>
      </c>
      <c r="H927" s="426">
        <v>664.80475000000001</v>
      </c>
      <c r="I927" s="426">
        <v>1</v>
      </c>
      <c r="J927" s="426">
        <v>664.80475000000001</v>
      </c>
      <c r="K927" s="426">
        <v>664.80475000000001</v>
      </c>
      <c r="L927" s="426">
        <v>1</v>
      </c>
      <c r="M927" s="426">
        <v>664.80475000000001</v>
      </c>
      <c r="N927" s="6" t="s">
        <v>1890</v>
      </c>
      <c r="O927" s="427">
        <v>45708</v>
      </c>
      <c r="P927" s="33" t="str">
        <f>HYPERLINK("https://my.zakupivli.pro/remote/dispatcher/state_purchase_view/57640739", "UA-2025-02-21-009763-a")</f>
        <v>UA-2025-02-21-009763-a</v>
      </c>
      <c r="Q927" s="426">
        <v>664.80475000000001</v>
      </c>
      <c r="R927" s="426">
        <v>1</v>
      </c>
      <c r="S927" s="426">
        <v>664.80475000000001</v>
      </c>
      <c r="T927" s="444">
        <v>45708</v>
      </c>
      <c r="U927" s="426"/>
      <c r="V927" s="426" t="s">
        <v>59</v>
      </c>
    </row>
    <row r="928" spans="1:22" ht="46.8" x14ac:dyDescent="0.3">
      <c r="A928" s="426">
        <v>922</v>
      </c>
      <c r="B928" s="426" t="s">
        <v>21</v>
      </c>
      <c r="C928" s="44" t="s">
        <v>2035</v>
      </c>
      <c r="D928" s="426"/>
      <c r="E928" s="426" t="s">
        <v>75</v>
      </c>
      <c r="F928" s="44" t="s">
        <v>1888</v>
      </c>
      <c r="G928" s="426" t="s">
        <v>185</v>
      </c>
      <c r="H928" s="426"/>
      <c r="I928" s="426">
        <v>145</v>
      </c>
      <c r="J928" s="426">
        <v>792.36266000000001</v>
      </c>
      <c r="K928" s="426"/>
      <c r="L928" s="426">
        <v>145</v>
      </c>
      <c r="M928" s="426">
        <v>792.36266000000001</v>
      </c>
      <c r="N928" s="6" t="s">
        <v>1891</v>
      </c>
      <c r="O928" s="427">
        <v>45709</v>
      </c>
      <c r="P928" s="33" t="str">
        <f>HYPERLINK("https://my.zakupivli.pro/remote/dispatcher/state_purchase_view/57638292", "UA-2025-02-21-008660-a")</f>
        <v>UA-2025-02-21-008660-a</v>
      </c>
      <c r="Q928" s="426"/>
      <c r="R928" s="426">
        <v>145</v>
      </c>
      <c r="S928" s="426">
        <v>606.63800000000003</v>
      </c>
      <c r="T928" s="427">
        <v>45733</v>
      </c>
      <c r="U928" s="426"/>
      <c r="V928" s="426"/>
    </row>
    <row r="929" spans="1:22" ht="62.4" x14ac:dyDescent="0.3">
      <c r="A929" s="426">
        <v>923</v>
      </c>
      <c r="B929" s="426" t="s">
        <v>40</v>
      </c>
      <c r="C929" s="44" t="s">
        <v>73</v>
      </c>
      <c r="D929" s="426"/>
      <c r="E929" s="426" t="s">
        <v>75</v>
      </c>
      <c r="F929" s="44" t="s">
        <v>2034</v>
      </c>
      <c r="G929" s="426" t="s">
        <v>184</v>
      </c>
      <c r="H929" s="119">
        <v>450</v>
      </c>
      <c r="I929" s="426">
        <v>1</v>
      </c>
      <c r="J929" s="119">
        <v>450</v>
      </c>
      <c r="K929" s="119">
        <v>450</v>
      </c>
      <c r="L929" s="426">
        <v>1</v>
      </c>
      <c r="M929" s="119">
        <v>450</v>
      </c>
      <c r="N929" s="6" t="s">
        <v>1892</v>
      </c>
      <c r="O929" s="427">
        <v>45708</v>
      </c>
      <c r="P929" s="33" t="str">
        <f>HYPERLINK("https://my.zakupivli.pro/remote/dispatcher/state_purchase_view/57623304", "UA-2025-02-21-001879-a")</f>
        <v>UA-2025-02-21-001879-a</v>
      </c>
      <c r="Q929" s="119">
        <v>450</v>
      </c>
      <c r="R929" s="426">
        <v>1</v>
      </c>
      <c r="S929" s="119">
        <v>450</v>
      </c>
      <c r="T929" s="427">
        <v>45708</v>
      </c>
      <c r="U929" s="426"/>
      <c r="V929" s="426" t="s">
        <v>59</v>
      </c>
    </row>
    <row r="930" spans="1:22" ht="62.4" x14ac:dyDescent="0.3">
      <c r="A930" s="426">
        <v>924</v>
      </c>
      <c r="B930" s="426" t="s">
        <v>21</v>
      </c>
      <c r="C930" s="44" t="s">
        <v>2028</v>
      </c>
      <c r="D930" s="426"/>
      <c r="E930" s="426" t="s">
        <v>75</v>
      </c>
      <c r="F930" s="225" t="s">
        <v>1889</v>
      </c>
      <c r="G930" s="426" t="s">
        <v>186</v>
      </c>
      <c r="H930" s="426"/>
      <c r="I930" s="426">
        <v>32</v>
      </c>
      <c r="J930" s="426">
        <v>66.435199999999995</v>
      </c>
      <c r="K930" s="426"/>
      <c r="L930" s="426">
        <v>32</v>
      </c>
      <c r="M930" s="426">
        <v>66.435199999999995</v>
      </c>
      <c r="N930" s="6" t="s">
        <v>1893</v>
      </c>
      <c r="O930" s="427">
        <v>45708</v>
      </c>
      <c r="P930" s="33" t="str">
        <f>HYPERLINK("https://my.zakupivli.pro/remote/dispatcher/state_purchase_view/57623075", "UA-2025-02-21-001736-a")</f>
        <v>UA-2025-02-21-001736-a</v>
      </c>
      <c r="Q930" s="426"/>
      <c r="R930" s="426">
        <v>32</v>
      </c>
      <c r="S930" s="426">
        <v>66.435199999999995</v>
      </c>
      <c r="T930" s="427">
        <v>45708</v>
      </c>
      <c r="U930" s="426"/>
      <c r="V930" s="426" t="s">
        <v>59</v>
      </c>
    </row>
    <row r="931" spans="1:22" ht="93.6" x14ac:dyDescent="0.3">
      <c r="A931" s="426">
        <v>925</v>
      </c>
      <c r="B931" s="426" t="s">
        <v>21</v>
      </c>
      <c r="C931" s="44" t="s">
        <v>183</v>
      </c>
      <c r="D931" s="426"/>
      <c r="E931" s="426" t="s">
        <v>88</v>
      </c>
      <c r="F931" s="44" t="s">
        <v>2033</v>
      </c>
      <c r="G931" s="426" t="s">
        <v>186</v>
      </c>
      <c r="H931" s="426"/>
      <c r="I931" s="426">
        <v>3</v>
      </c>
      <c r="J931" s="119">
        <v>2351</v>
      </c>
      <c r="K931" s="426"/>
      <c r="L931" s="426">
        <v>3</v>
      </c>
      <c r="M931" s="119">
        <v>2351</v>
      </c>
      <c r="N931" s="6" t="s">
        <v>1895</v>
      </c>
      <c r="O931" s="427">
        <v>45713</v>
      </c>
      <c r="P931" s="33" t="str">
        <f>HYPERLINK("https://my.zakupivli.pro/remote/dispatcher/state_purchase_view/57711359", "UA-2025-02-25-013333-a")</f>
        <v>UA-2025-02-25-013333-a</v>
      </c>
      <c r="Q931" s="426"/>
      <c r="R931" s="426">
        <v>3</v>
      </c>
      <c r="S931" s="119">
        <v>2351</v>
      </c>
      <c r="T931" s="427">
        <v>45713</v>
      </c>
      <c r="U931" s="426"/>
      <c r="V931" s="426" t="s">
        <v>59</v>
      </c>
    </row>
    <row r="932" spans="1:22" ht="62.4" x14ac:dyDescent="0.3">
      <c r="A932" s="426">
        <v>926</v>
      </c>
      <c r="B932" s="426" t="s">
        <v>21</v>
      </c>
      <c r="C932" s="44" t="s">
        <v>2032</v>
      </c>
      <c r="D932" s="426"/>
      <c r="E932" s="426" t="s">
        <v>75</v>
      </c>
      <c r="F932" s="44" t="s">
        <v>1894</v>
      </c>
      <c r="G932" s="426" t="s">
        <v>185</v>
      </c>
      <c r="H932" s="119">
        <v>75</v>
      </c>
      <c r="I932" s="426">
        <v>1</v>
      </c>
      <c r="J932" s="119">
        <v>75</v>
      </c>
      <c r="K932" s="119">
        <v>75</v>
      </c>
      <c r="L932" s="426">
        <v>1</v>
      </c>
      <c r="M932" s="119">
        <v>75</v>
      </c>
      <c r="N932" s="6" t="s">
        <v>1896</v>
      </c>
      <c r="O932" s="427">
        <v>45713</v>
      </c>
      <c r="P932" s="33" t="str">
        <f>HYPERLINK("https://my.zakupivli.pro/remote/dispatcher/state_purchase_view/57700470", "UA-2025-02-25-008377-a")</f>
        <v>UA-2025-02-25-008377-a</v>
      </c>
      <c r="Q932" s="119">
        <v>75</v>
      </c>
      <c r="R932" s="426">
        <v>1</v>
      </c>
      <c r="S932" s="119">
        <v>75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40</v>
      </c>
      <c r="C933" s="44" t="s">
        <v>541</v>
      </c>
      <c r="D933" s="426"/>
      <c r="E933" s="426" t="s">
        <v>75</v>
      </c>
      <c r="F933" s="44" t="s">
        <v>1861</v>
      </c>
      <c r="G933" s="426" t="s">
        <v>184</v>
      </c>
      <c r="H933" s="426">
        <v>709.93458999999996</v>
      </c>
      <c r="I933" s="426">
        <v>1</v>
      </c>
      <c r="J933" s="426">
        <v>709.93458999999996</v>
      </c>
      <c r="K933" s="426">
        <v>709.93458999999996</v>
      </c>
      <c r="L933" s="426">
        <v>1</v>
      </c>
      <c r="M933" s="426">
        <v>709.93458999999996</v>
      </c>
      <c r="N933" s="6" t="s">
        <v>1897</v>
      </c>
      <c r="O933" s="427">
        <v>45714</v>
      </c>
      <c r="P933" s="33" t="str">
        <f>HYPERLINK("https://my.zakupivli.pro/remote/dispatcher/state_purchase_view/57741352", "UA-2025-02-26-012076-a")</f>
        <v>UA-2025-02-26-012076-a</v>
      </c>
      <c r="Q933" s="426">
        <v>709.93458999999996</v>
      </c>
      <c r="R933" s="426">
        <v>1</v>
      </c>
      <c r="S933" s="426">
        <v>709.93458999999996</v>
      </c>
      <c r="T933" s="427">
        <v>45714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2031</v>
      </c>
      <c r="G934" s="426" t="s">
        <v>184</v>
      </c>
      <c r="H934" s="426">
        <v>744.37929999999994</v>
      </c>
      <c r="I934" s="426">
        <v>1</v>
      </c>
      <c r="J934" s="426">
        <v>744.37929999999994</v>
      </c>
      <c r="K934" s="426">
        <v>744.37929999999994</v>
      </c>
      <c r="L934" s="426">
        <v>1</v>
      </c>
      <c r="M934" s="426">
        <v>744.37929999999994</v>
      </c>
      <c r="N934" s="6" t="s">
        <v>1898</v>
      </c>
      <c r="O934" s="427">
        <v>45714</v>
      </c>
      <c r="P934" s="33" t="str">
        <f>HYPERLINK("https://my.zakupivli.pro/remote/dispatcher/state_purchase_view/57739836", "UA-2025-02-26-011456-a")</f>
        <v>UA-2025-02-26-011456-a</v>
      </c>
      <c r="Q934" s="426">
        <v>744.37929999999994</v>
      </c>
      <c r="R934" s="426">
        <v>1</v>
      </c>
      <c r="S934" s="426">
        <v>744.37929999999994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2031</v>
      </c>
      <c r="G935" s="426" t="s">
        <v>184</v>
      </c>
      <c r="H935" s="426">
        <v>687.91728999999998</v>
      </c>
      <c r="I935" s="426">
        <v>1</v>
      </c>
      <c r="J935" s="426">
        <v>687.91728999999998</v>
      </c>
      <c r="K935" s="426">
        <v>687.91728999999998</v>
      </c>
      <c r="L935" s="426">
        <v>1</v>
      </c>
      <c r="M935" s="426">
        <v>687.91728999999998</v>
      </c>
      <c r="N935" s="6" t="s">
        <v>1899</v>
      </c>
      <c r="O935" s="427">
        <v>45714</v>
      </c>
      <c r="P935" s="33" t="str">
        <f>HYPERLINK("https://my.zakupivli.pro/remote/dispatcher/state_purchase_view/57738530", "UA-2025-02-26-010814-a")</f>
        <v>UA-2025-02-26-010814-a</v>
      </c>
      <c r="Q935" s="426">
        <v>687.91728999999998</v>
      </c>
      <c r="R935" s="426">
        <v>1</v>
      </c>
      <c r="S935" s="426">
        <v>687.91728999999998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73</v>
      </c>
      <c r="D936" s="426"/>
      <c r="E936" s="426" t="s">
        <v>75</v>
      </c>
      <c r="F936" s="44" t="s">
        <v>1887</v>
      </c>
      <c r="G936" s="426" t="s">
        <v>184</v>
      </c>
      <c r="H936" s="426">
        <v>830.32794999999999</v>
      </c>
      <c r="I936" s="426">
        <v>1</v>
      </c>
      <c r="J936" s="426">
        <v>830.32794999999999</v>
      </c>
      <c r="K936" s="426">
        <v>830.32794999999999</v>
      </c>
      <c r="L936" s="426">
        <v>1</v>
      </c>
      <c r="M936" s="426">
        <v>830.32794999999999</v>
      </c>
      <c r="N936" s="6" t="s">
        <v>1900</v>
      </c>
      <c r="O936" s="427">
        <v>45714</v>
      </c>
      <c r="P936" s="33" t="str">
        <f>HYPERLINK("https://my.zakupivli.pro/remote/dispatcher/state_purchase_view/57734768", "UA-2025-02-26-009008-a")</f>
        <v>UA-2025-02-26-009008-a</v>
      </c>
      <c r="Q936" s="426">
        <v>830.32794999999999</v>
      </c>
      <c r="R936" s="426">
        <v>1</v>
      </c>
      <c r="S936" s="426">
        <v>830.32794999999999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2029</v>
      </c>
      <c r="G937" s="426" t="s">
        <v>184</v>
      </c>
      <c r="H937" s="426">
        <v>691.48784999999998</v>
      </c>
      <c r="I937" s="426">
        <v>1</v>
      </c>
      <c r="J937" s="426">
        <v>691.48784999999998</v>
      </c>
      <c r="K937" s="426">
        <v>691.48784999999998</v>
      </c>
      <c r="L937" s="426">
        <v>1</v>
      </c>
      <c r="M937" s="426">
        <v>691.48784999999998</v>
      </c>
      <c r="N937" s="6" t="s">
        <v>1901</v>
      </c>
      <c r="O937" s="427">
        <v>45714</v>
      </c>
      <c r="P937" s="33" t="str">
        <f>HYPERLINK("https://my.zakupivli.pro/remote/dispatcher/state_purchase_view/57734245", "UA-2025-02-26-008765-a")</f>
        <v>UA-2025-02-26-008765-a</v>
      </c>
      <c r="Q937" s="426">
        <v>691.48784999999998</v>
      </c>
      <c r="R937" s="426">
        <v>1</v>
      </c>
      <c r="S937" s="426">
        <v>691.48784999999998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30" t="s">
        <v>884</v>
      </c>
      <c r="D938" s="426"/>
      <c r="E938" s="426" t="s">
        <v>20</v>
      </c>
      <c r="F938" s="44" t="s">
        <v>2030</v>
      </c>
      <c r="G938" s="426" t="s">
        <v>184</v>
      </c>
      <c r="H938" s="426">
        <v>120.94149</v>
      </c>
      <c r="I938" s="426">
        <v>1</v>
      </c>
      <c r="J938" s="426">
        <v>120.94149</v>
      </c>
      <c r="K938" s="426">
        <v>120.94149</v>
      </c>
      <c r="L938" s="426">
        <v>1</v>
      </c>
      <c r="M938" s="426">
        <v>120.94149</v>
      </c>
      <c r="N938" s="6" t="s">
        <v>1902</v>
      </c>
      <c r="O938" s="427">
        <v>45714</v>
      </c>
      <c r="P938" s="33" t="str">
        <f>HYPERLINK("https://my.zakupivli.pro/remote/dispatcher/state_purchase_view/57729054", "UA-2025-02-26-006375-a")</f>
        <v>UA-2025-02-26-006375-a</v>
      </c>
      <c r="Q938" s="426">
        <v>120.94149</v>
      </c>
      <c r="R938" s="426">
        <v>1</v>
      </c>
      <c r="S938" s="426">
        <v>120.94149</v>
      </c>
      <c r="T938" s="427">
        <v>45714</v>
      </c>
      <c r="U938" s="426"/>
      <c r="V938" s="426" t="s">
        <v>59</v>
      </c>
    </row>
    <row r="939" spans="1:22" ht="93.6" x14ac:dyDescent="0.3">
      <c r="A939" s="426">
        <v>933</v>
      </c>
      <c r="B939" s="426" t="s">
        <v>40</v>
      </c>
      <c r="C939" s="44" t="s">
        <v>2008</v>
      </c>
      <c r="D939" s="426"/>
      <c r="E939" s="426" t="s">
        <v>88</v>
      </c>
      <c r="F939" s="44" t="s">
        <v>1903</v>
      </c>
      <c r="G939" s="426" t="s">
        <v>184</v>
      </c>
      <c r="H939" s="426">
        <v>44569.936150000001</v>
      </c>
      <c r="I939" s="426">
        <v>1</v>
      </c>
      <c r="J939" s="426">
        <v>44569.936150000001</v>
      </c>
      <c r="K939" s="426">
        <v>44569.936150000001</v>
      </c>
      <c r="L939" s="426">
        <v>1</v>
      </c>
      <c r="M939" s="426">
        <v>44569.936150000001</v>
      </c>
      <c r="N939" s="6" t="s">
        <v>1905</v>
      </c>
      <c r="O939" s="427">
        <v>45718</v>
      </c>
      <c r="P939" s="431" t="str">
        <f>HYPERLINK("https://my.zakupivli.pro/remote/dispatcher/state_purchase_view/57767467", "UA-2025-02-27-009761-a")</f>
        <v>UA-2025-02-27-009761-a</v>
      </c>
      <c r="Q939" s="466">
        <v>44563.269160000003</v>
      </c>
      <c r="R939" s="466">
        <v>1</v>
      </c>
      <c r="S939" s="466">
        <v>44563.269160000003</v>
      </c>
      <c r="T939" s="427">
        <v>45763</v>
      </c>
      <c r="U939" s="426"/>
      <c r="V939" s="426"/>
    </row>
    <row r="940" spans="1:22" ht="62.4" x14ac:dyDescent="0.3">
      <c r="A940" s="426">
        <v>934</v>
      </c>
      <c r="B940" s="426" t="s">
        <v>40</v>
      </c>
      <c r="C940" s="44" t="s">
        <v>2008</v>
      </c>
      <c r="D940" s="426"/>
      <c r="E940" s="426" t="s">
        <v>88</v>
      </c>
      <c r="F940" s="44" t="s">
        <v>1904</v>
      </c>
      <c r="G940" s="426" t="s">
        <v>184</v>
      </c>
      <c r="H940" s="426">
        <v>24737.839540000001</v>
      </c>
      <c r="I940" s="426">
        <v>1</v>
      </c>
      <c r="J940" s="426">
        <v>24737.839540000001</v>
      </c>
      <c r="K940" s="426">
        <v>24737.839540000001</v>
      </c>
      <c r="L940" s="426">
        <v>1</v>
      </c>
      <c r="M940" s="426">
        <v>24737.839540000001</v>
      </c>
      <c r="N940" s="6" t="s">
        <v>1906</v>
      </c>
      <c r="O940" s="427">
        <v>45718</v>
      </c>
      <c r="P940" s="33" t="str">
        <f>HYPERLINK("https://my.zakupivli.pro/remote/dispatcher/state_purchase_view/57746790", "UA-2025-02-27-000432-a")</f>
        <v>UA-2025-02-27-000432-a</v>
      </c>
      <c r="Q940" s="466">
        <v>24731.150079999999</v>
      </c>
      <c r="R940" s="466">
        <v>1</v>
      </c>
      <c r="S940" s="466">
        <v>24731.150079999999</v>
      </c>
      <c r="T940" s="467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73</v>
      </c>
      <c r="D941" s="426"/>
      <c r="E941" s="426" t="s">
        <v>75</v>
      </c>
      <c r="F941" s="44" t="s">
        <v>2029</v>
      </c>
      <c r="G941" s="426" t="s">
        <v>184</v>
      </c>
      <c r="H941" s="426">
        <v>429.74119999999999</v>
      </c>
      <c r="I941" s="426">
        <v>1</v>
      </c>
      <c r="J941" s="426">
        <v>429.74119999999999</v>
      </c>
      <c r="K941" s="426">
        <v>429.74119999999999</v>
      </c>
      <c r="L941" s="426">
        <v>1</v>
      </c>
      <c r="M941" s="426">
        <v>429.74119999999999</v>
      </c>
      <c r="N941" s="6" t="s">
        <v>1907</v>
      </c>
      <c r="O941" s="427">
        <v>45719</v>
      </c>
      <c r="P941" s="33" t="str">
        <f>HYPERLINK("https://my.zakupivli.pro/remote/dispatcher/state_purchase_view/57827963", "UA-2025-03-03-010821-a")</f>
        <v>UA-2025-03-03-010821-a</v>
      </c>
      <c r="Q941" s="426">
        <v>429.74119999999999</v>
      </c>
      <c r="R941" s="426">
        <v>1</v>
      </c>
      <c r="S941" s="426">
        <v>429.74119999999999</v>
      </c>
      <c r="T941" s="427">
        <v>45719</v>
      </c>
      <c r="U941" s="426"/>
      <c r="V941" s="426" t="s">
        <v>59</v>
      </c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1887</v>
      </c>
      <c r="G942" s="426" t="s">
        <v>184</v>
      </c>
      <c r="H942" s="426">
        <v>406.09300000000002</v>
      </c>
      <c r="I942" s="426">
        <v>1</v>
      </c>
      <c r="J942" s="426">
        <v>406.09300000000002</v>
      </c>
      <c r="K942" s="426">
        <v>406.09300000000002</v>
      </c>
      <c r="L942" s="426">
        <v>1</v>
      </c>
      <c r="M942" s="426">
        <v>406.09300000000002</v>
      </c>
      <c r="N942" s="6" t="s">
        <v>1908</v>
      </c>
      <c r="O942" s="427">
        <v>45719</v>
      </c>
      <c r="P942" s="33" t="str">
        <f>HYPERLINK("https://my.zakupivli.pro/remote/dispatcher/state_purchase_view/57827098", "UA-2025-03-03-010382-a")</f>
        <v>UA-2025-03-03-010382-a</v>
      </c>
      <c r="Q942" s="426">
        <v>406.09300000000002</v>
      </c>
      <c r="R942" s="426">
        <v>1</v>
      </c>
      <c r="S942" s="426">
        <v>406.09300000000002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1887</v>
      </c>
      <c r="G943" s="426" t="s">
        <v>184</v>
      </c>
      <c r="H943" s="426">
        <v>508.27719999999999</v>
      </c>
      <c r="I943" s="426">
        <v>1</v>
      </c>
      <c r="J943" s="426">
        <v>508.27719999999999</v>
      </c>
      <c r="K943" s="426">
        <v>508.27719999999999</v>
      </c>
      <c r="L943" s="426">
        <v>1</v>
      </c>
      <c r="M943" s="426">
        <v>508.27719999999999</v>
      </c>
      <c r="N943" s="6" t="s">
        <v>1909</v>
      </c>
      <c r="O943" s="427">
        <v>45720</v>
      </c>
      <c r="P943" s="33" t="str">
        <f>HYPERLINK("https://my.zakupivli.pro/remote/dispatcher/state_purchase_view/57859720", "UA-2025-03-04-011644-a")</f>
        <v>UA-2025-03-04-011644-a</v>
      </c>
      <c r="Q943" s="426">
        <v>508.27719999999999</v>
      </c>
      <c r="R943" s="426">
        <v>1</v>
      </c>
      <c r="S943" s="426">
        <v>508.27719999999999</v>
      </c>
      <c r="T943" s="427">
        <v>45720</v>
      </c>
      <c r="U943" s="426"/>
      <c r="V943" s="426" t="s">
        <v>59</v>
      </c>
    </row>
    <row r="944" spans="1:22" ht="46.8" x14ac:dyDescent="0.3">
      <c r="A944" s="426">
        <v>938</v>
      </c>
      <c r="B944" s="426" t="s">
        <v>21</v>
      </c>
      <c r="C944" s="44" t="s">
        <v>2028</v>
      </c>
      <c r="D944" s="426"/>
      <c r="E944" s="426" t="s">
        <v>75</v>
      </c>
      <c r="F944" s="44" t="s">
        <v>1910</v>
      </c>
      <c r="G944" s="426" t="s">
        <v>186</v>
      </c>
      <c r="H944" s="426"/>
      <c r="I944" s="426">
        <v>158</v>
      </c>
      <c r="J944" s="426">
        <v>1179.8870400000001</v>
      </c>
      <c r="K944" s="426"/>
      <c r="L944" s="426">
        <v>158</v>
      </c>
      <c r="M944" s="426">
        <v>1179.8870400000001</v>
      </c>
      <c r="N944" s="6" t="s">
        <v>1911</v>
      </c>
      <c r="O944" s="427">
        <v>45721</v>
      </c>
      <c r="P944" s="122" t="str">
        <f>HYPERLINK("https://my.zakupivli.pro/remote/dispatcher/state_purchase_view/57875267", "UA-2025-03-05-003221-a")</f>
        <v>UA-2025-03-05-003221-a</v>
      </c>
      <c r="Q944" s="426"/>
      <c r="R944" s="426">
        <v>158</v>
      </c>
      <c r="S944" s="426">
        <v>1008.40833</v>
      </c>
      <c r="T944" s="427">
        <v>45742</v>
      </c>
      <c r="U944" s="426"/>
      <c r="V944" s="426"/>
    </row>
    <row r="945" spans="1:22" ht="62.4" x14ac:dyDescent="0.3">
      <c r="A945" s="426">
        <v>939</v>
      </c>
      <c r="B945" s="426" t="s">
        <v>40</v>
      </c>
      <c r="C945" s="44" t="s">
        <v>884</v>
      </c>
      <c r="D945" s="426"/>
      <c r="E945" s="426" t="s">
        <v>20</v>
      </c>
      <c r="F945" s="44" t="s">
        <v>2027</v>
      </c>
      <c r="G945" s="426" t="s">
        <v>184</v>
      </c>
      <c r="H945" s="426">
        <v>91.733549999999994</v>
      </c>
      <c r="I945" s="426">
        <v>1</v>
      </c>
      <c r="J945" s="426">
        <v>91.733549999999994</v>
      </c>
      <c r="K945" s="426">
        <v>91.733549999999994</v>
      </c>
      <c r="L945" s="426">
        <v>1</v>
      </c>
      <c r="M945" s="426">
        <v>91.733549999999994</v>
      </c>
      <c r="N945" s="6" t="s">
        <v>1912</v>
      </c>
      <c r="O945" s="427">
        <v>45721</v>
      </c>
      <c r="P945" s="122" t="str">
        <f>HYPERLINK("https://my.zakupivli.pro/remote/dispatcher/state_purchase_view/57873346", "UA-2025-03-05-002451-a")</f>
        <v>UA-2025-03-05-002451-a</v>
      </c>
      <c r="Q945" s="426">
        <v>91.733549999999994</v>
      </c>
      <c r="R945" s="426">
        <v>1</v>
      </c>
      <c r="S945" s="426">
        <v>91.733549999999994</v>
      </c>
      <c r="T945" s="427">
        <v>45721</v>
      </c>
      <c r="U945" s="426"/>
      <c r="V945" s="426" t="s">
        <v>59</v>
      </c>
    </row>
    <row r="946" spans="1:22" ht="62.4" x14ac:dyDescent="0.3">
      <c r="A946" s="426">
        <v>940</v>
      </c>
      <c r="B946" s="426" t="s">
        <v>21</v>
      </c>
      <c r="C946" s="44" t="s">
        <v>1913</v>
      </c>
      <c r="D946" s="426"/>
      <c r="E946" s="426" t="s">
        <v>75</v>
      </c>
      <c r="F946" s="44" t="s">
        <v>2026</v>
      </c>
      <c r="G946" s="426" t="s">
        <v>185</v>
      </c>
      <c r="H946" s="426"/>
      <c r="I946" s="426">
        <v>34</v>
      </c>
      <c r="J946" s="426">
        <v>428.90600000000001</v>
      </c>
      <c r="K946" s="426"/>
      <c r="L946" s="428">
        <v>34</v>
      </c>
      <c r="M946" s="428">
        <v>428.90600000000001</v>
      </c>
      <c r="N946" s="6" t="s">
        <v>1915</v>
      </c>
      <c r="O946" s="427">
        <v>45722</v>
      </c>
      <c r="P946" s="33" t="str">
        <f>HYPERLINK("https://my.zakupivli.pro/remote/dispatcher/state_purchase_view/57931528", "UA-2025-03-06-012902-a")</f>
        <v>UA-2025-03-06-012902-a</v>
      </c>
      <c r="Q946" s="426"/>
      <c r="R946" s="426"/>
      <c r="S946" s="426"/>
      <c r="T946" s="427"/>
      <c r="U946" s="426" t="s">
        <v>1793</v>
      </c>
      <c r="V946" s="426"/>
    </row>
    <row r="947" spans="1:22" ht="62.4" x14ac:dyDescent="0.3">
      <c r="A947" s="426">
        <v>941</v>
      </c>
      <c r="B947" s="448" t="s">
        <v>21</v>
      </c>
      <c r="C947" s="454" t="s">
        <v>1914</v>
      </c>
      <c r="D947" s="448"/>
      <c r="E947" s="448" t="s">
        <v>75</v>
      </c>
      <c r="F947" s="454" t="s">
        <v>2025</v>
      </c>
      <c r="G947" s="426" t="s">
        <v>186</v>
      </c>
      <c r="H947" s="426"/>
      <c r="I947" s="426">
        <v>8</v>
      </c>
      <c r="J947" s="426">
        <v>98.179000000000002</v>
      </c>
      <c r="K947" s="426"/>
      <c r="L947" s="428">
        <v>8</v>
      </c>
      <c r="M947" s="428">
        <v>98.179000000000002</v>
      </c>
      <c r="N947" s="6" t="s">
        <v>1916</v>
      </c>
      <c r="O947" s="429">
        <v>45722</v>
      </c>
      <c r="P947" s="33" t="str">
        <f>HYPERLINK("https://my.zakupivli.pro/remote/dispatcher/state_purchase_view/57925883", "UA-2025-03-06-010281-a")</f>
        <v>UA-2025-03-06-010281-a</v>
      </c>
      <c r="Q947" s="426"/>
      <c r="R947" s="428">
        <v>8</v>
      </c>
      <c r="S947" s="428">
        <v>98.179000000000002</v>
      </c>
      <c r="T947" s="429">
        <v>45721</v>
      </c>
      <c r="U947" s="426"/>
      <c r="V947" s="428" t="s">
        <v>59</v>
      </c>
    </row>
    <row r="948" spans="1:22" ht="62.4" x14ac:dyDescent="0.3">
      <c r="A948" s="426">
        <v>942</v>
      </c>
      <c r="B948" s="426" t="s">
        <v>40</v>
      </c>
      <c r="C948" s="44" t="s">
        <v>2008</v>
      </c>
      <c r="D948" s="426"/>
      <c r="E948" s="426" t="s">
        <v>20</v>
      </c>
      <c r="F948" s="44" t="s">
        <v>1917</v>
      </c>
      <c r="G948" s="426" t="s">
        <v>184</v>
      </c>
      <c r="H948" s="426">
        <v>218.52443</v>
      </c>
      <c r="I948" s="426">
        <v>1</v>
      </c>
      <c r="J948" s="433">
        <v>218.52443</v>
      </c>
      <c r="K948" s="433">
        <v>218.52443</v>
      </c>
      <c r="L948" s="433">
        <v>1</v>
      </c>
      <c r="M948" s="433">
        <v>218.52443</v>
      </c>
      <c r="N948" s="6" t="s">
        <v>1918</v>
      </c>
      <c r="O948" s="427">
        <v>45726</v>
      </c>
      <c r="P948" s="122" t="str">
        <f>HYPERLINK("https://my.zakupivli.pro/remote/dispatcher/state_purchase_view/57971178", "UA-2025-03-10-004948-a")</f>
        <v>UA-2025-03-10-004948-a</v>
      </c>
      <c r="Q948" s="433">
        <v>218.52443</v>
      </c>
      <c r="R948" s="433">
        <v>1</v>
      </c>
      <c r="S948" s="433">
        <v>218.52443</v>
      </c>
      <c r="T948" s="432">
        <v>45726</v>
      </c>
      <c r="U948" s="426"/>
      <c r="V948" s="433" t="s">
        <v>59</v>
      </c>
    </row>
    <row r="949" spans="1:22" ht="62.4" x14ac:dyDescent="0.3">
      <c r="A949" s="448">
        <v>943</v>
      </c>
      <c r="B949" s="448" t="s">
        <v>21</v>
      </c>
      <c r="C949" s="454" t="s">
        <v>1117</v>
      </c>
      <c r="D949" s="448"/>
      <c r="E949" s="448" t="s">
        <v>75</v>
      </c>
      <c r="F949" s="454" t="s">
        <v>2024</v>
      </c>
      <c r="G949" s="426" t="s">
        <v>186</v>
      </c>
      <c r="H949" s="426"/>
      <c r="I949" s="426">
        <v>10</v>
      </c>
      <c r="J949" s="426">
        <v>204.12375</v>
      </c>
      <c r="K949" s="426"/>
      <c r="L949" s="434">
        <v>10</v>
      </c>
      <c r="M949" s="434">
        <v>204.12375</v>
      </c>
      <c r="N949" s="6" t="s">
        <v>1921</v>
      </c>
      <c r="O949" s="427">
        <v>45729</v>
      </c>
      <c r="P949" s="33" t="str">
        <f>HYPERLINK("https://my.zakupivli.pro/remote/dispatcher/state_purchase_view/58076884", "UA-2025-03-13-009703-a")</f>
        <v>UA-2025-03-13-009703-a</v>
      </c>
      <c r="Q949" s="426"/>
      <c r="R949" s="434">
        <v>10</v>
      </c>
      <c r="S949" s="434">
        <v>204.12375</v>
      </c>
      <c r="T949" s="435">
        <v>45729</v>
      </c>
      <c r="U949" s="426"/>
      <c r="V949" s="434" t="s">
        <v>59</v>
      </c>
    </row>
    <row r="950" spans="1:22" ht="62.4" x14ac:dyDescent="0.3">
      <c r="A950" s="426">
        <v>944</v>
      </c>
      <c r="B950" s="426" t="s">
        <v>21</v>
      </c>
      <c r="C950" s="44" t="s">
        <v>2000</v>
      </c>
      <c r="D950" s="426"/>
      <c r="E950" s="434" t="s">
        <v>75</v>
      </c>
      <c r="F950" s="44" t="s">
        <v>1919</v>
      </c>
      <c r="G950" s="426" t="s">
        <v>186</v>
      </c>
      <c r="H950" s="426"/>
      <c r="I950" s="426">
        <v>45</v>
      </c>
      <c r="J950" s="426">
        <v>1308.3333299999999</v>
      </c>
      <c r="K950" s="426"/>
      <c r="L950" s="434">
        <v>45</v>
      </c>
      <c r="M950" s="434">
        <v>1308.3333299999999</v>
      </c>
      <c r="N950" s="6" t="s">
        <v>1922</v>
      </c>
      <c r="O950" s="435">
        <v>45729</v>
      </c>
      <c r="P950" s="33" t="str">
        <f>HYPERLINK("https://my.zakupivli.pro/remote/dispatcher/state_purchase_view/58072937", "UA-2025-03-13-007768-a")</f>
        <v>UA-2025-03-13-007768-a</v>
      </c>
      <c r="Q950" s="426"/>
      <c r="R950" s="426">
        <v>45</v>
      </c>
      <c r="S950" s="426">
        <v>1272.60025</v>
      </c>
      <c r="T950" s="435">
        <v>45747</v>
      </c>
      <c r="U950" s="426"/>
      <c r="V950" s="434"/>
    </row>
    <row r="951" spans="1:22" ht="62.4" x14ac:dyDescent="0.3">
      <c r="A951" s="426">
        <v>945</v>
      </c>
      <c r="B951" s="426" t="s">
        <v>40</v>
      </c>
      <c r="C951" s="44" t="s">
        <v>73</v>
      </c>
      <c r="D951" s="426"/>
      <c r="E951" s="434" t="s">
        <v>75</v>
      </c>
      <c r="F951" s="44" t="s">
        <v>1999</v>
      </c>
      <c r="G951" s="426" t="s">
        <v>184</v>
      </c>
      <c r="H951" s="426"/>
      <c r="I951" s="426">
        <v>1</v>
      </c>
      <c r="J951" s="426">
        <v>211.26647</v>
      </c>
      <c r="K951" s="426"/>
      <c r="L951" s="434">
        <v>1</v>
      </c>
      <c r="M951" s="434">
        <v>211.26647</v>
      </c>
      <c r="N951" s="6" t="s">
        <v>1923</v>
      </c>
      <c r="O951" s="435">
        <v>45729</v>
      </c>
      <c r="P951" s="33" t="str">
        <f>HYPERLINK("https://my.zakupivli.pro/remote/dispatcher/state_purchase_view/58061453", "UA-2025-03-13-002322-a")</f>
        <v>UA-2025-03-13-002322-a</v>
      </c>
      <c r="Q951" s="426"/>
      <c r="R951" s="434">
        <v>1</v>
      </c>
      <c r="S951" s="434">
        <v>211.26647</v>
      </c>
      <c r="T951" s="435">
        <v>45729</v>
      </c>
      <c r="U951" s="426"/>
      <c r="V951" s="434" t="s">
        <v>59</v>
      </c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4" t="s">
        <v>75</v>
      </c>
      <c r="F952" s="44" t="s">
        <v>1998</v>
      </c>
      <c r="G952" s="426" t="s">
        <v>184</v>
      </c>
      <c r="H952" s="426"/>
      <c r="I952" s="426">
        <v>1</v>
      </c>
      <c r="J952" s="426">
        <v>440.26853999999997</v>
      </c>
      <c r="K952" s="426"/>
      <c r="L952" s="434">
        <v>1</v>
      </c>
      <c r="M952" s="434">
        <v>440.26853999999997</v>
      </c>
      <c r="N952" s="6" t="s">
        <v>1924</v>
      </c>
      <c r="O952" s="435">
        <v>45729</v>
      </c>
      <c r="P952" s="33" t="str">
        <f>HYPERLINK("https://my.zakupivli.pro/remote/dispatcher/state_purchase_view/58060906", "UA-2025-03-13-002113-a")</f>
        <v>UA-2025-03-13-002113-a</v>
      </c>
      <c r="Q952" s="426"/>
      <c r="R952" s="434">
        <v>1</v>
      </c>
      <c r="S952" s="434">
        <v>440.26853999999997</v>
      </c>
      <c r="T952" s="435">
        <v>45729</v>
      </c>
      <c r="U952" s="426"/>
      <c r="V952" s="434" t="s">
        <v>59</v>
      </c>
    </row>
    <row r="953" spans="1:22" ht="78" x14ac:dyDescent="0.3">
      <c r="A953" s="434">
        <v>947</v>
      </c>
      <c r="B953" s="434" t="s">
        <v>40</v>
      </c>
      <c r="C953" s="44" t="s">
        <v>1991</v>
      </c>
      <c r="D953" s="434"/>
      <c r="E953" s="434" t="s">
        <v>75</v>
      </c>
      <c r="F953" s="44" t="s">
        <v>1920</v>
      </c>
      <c r="G953" s="434" t="s">
        <v>184</v>
      </c>
      <c r="H953" s="434"/>
      <c r="I953" s="434">
        <v>1</v>
      </c>
      <c r="J953" s="434">
        <v>143.95327</v>
      </c>
      <c r="K953" s="434"/>
      <c r="L953" s="434">
        <v>1</v>
      </c>
      <c r="M953" s="434">
        <v>143.95327</v>
      </c>
      <c r="N953" s="6" t="s">
        <v>1925</v>
      </c>
      <c r="O953" s="435">
        <v>45729</v>
      </c>
      <c r="P953" s="33" t="str">
        <f>HYPERLINK("https://my.zakupivli.pro/remote/dispatcher/state_purchase_view/58056297", "UA-2025-03-13-000096-a")</f>
        <v>UA-2025-03-13-000096-a</v>
      </c>
      <c r="Q953" s="434"/>
      <c r="R953" s="434">
        <v>1</v>
      </c>
      <c r="S953" s="434">
        <v>143.95327</v>
      </c>
      <c r="T953" s="435">
        <v>45729</v>
      </c>
      <c r="U953" s="434"/>
      <c r="V953" s="434" t="s">
        <v>59</v>
      </c>
    </row>
    <row r="954" spans="1:22" ht="43.2" x14ac:dyDescent="0.3">
      <c r="A954" s="434">
        <v>948</v>
      </c>
      <c r="B954" s="434" t="s">
        <v>21</v>
      </c>
      <c r="C954" s="44" t="s">
        <v>30</v>
      </c>
      <c r="D954" s="434"/>
      <c r="E954" s="434" t="s">
        <v>75</v>
      </c>
      <c r="F954" s="44" t="s">
        <v>1997</v>
      </c>
      <c r="G954" s="434" t="s">
        <v>185</v>
      </c>
      <c r="H954" s="434"/>
      <c r="I954" s="434">
        <v>160</v>
      </c>
      <c r="J954" s="434">
        <v>433.33332999999999</v>
      </c>
      <c r="K954" s="434"/>
      <c r="L954" s="434">
        <v>160</v>
      </c>
      <c r="M954" s="434">
        <v>433.33332999999999</v>
      </c>
      <c r="N954" s="6" t="s">
        <v>1928</v>
      </c>
      <c r="O954" s="435">
        <v>45730</v>
      </c>
      <c r="P954" s="33" t="str">
        <f>HYPERLINK("https://my.zakupivli.pro/remote/dispatcher/state_purchase_view/58109414", "UA-2025-03-14-009710-a")</f>
        <v>UA-2025-03-14-009710-a</v>
      </c>
      <c r="Q954" s="434"/>
      <c r="R954" s="434">
        <v>160</v>
      </c>
      <c r="S954" s="434">
        <v>333.25069999999999</v>
      </c>
      <c r="T954" s="435">
        <v>45750</v>
      </c>
      <c r="U954" s="434"/>
      <c r="V954" s="434"/>
    </row>
    <row r="955" spans="1:22" ht="62.4" x14ac:dyDescent="0.3">
      <c r="A955" s="434">
        <v>949</v>
      </c>
      <c r="B955" s="434" t="s">
        <v>21</v>
      </c>
      <c r="C955" s="44" t="s">
        <v>1996</v>
      </c>
      <c r="D955" s="434"/>
      <c r="E955" s="434" t="s">
        <v>75</v>
      </c>
      <c r="F955" s="44" t="s">
        <v>1926</v>
      </c>
      <c r="G955" s="434" t="s">
        <v>186</v>
      </c>
      <c r="H955" s="434"/>
      <c r="I955" s="434">
        <v>3</v>
      </c>
      <c r="J955" s="434">
        <v>60.97</v>
      </c>
      <c r="K955" s="434"/>
      <c r="L955" s="434">
        <v>3</v>
      </c>
      <c r="M955" s="434">
        <v>60.97</v>
      </c>
      <c r="N955" s="6" t="s">
        <v>1929</v>
      </c>
      <c r="O955" s="435">
        <v>45730</v>
      </c>
      <c r="P955" s="33" t="str">
        <f>HYPERLINK("https://my.zakupivli.pro/remote/dispatcher/state_purchase_view/58096222", "UA-2025-03-14-003738-a")</f>
        <v>UA-2025-03-14-003738-a</v>
      </c>
      <c r="Q955" s="434"/>
      <c r="R955" s="434">
        <v>3</v>
      </c>
      <c r="S955" s="434">
        <v>60.97</v>
      </c>
      <c r="T955" s="435">
        <v>45730</v>
      </c>
      <c r="U955" s="434"/>
      <c r="V955" s="434" t="s">
        <v>59</v>
      </c>
    </row>
    <row r="956" spans="1:22" ht="62.4" x14ac:dyDescent="0.3">
      <c r="A956" s="434">
        <v>950</v>
      </c>
      <c r="B956" s="434" t="s">
        <v>1150</v>
      </c>
      <c r="C956" s="44" t="s">
        <v>1995</v>
      </c>
      <c r="D956" s="434"/>
      <c r="E956" s="434" t="s">
        <v>75</v>
      </c>
      <c r="F956" s="44" t="s">
        <v>1927</v>
      </c>
      <c r="G956" s="434" t="s">
        <v>1149</v>
      </c>
      <c r="H956" s="434"/>
      <c r="I956" s="434">
        <v>1</v>
      </c>
      <c r="J956" s="119">
        <v>81</v>
      </c>
      <c r="K956" s="434"/>
      <c r="L956" s="434">
        <v>1</v>
      </c>
      <c r="M956" s="119">
        <v>81</v>
      </c>
      <c r="N956" s="6" t="s">
        <v>1930</v>
      </c>
      <c r="O956" s="435">
        <v>45730</v>
      </c>
      <c r="P956" s="33" t="str">
        <f>HYPERLINK("https://my.zakupivli.pro/remote/dispatcher/state_purchase_view/58089610", "UA-2025-03-14-000631-a")</f>
        <v>UA-2025-03-14-000631-a</v>
      </c>
      <c r="Q956" s="434"/>
      <c r="R956" s="434">
        <v>1</v>
      </c>
      <c r="S956" s="119">
        <v>81</v>
      </c>
      <c r="T956" s="435">
        <v>45730</v>
      </c>
      <c r="U956" s="434"/>
      <c r="V956" s="434" t="s">
        <v>59</v>
      </c>
    </row>
    <row r="957" spans="1:22" ht="62.4" x14ac:dyDescent="0.3">
      <c r="A957" s="434">
        <v>951</v>
      </c>
      <c r="B957" s="434" t="s">
        <v>40</v>
      </c>
      <c r="C957" s="44" t="s">
        <v>1991</v>
      </c>
      <c r="D957" s="434"/>
      <c r="E957" s="434" t="s">
        <v>20</v>
      </c>
      <c r="F957" s="44" t="s">
        <v>1931</v>
      </c>
      <c r="G957" s="434" t="s">
        <v>184</v>
      </c>
      <c r="H957" s="434">
        <v>219.46376000000001</v>
      </c>
      <c r="I957" s="434">
        <v>1</v>
      </c>
      <c r="J957" s="436">
        <v>219.46376000000001</v>
      </c>
      <c r="K957" s="436">
        <v>219.46376000000001</v>
      </c>
      <c r="L957" s="436">
        <v>1</v>
      </c>
      <c r="M957" s="436">
        <v>219.46376000000001</v>
      </c>
      <c r="N957" s="6" t="s">
        <v>1933</v>
      </c>
      <c r="O957" s="435">
        <v>45735</v>
      </c>
      <c r="P957" s="33" t="str">
        <f>HYPERLINK("https://my.zakupivli.pro/remote/dispatcher/state_purchase_view/58211662", "UA-2025-03-19-012837-a")</f>
        <v>UA-2025-03-19-012837-a</v>
      </c>
      <c r="Q957" s="436">
        <v>219.46376000000001</v>
      </c>
      <c r="R957" s="436">
        <v>1</v>
      </c>
      <c r="S957" s="436">
        <v>219.46376000000001</v>
      </c>
      <c r="T957" s="437">
        <v>45735</v>
      </c>
      <c r="U957" s="434"/>
      <c r="V957" s="436" t="s">
        <v>59</v>
      </c>
    </row>
    <row r="958" spans="1:22" ht="62.4" x14ac:dyDescent="0.3">
      <c r="A958" s="434">
        <v>952</v>
      </c>
      <c r="B958" s="434" t="s">
        <v>40</v>
      </c>
      <c r="C958" s="44" t="s">
        <v>1991</v>
      </c>
      <c r="D958" s="434"/>
      <c r="E958" s="434" t="s">
        <v>20</v>
      </c>
      <c r="F958" s="44" t="s">
        <v>1932</v>
      </c>
      <c r="G958" s="434" t="s">
        <v>184</v>
      </c>
      <c r="H958" s="434">
        <v>72.275949999999995</v>
      </c>
      <c r="I958" s="434">
        <v>1</v>
      </c>
      <c r="J958" s="436">
        <v>72.275949999999995</v>
      </c>
      <c r="K958" s="436">
        <v>72.275949999999995</v>
      </c>
      <c r="L958" s="436">
        <v>1</v>
      </c>
      <c r="M958" s="436">
        <v>72.275949999999995</v>
      </c>
      <c r="N958" s="6" t="s">
        <v>1934</v>
      </c>
      <c r="O958" s="437">
        <v>45735</v>
      </c>
      <c r="P958" s="33" t="str">
        <f>HYPERLINK("https://my.zakupivli.pro/remote/dispatcher/state_purchase_view/58211601", "UA-2025-03-19-012800-a")</f>
        <v>UA-2025-03-19-012800-a</v>
      </c>
      <c r="Q958" s="436">
        <v>72.275949999999995</v>
      </c>
      <c r="R958" s="436">
        <v>1</v>
      </c>
      <c r="S958" s="436">
        <v>72.275949999999995</v>
      </c>
      <c r="T958" s="437">
        <v>45735</v>
      </c>
      <c r="U958" s="434"/>
      <c r="V958" s="436" t="s">
        <v>59</v>
      </c>
    </row>
    <row r="959" spans="1:22" ht="62.4" x14ac:dyDescent="0.3">
      <c r="A959" s="434">
        <v>953</v>
      </c>
      <c r="B959" s="434" t="s">
        <v>21</v>
      </c>
      <c r="C959" s="44" t="s">
        <v>1913</v>
      </c>
      <c r="D959" s="434"/>
      <c r="E959" s="434" t="s">
        <v>75</v>
      </c>
      <c r="F959" s="44" t="s">
        <v>1994</v>
      </c>
      <c r="G959" s="434" t="s">
        <v>185</v>
      </c>
      <c r="H959" s="434"/>
      <c r="I959" s="434">
        <v>34</v>
      </c>
      <c r="J959" s="434">
        <v>428.90600000000001</v>
      </c>
      <c r="K959" s="434"/>
      <c r="L959" s="436">
        <v>34</v>
      </c>
      <c r="M959" s="436">
        <v>428.90600000000001</v>
      </c>
      <c r="N959" s="6" t="s">
        <v>1935</v>
      </c>
      <c r="O959" s="437">
        <v>45735</v>
      </c>
      <c r="P959" s="33" t="str">
        <f>HYPERLINK("https://my.zakupivli.pro/remote/dispatcher/state_purchase_view/58199921", "UA-2025-03-19-007714-a")</f>
        <v>UA-2025-03-19-007714-a</v>
      </c>
      <c r="Q959" s="434"/>
      <c r="R959" s="434">
        <v>34</v>
      </c>
      <c r="S959" s="434">
        <v>377.911</v>
      </c>
      <c r="T959" s="435">
        <v>45750</v>
      </c>
      <c r="U959" s="434"/>
      <c r="V959" s="434"/>
    </row>
    <row r="960" spans="1:22" ht="78" x14ac:dyDescent="0.3">
      <c r="A960" s="434">
        <v>954</v>
      </c>
      <c r="B960" s="434" t="s">
        <v>40</v>
      </c>
      <c r="C960" s="44" t="s">
        <v>1991</v>
      </c>
      <c r="D960" s="434"/>
      <c r="E960" s="434" t="s">
        <v>20</v>
      </c>
      <c r="F960" s="44" t="s">
        <v>1936</v>
      </c>
      <c r="G960" s="434" t="s">
        <v>184</v>
      </c>
      <c r="H960" s="434">
        <v>1006.59651</v>
      </c>
      <c r="I960" s="434">
        <v>1</v>
      </c>
      <c r="J960" s="436">
        <v>1006.59651</v>
      </c>
      <c r="K960" s="436">
        <v>1006.59651</v>
      </c>
      <c r="L960" s="436">
        <v>1</v>
      </c>
      <c r="M960" s="436">
        <v>1006.59651</v>
      </c>
      <c r="N960" s="6" t="s">
        <v>1937</v>
      </c>
      <c r="O960" s="435">
        <v>45736</v>
      </c>
      <c r="P960" s="33" t="str">
        <f>HYPERLINK("https://my.zakupivli.pro/remote/dispatcher/state_purchase_view/58221122", "UA-2025-03-20-002481-a")</f>
        <v>UA-2025-03-20-002481-a</v>
      </c>
      <c r="Q960" s="436">
        <v>1006.59651</v>
      </c>
      <c r="R960" s="436">
        <v>1</v>
      </c>
      <c r="S960" s="436">
        <v>1006.59651</v>
      </c>
      <c r="T960" s="437">
        <v>45736</v>
      </c>
      <c r="U960" s="434"/>
      <c r="V960" s="436" t="s">
        <v>59</v>
      </c>
    </row>
    <row r="961" spans="1:22" ht="62.4" x14ac:dyDescent="0.3">
      <c r="A961" s="434">
        <v>955</v>
      </c>
      <c r="B961" s="434" t="s">
        <v>40</v>
      </c>
      <c r="C961" s="41" t="s">
        <v>395</v>
      </c>
      <c r="D961" s="434"/>
      <c r="E961" s="434" t="s">
        <v>75</v>
      </c>
      <c r="F961" s="44" t="s">
        <v>1993</v>
      </c>
      <c r="G961" s="434" t="s">
        <v>184</v>
      </c>
      <c r="H961" s="434" t="s">
        <v>1938</v>
      </c>
      <c r="I961" s="434">
        <v>1</v>
      </c>
      <c r="J961" s="436" t="s">
        <v>1938</v>
      </c>
      <c r="K961" s="436" t="s">
        <v>1938</v>
      </c>
      <c r="L961" s="436">
        <v>1</v>
      </c>
      <c r="M961" s="436" t="s">
        <v>1938</v>
      </c>
      <c r="N961" s="6" t="s">
        <v>1939</v>
      </c>
      <c r="O961" s="435">
        <v>45737</v>
      </c>
      <c r="P961" s="33" t="str">
        <f>HYPERLINK("https://my.zakupivli.pro/remote/dispatcher/state_purchase_view/58273102", "UA-2025-03-21-011182-a")</f>
        <v>UA-2025-03-21-011182-a</v>
      </c>
      <c r="Q961" s="436" t="s">
        <v>1938</v>
      </c>
      <c r="R961" s="436">
        <v>1</v>
      </c>
      <c r="S961" s="436" t="s">
        <v>1938</v>
      </c>
      <c r="T961" s="435">
        <v>45737</v>
      </c>
      <c r="U961" s="434"/>
      <c r="V961" s="436" t="s">
        <v>59</v>
      </c>
    </row>
    <row r="962" spans="1:22" ht="62.4" x14ac:dyDescent="0.3">
      <c r="A962" s="434">
        <v>956</v>
      </c>
      <c r="B962" s="434" t="s">
        <v>21</v>
      </c>
      <c r="C962" s="44" t="s">
        <v>1992</v>
      </c>
      <c r="D962" s="434"/>
      <c r="E962" s="434" t="s">
        <v>75</v>
      </c>
      <c r="F962" s="44" t="s">
        <v>1940</v>
      </c>
      <c r="G962" s="434" t="s">
        <v>1943</v>
      </c>
      <c r="H962" s="434"/>
      <c r="I962" s="434">
        <v>328</v>
      </c>
      <c r="J962" s="434">
        <v>78.048000000000002</v>
      </c>
      <c r="K962" s="434"/>
      <c r="L962" s="436">
        <v>328</v>
      </c>
      <c r="M962" s="436">
        <v>78.048000000000002</v>
      </c>
      <c r="N962" s="6" t="s">
        <v>1942</v>
      </c>
      <c r="O962" s="437">
        <v>45740</v>
      </c>
      <c r="P962" s="33" t="str">
        <f>HYPERLINK("https://my.zakupivli.pro/remote/dispatcher/state_purchase_view/58282530", "UA-2025-03-24-001110-a")</f>
        <v>UA-2025-03-24-001110-a</v>
      </c>
      <c r="Q962" s="434"/>
      <c r="R962" s="436">
        <v>328</v>
      </c>
      <c r="S962" s="436">
        <v>78.048000000000002</v>
      </c>
      <c r="T962" s="435">
        <v>45740</v>
      </c>
      <c r="U962" s="434"/>
      <c r="V962" s="436" t="s">
        <v>59</v>
      </c>
    </row>
    <row r="963" spans="1:22" ht="62.4" x14ac:dyDescent="0.3">
      <c r="A963" s="434">
        <v>957</v>
      </c>
      <c r="B963" s="434" t="s">
        <v>40</v>
      </c>
      <c r="C963" s="44" t="s">
        <v>1991</v>
      </c>
      <c r="D963" s="434"/>
      <c r="E963" s="434" t="s">
        <v>20</v>
      </c>
      <c r="F963" s="44" t="s">
        <v>1941</v>
      </c>
      <c r="G963" s="434" t="s">
        <v>184</v>
      </c>
      <c r="H963" s="434"/>
      <c r="I963" s="434">
        <v>1</v>
      </c>
      <c r="J963" s="434">
        <v>151.13647</v>
      </c>
      <c r="K963" s="434"/>
      <c r="L963" s="436">
        <v>1</v>
      </c>
      <c r="M963" s="436">
        <v>151.13647</v>
      </c>
      <c r="N963" s="6" t="s">
        <v>1944</v>
      </c>
      <c r="O963" s="437">
        <v>45740</v>
      </c>
      <c r="P963" s="33" t="str">
        <f>HYPERLINK("https://my.zakupivli.pro/remote/dispatcher/state_purchase_view/58282446", "UA-2025-03-24-001051-a")</f>
        <v>UA-2025-03-24-001051-a</v>
      </c>
      <c r="Q963" s="434"/>
      <c r="R963" s="436">
        <v>1</v>
      </c>
      <c r="S963" s="436">
        <v>151.13647</v>
      </c>
      <c r="T963" s="435">
        <v>45737</v>
      </c>
      <c r="U963" s="434"/>
      <c r="V963" s="436" t="s">
        <v>59</v>
      </c>
    </row>
    <row r="964" spans="1:22" ht="62.4" x14ac:dyDescent="0.3">
      <c r="A964" s="436">
        <v>958</v>
      </c>
      <c r="B964" s="436" t="s">
        <v>40</v>
      </c>
      <c r="C964" s="44" t="s">
        <v>884</v>
      </c>
      <c r="D964" s="436"/>
      <c r="E964" s="436" t="s">
        <v>20</v>
      </c>
      <c r="F964" s="44" t="s">
        <v>1990</v>
      </c>
      <c r="G964" s="436" t="s">
        <v>184</v>
      </c>
      <c r="H964" s="436"/>
      <c r="I964" s="436">
        <v>1</v>
      </c>
      <c r="J964" s="436">
        <v>289.51231999999999</v>
      </c>
      <c r="K964" s="436"/>
      <c r="L964" s="436">
        <v>1</v>
      </c>
      <c r="M964" s="436">
        <v>289.51231999999999</v>
      </c>
      <c r="N964" s="6" t="s">
        <v>1945</v>
      </c>
      <c r="O964" s="437">
        <v>45740</v>
      </c>
      <c r="P964" s="33" t="str">
        <f>HYPERLINK("https://my.zakupivli.pro/remote/dispatcher/state_purchase_view/58282171", "UA-2025-03-24-000961-a")</f>
        <v>UA-2025-03-24-000961-a</v>
      </c>
      <c r="Q964" s="436"/>
      <c r="R964" s="436">
        <v>1</v>
      </c>
      <c r="S964" s="436">
        <v>289.51231999999999</v>
      </c>
      <c r="T964" s="437">
        <v>45737</v>
      </c>
      <c r="U964" s="436"/>
      <c r="V964" s="436" t="s">
        <v>59</v>
      </c>
    </row>
    <row r="965" spans="1:22" ht="62.4" x14ac:dyDescent="0.3">
      <c r="A965" s="436">
        <v>959</v>
      </c>
      <c r="B965" s="436" t="s">
        <v>40</v>
      </c>
      <c r="C965" s="44" t="s">
        <v>884</v>
      </c>
      <c r="D965" s="436"/>
      <c r="E965" s="436" t="s">
        <v>20</v>
      </c>
      <c r="F965" s="44" t="s">
        <v>1989</v>
      </c>
      <c r="G965" s="436" t="s">
        <v>184</v>
      </c>
      <c r="H965" s="436"/>
      <c r="I965" s="436">
        <v>1</v>
      </c>
      <c r="J965" s="436">
        <v>48.222900000000003</v>
      </c>
      <c r="K965" s="436"/>
      <c r="L965" s="436">
        <v>1</v>
      </c>
      <c r="M965" s="436">
        <v>48.222900000000003</v>
      </c>
      <c r="N965" s="6" t="s">
        <v>1946</v>
      </c>
      <c r="O965" s="437">
        <v>45740</v>
      </c>
      <c r="P965" s="440" t="str">
        <f>HYPERLINK("https://my.zakupivli.pro/remote/dispatcher/state_purchase_view/58281188", "UA-2025-03-24-000505-a")</f>
        <v>UA-2025-03-24-000505-a</v>
      </c>
      <c r="Q965" s="436"/>
      <c r="R965" s="436">
        <v>1</v>
      </c>
      <c r="S965" s="436">
        <v>48.222900000000003</v>
      </c>
      <c r="T965" s="437" t="s">
        <v>1947</v>
      </c>
      <c r="U965" s="436"/>
      <c r="V965" s="436" t="s">
        <v>59</v>
      </c>
    </row>
    <row r="966" spans="1:22" ht="43.2" x14ac:dyDescent="0.3">
      <c r="A966" s="436">
        <v>960</v>
      </c>
      <c r="B966" s="436" t="s">
        <v>21</v>
      </c>
      <c r="C966" s="441" t="s">
        <v>1988</v>
      </c>
      <c r="D966" s="436"/>
      <c r="E966" s="436" t="s">
        <v>75</v>
      </c>
      <c r="F966" s="236" t="s">
        <v>1948</v>
      </c>
      <c r="G966" s="436" t="s">
        <v>186</v>
      </c>
      <c r="H966" s="436"/>
      <c r="I966" s="436">
        <v>44</v>
      </c>
      <c r="J966" s="436">
        <v>1580.9042199999999</v>
      </c>
      <c r="K966" s="436"/>
      <c r="L966" s="436">
        <v>44</v>
      </c>
      <c r="M966" s="436">
        <v>1580.9042199999999</v>
      </c>
      <c r="N966" s="6" t="s">
        <v>1949</v>
      </c>
      <c r="O966" s="437">
        <v>45740</v>
      </c>
      <c r="P966" s="99" t="s">
        <v>1950</v>
      </c>
      <c r="Q966" s="466"/>
      <c r="R966" s="466"/>
      <c r="S966" s="466"/>
      <c r="T966" s="467"/>
      <c r="U966" s="436" t="s">
        <v>1793</v>
      </c>
      <c r="V966" s="436"/>
    </row>
    <row r="967" spans="1:22" ht="62.4" x14ac:dyDescent="0.3">
      <c r="A967" s="436">
        <v>961</v>
      </c>
      <c r="B967" s="436" t="s">
        <v>40</v>
      </c>
      <c r="C967" s="44" t="s">
        <v>884</v>
      </c>
      <c r="D967" s="436"/>
      <c r="E967" s="436" t="s">
        <v>20</v>
      </c>
      <c r="F967" s="44" t="s">
        <v>1987</v>
      </c>
      <c r="G967" s="436" t="s">
        <v>184</v>
      </c>
      <c r="H967" s="436">
        <v>401.91501</v>
      </c>
      <c r="I967" s="436">
        <v>1</v>
      </c>
      <c r="J967" s="438">
        <v>401.91501</v>
      </c>
      <c r="K967" s="438">
        <v>401.91501</v>
      </c>
      <c r="L967" s="438">
        <v>1</v>
      </c>
      <c r="M967" s="438">
        <v>401.91501</v>
      </c>
      <c r="N967" s="6" t="s">
        <v>1955</v>
      </c>
      <c r="O967" s="437">
        <v>45747</v>
      </c>
      <c r="P967" s="33" t="str">
        <f>HYPERLINK("https://my.zakupivli.pro/remote/dispatcher/state_purchase_view/58434804", "UA-2025-03-31-003187-a")</f>
        <v>UA-2025-03-31-003187-a</v>
      </c>
      <c r="Q967" s="438">
        <v>401.91501</v>
      </c>
      <c r="R967" s="438">
        <v>1</v>
      </c>
      <c r="S967" s="438">
        <v>401.91501</v>
      </c>
      <c r="T967" s="439">
        <v>45747</v>
      </c>
      <c r="U967" s="436"/>
      <c r="V967" s="438" t="s">
        <v>59</v>
      </c>
    </row>
    <row r="968" spans="1:22" ht="109.2" x14ac:dyDescent="0.3">
      <c r="A968" s="436">
        <v>962</v>
      </c>
      <c r="B968" s="436" t="s">
        <v>40</v>
      </c>
      <c r="C968" s="44" t="s">
        <v>1986</v>
      </c>
      <c r="D968" s="436"/>
      <c r="E968" s="436" t="s">
        <v>20</v>
      </c>
      <c r="F968" s="44" t="s">
        <v>1951</v>
      </c>
      <c r="G968" s="436" t="s">
        <v>184</v>
      </c>
      <c r="H968" s="436">
        <v>748.34308999999996</v>
      </c>
      <c r="I968" s="436">
        <v>1</v>
      </c>
      <c r="J968" s="438">
        <v>748.34308999999996</v>
      </c>
      <c r="K968" s="438">
        <v>748.34308999999996</v>
      </c>
      <c r="L968" s="438">
        <v>1</v>
      </c>
      <c r="M968" s="438">
        <v>748.34308999999996</v>
      </c>
      <c r="N968" s="6" t="s">
        <v>1956</v>
      </c>
      <c r="O968" s="439">
        <v>45743</v>
      </c>
      <c r="P968" s="33" t="str">
        <f>HYPERLINK("https://my.zakupivli.pro/remote/dispatcher/state_purchase_view/58402308", "UA-2025-03-28-000686-a")</f>
        <v>UA-2025-03-28-000686-a</v>
      </c>
      <c r="Q968" s="438">
        <v>748.34308999999996</v>
      </c>
      <c r="R968" s="438">
        <v>1</v>
      </c>
      <c r="S968" s="438">
        <v>748.34308999999996</v>
      </c>
      <c r="T968" s="437">
        <v>45743</v>
      </c>
      <c r="U968" s="436"/>
      <c r="V968" s="438" t="s">
        <v>59</v>
      </c>
    </row>
    <row r="969" spans="1:22" ht="46.8" x14ac:dyDescent="0.3">
      <c r="A969" s="436">
        <v>963</v>
      </c>
      <c r="B969" s="436" t="s">
        <v>21</v>
      </c>
      <c r="C969" s="44" t="s">
        <v>1985</v>
      </c>
      <c r="D969" s="436"/>
      <c r="E969" s="436" t="s">
        <v>75</v>
      </c>
      <c r="F969" s="44" t="s">
        <v>1952</v>
      </c>
      <c r="G969" s="436" t="s">
        <v>185</v>
      </c>
      <c r="H969" s="436"/>
      <c r="I969" s="436">
        <v>56</v>
      </c>
      <c r="J969" s="119">
        <v>627.5</v>
      </c>
      <c r="K969" s="436"/>
      <c r="L969" s="438">
        <v>56</v>
      </c>
      <c r="M969" s="119">
        <v>627.5</v>
      </c>
      <c r="N969" s="6" t="s">
        <v>1957</v>
      </c>
      <c r="O969" s="439">
        <v>45743</v>
      </c>
      <c r="P969" s="33" t="str">
        <f>HYPERLINK("https://my.zakupivli.pro/remote/dispatcher/state_purchase_view/58391456", "UA-2025-03-27-007442-a")</f>
        <v>UA-2025-03-27-007442-a</v>
      </c>
      <c r="Q969" s="466"/>
      <c r="R969" s="466">
        <v>56</v>
      </c>
      <c r="S969" s="119">
        <v>627.20000000000005</v>
      </c>
      <c r="T969" s="467">
        <v>45761</v>
      </c>
      <c r="U969" s="436"/>
      <c r="V969" s="436"/>
    </row>
    <row r="970" spans="1:22" ht="82.8" customHeight="1" x14ac:dyDescent="0.3">
      <c r="A970" s="436">
        <v>964</v>
      </c>
      <c r="B970" s="436" t="s">
        <v>40</v>
      </c>
      <c r="C970" s="44" t="s">
        <v>1984</v>
      </c>
      <c r="D970" s="436"/>
      <c r="E970" s="436" t="s">
        <v>20</v>
      </c>
      <c r="F970" s="44" t="s">
        <v>1953</v>
      </c>
      <c r="G970" s="436" t="s">
        <v>184</v>
      </c>
      <c r="H970" s="436">
        <v>86.047290000000004</v>
      </c>
      <c r="I970" s="436">
        <v>1</v>
      </c>
      <c r="J970" s="438">
        <v>86.047290000000004</v>
      </c>
      <c r="K970" s="438">
        <v>86.047290000000004</v>
      </c>
      <c r="L970" s="438">
        <v>1</v>
      </c>
      <c r="M970" s="438">
        <v>86.047290000000004</v>
      </c>
      <c r="N970" s="6" t="s">
        <v>1958</v>
      </c>
      <c r="O970" s="439">
        <v>45743</v>
      </c>
      <c r="P970" s="33" t="str">
        <f>HYPERLINK("https://my.zakupivli.pro/remote/dispatcher/state_purchase_view/58383433", "UA-2025-03-27-003821-a")</f>
        <v>UA-2025-03-27-003821-a</v>
      </c>
      <c r="Q970" s="438">
        <v>86.047290000000004</v>
      </c>
      <c r="R970" s="438">
        <v>1</v>
      </c>
      <c r="S970" s="438">
        <v>86.047290000000004</v>
      </c>
      <c r="T970" s="439">
        <v>45743</v>
      </c>
      <c r="U970" s="436"/>
      <c r="V970" s="438" t="s">
        <v>59</v>
      </c>
    </row>
    <row r="971" spans="1:22" ht="109.2" x14ac:dyDescent="0.3">
      <c r="A971" s="436">
        <v>965</v>
      </c>
      <c r="B971" s="436" t="s">
        <v>40</v>
      </c>
      <c r="C971" s="44" t="s">
        <v>41</v>
      </c>
      <c r="D971" s="436"/>
      <c r="E971" s="436" t="s">
        <v>88</v>
      </c>
      <c r="F971" s="44" t="s">
        <v>1754</v>
      </c>
      <c r="G971" s="436" t="s">
        <v>184</v>
      </c>
      <c r="H971" s="436">
        <v>4346.2678999999998</v>
      </c>
      <c r="I971" s="436">
        <v>1</v>
      </c>
      <c r="J971" s="438">
        <v>4346.2678999999998</v>
      </c>
      <c r="K971" s="438">
        <v>4346.2678999999998</v>
      </c>
      <c r="L971" s="438">
        <v>1</v>
      </c>
      <c r="M971" s="438">
        <v>4346.2678999999998</v>
      </c>
      <c r="N971" s="6" t="s">
        <v>1959</v>
      </c>
      <c r="O971" s="437">
        <v>45741</v>
      </c>
      <c r="P971" s="33" t="str">
        <f>HYPERLINK("https://my.zakupivli.pro/remote/dispatcher/state_purchase_view/58330065", "UA-2025-03-25-007819-a")</f>
        <v>UA-2025-03-25-007819-a</v>
      </c>
      <c r="Q971" s="466">
        <v>4346.2420000000002</v>
      </c>
      <c r="R971" s="466">
        <v>1</v>
      </c>
      <c r="S971" s="466">
        <v>4346.2420000000002</v>
      </c>
      <c r="T971" s="467">
        <v>45771</v>
      </c>
      <c r="U971" s="436"/>
      <c r="V971" s="438"/>
    </row>
    <row r="972" spans="1:22" ht="301.2" customHeight="1" x14ac:dyDescent="0.3">
      <c r="A972" s="436">
        <v>966</v>
      </c>
      <c r="B972" s="436" t="s">
        <v>40</v>
      </c>
      <c r="C972" s="44" t="s">
        <v>41</v>
      </c>
      <c r="D972" s="436"/>
      <c r="E972" s="436" t="s">
        <v>88</v>
      </c>
      <c r="F972" s="44" t="s">
        <v>1970</v>
      </c>
      <c r="G972" s="436" t="s">
        <v>184</v>
      </c>
      <c r="H972" s="436">
        <v>665.31628000000001</v>
      </c>
      <c r="I972" s="436">
        <v>1</v>
      </c>
      <c r="J972" s="438">
        <v>665.31628000000001</v>
      </c>
      <c r="K972" s="438">
        <v>665.31628000000001</v>
      </c>
      <c r="L972" s="438">
        <v>1</v>
      </c>
      <c r="M972" s="438">
        <v>665.31628000000001</v>
      </c>
      <c r="N972" s="6" t="s">
        <v>1960</v>
      </c>
      <c r="O972" s="439">
        <v>45741</v>
      </c>
      <c r="P972" s="33" t="str">
        <f>HYPERLINK("https://my.zakupivli.pro/remote/dispatcher/state_purchase_view/58319979", "UA-2025-03-25-003266-a")</f>
        <v>UA-2025-03-25-003266-a</v>
      </c>
      <c r="Q972" s="466"/>
      <c r="R972" s="466"/>
      <c r="S972" s="466"/>
      <c r="T972" s="467"/>
      <c r="U972" s="436" t="s">
        <v>1793</v>
      </c>
      <c r="V972" s="438"/>
    </row>
    <row r="973" spans="1:22" ht="144" customHeight="1" x14ac:dyDescent="0.3">
      <c r="A973" s="436">
        <v>967</v>
      </c>
      <c r="B973" s="436" t="s">
        <v>40</v>
      </c>
      <c r="C973" s="44" t="s">
        <v>41</v>
      </c>
      <c r="D973" s="436"/>
      <c r="E973" s="436" t="s">
        <v>88</v>
      </c>
      <c r="F973" s="44" t="s">
        <v>1954</v>
      </c>
      <c r="G973" s="436" t="s">
        <v>184</v>
      </c>
      <c r="H973" s="436">
        <v>850.11284999999998</v>
      </c>
      <c r="I973" s="436">
        <v>1</v>
      </c>
      <c r="J973" s="438">
        <v>850.11284999999998</v>
      </c>
      <c r="K973" s="438">
        <v>850.11284999999998</v>
      </c>
      <c r="L973" s="438">
        <v>1</v>
      </c>
      <c r="M973" s="438">
        <v>850.11284999999998</v>
      </c>
      <c r="N973" s="6" t="s">
        <v>1961</v>
      </c>
      <c r="O973" s="439">
        <v>45741</v>
      </c>
      <c r="P973" s="33" t="str">
        <f>HYPERLINK("https://my.zakupivli.pro/remote/dispatcher/state_purchase_view/58318606", "UA-2025-03-25-002632-a")</f>
        <v>UA-2025-03-25-002632-a</v>
      </c>
      <c r="Q973" s="466"/>
      <c r="R973" s="466"/>
      <c r="S973" s="466"/>
      <c r="T973" s="467"/>
      <c r="U973" s="436" t="s">
        <v>1793</v>
      </c>
      <c r="V973" s="438"/>
    </row>
    <row r="974" spans="1:22" ht="62.4" x14ac:dyDescent="0.3">
      <c r="A974" s="436">
        <v>968</v>
      </c>
      <c r="B974" s="436" t="s">
        <v>40</v>
      </c>
      <c r="C974" s="44" t="s">
        <v>73</v>
      </c>
      <c r="D974" s="436"/>
      <c r="E974" s="436" t="s">
        <v>75</v>
      </c>
      <c r="F974" s="44" t="s">
        <v>1962</v>
      </c>
      <c r="G974" s="436" t="s">
        <v>184</v>
      </c>
      <c r="H974" s="436">
        <v>368.30545999999998</v>
      </c>
      <c r="I974" s="436">
        <v>1</v>
      </c>
      <c r="J974" s="445">
        <v>368.30545999999998</v>
      </c>
      <c r="K974" s="445">
        <v>368.30545999999998</v>
      </c>
      <c r="L974" s="445">
        <v>1</v>
      </c>
      <c r="M974" s="445">
        <v>368.30545999999998</v>
      </c>
      <c r="N974" s="6" t="s">
        <v>1966</v>
      </c>
      <c r="O974" s="437">
        <v>45750</v>
      </c>
      <c r="P974" s="33" t="str">
        <f>HYPERLINK("https://my.zakupivli.pro/remote/dispatcher/state_purchase_view/58524451", "UA-2025-04-03-005470-a")</f>
        <v>UA-2025-04-03-005470-a</v>
      </c>
      <c r="Q974" s="445">
        <v>368.30545999999998</v>
      </c>
      <c r="R974" s="445">
        <v>1</v>
      </c>
      <c r="S974" s="445">
        <v>368.30545999999998</v>
      </c>
      <c r="T974" s="444">
        <v>45750</v>
      </c>
      <c r="U974" s="436"/>
      <c r="V974" s="445" t="s">
        <v>59</v>
      </c>
    </row>
    <row r="975" spans="1:22" ht="62.4" x14ac:dyDescent="0.3">
      <c r="A975" s="436">
        <v>969</v>
      </c>
      <c r="B975" s="436" t="s">
        <v>40</v>
      </c>
      <c r="C975" s="44" t="s">
        <v>73</v>
      </c>
      <c r="D975" s="436"/>
      <c r="E975" s="436" t="s">
        <v>75</v>
      </c>
      <c r="F975" s="44" t="s">
        <v>1963</v>
      </c>
      <c r="G975" s="436" t="s">
        <v>184</v>
      </c>
      <c r="H975" s="436">
        <v>58.57676</v>
      </c>
      <c r="I975" s="436">
        <v>1</v>
      </c>
      <c r="J975" s="445">
        <v>58.57676</v>
      </c>
      <c r="K975" s="445">
        <v>58.57676</v>
      </c>
      <c r="L975" s="445">
        <v>1</v>
      </c>
      <c r="M975" s="445">
        <v>58.57676</v>
      </c>
      <c r="N975" s="6" t="s">
        <v>1967</v>
      </c>
      <c r="O975" s="444">
        <v>45750</v>
      </c>
      <c r="P975" s="33" t="str">
        <f>HYPERLINK("https://my.zakupivli.pro/remote/dispatcher/state_purchase_view/58523820", "UA-2025-04-03-005195-a")</f>
        <v>UA-2025-04-03-005195-a</v>
      </c>
      <c r="Q975" s="445">
        <v>58.57676</v>
      </c>
      <c r="R975" s="445">
        <v>1</v>
      </c>
      <c r="S975" s="445">
        <v>58.57676</v>
      </c>
      <c r="T975" s="444">
        <v>45750</v>
      </c>
      <c r="U975" s="436"/>
      <c r="V975" s="445" t="s">
        <v>59</v>
      </c>
    </row>
    <row r="976" spans="1:22" ht="109.2" x14ac:dyDescent="0.3">
      <c r="A976" s="436">
        <v>970</v>
      </c>
      <c r="B976" s="436" t="s">
        <v>40</v>
      </c>
      <c r="C976" s="44" t="s">
        <v>41</v>
      </c>
      <c r="D976" s="436"/>
      <c r="E976" s="436" t="s">
        <v>20</v>
      </c>
      <c r="F976" s="44" t="s">
        <v>1964</v>
      </c>
      <c r="G976" s="436" t="s">
        <v>184</v>
      </c>
      <c r="H976" s="436">
        <v>681.86911999999995</v>
      </c>
      <c r="I976" s="436">
        <v>1</v>
      </c>
      <c r="J976" s="445">
        <v>681.86911999999995</v>
      </c>
      <c r="K976" s="445">
        <v>681.86911999999995</v>
      </c>
      <c r="L976" s="445">
        <v>1</v>
      </c>
      <c r="M976" s="445">
        <v>681.86911999999995</v>
      </c>
      <c r="N976" s="6" t="s">
        <v>1968</v>
      </c>
      <c r="O976" s="437">
        <v>45749</v>
      </c>
      <c r="P976" s="33" t="str">
        <f>HYPERLINK("https://my.zakupivli.pro/remote/dispatcher/state_purchase_view/58513389", "UA-2025-04-03-000378-a")</f>
        <v>UA-2025-04-03-000378-a</v>
      </c>
      <c r="Q976" s="445">
        <v>681.86911999999995</v>
      </c>
      <c r="R976" s="445">
        <v>1</v>
      </c>
      <c r="S976" s="445">
        <v>681.86911999999995</v>
      </c>
      <c r="T976" s="444">
        <v>45749</v>
      </c>
      <c r="U976" s="436"/>
      <c r="V976" s="445" t="s">
        <v>59</v>
      </c>
    </row>
    <row r="977" spans="1:22" ht="202.8" x14ac:dyDescent="0.3">
      <c r="A977" s="436">
        <v>971</v>
      </c>
      <c r="B977" s="436" t="s">
        <v>40</v>
      </c>
      <c r="C977" s="44" t="s">
        <v>884</v>
      </c>
      <c r="D977" s="436"/>
      <c r="E977" s="436" t="s">
        <v>20</v>
      </c>
      <c r="F977" s="44" t="s">
        <v>1965</v>
      </c>
      <c r="G977" s="436" t="s">
        <v>184</v>
      </c>
      <c r="H977" s="119">
        <v>1775</v>
      </c>
      <c r="I977" s="436">
        <v>1</v>
      </c>
      <c r="J977" s="119">
        <v>1775</v>
      </c>
      <c r="K977" s="119">
        <v>1775</v>
      </c>
      <c r="L977" s="445">
        <v>1</v>
      </c>
      <c r="M977" s="119">
        <v>1775</v>
      </c>
      <c r="N977" s="6" t="s">
        <v>1969</v>
      </c>
      <c r="O977" s="444">
        <v>45748</v>
      </c>
      <c r="P977" s="33" t="str">
        <f>HYPERLINK("https://my.zakupivli.pro/remote/dispatcher/state_purchase_view/58476155", "UA-2025-04-01-011215-a")</f>
        <v>UA-2025-04-01-011215-a</v>
      </c>
      <c r="Q977" s="466">
        <v>1774.8041800000001</v>
      </c>
      <c r="R977" s="466">
        <v>1</v>
      </c>
      <c r="S977" s="466">
        <v>1774.8041800000001</v>
      </c>
      <c r="T977" s="467">
        <v>45771</v>
      </c>
      <c r="U977" s="436"/>
      <c r="V977" s="445"/>
    </row>
    <row r="978" spans="1:22" ht="62.4" x14ac:dyDescent="0.3">
      <c r="A978" s="436">
        <v>972</v>
      </c>
      <c r="B978" s="446" t="s">
        <v>40</v>
      </c>
      <c r="C978" s="44" t="s">
        <v>41</v>
      </c>
      <c r="D978" s="436"/>
      <c r="E978" s="446" t="s">
        <v>20</v>
      </c>
      <c r="F978" s="44" t="s">
        <v>1971</v>
      </c>
      <c r="G978" s="446" t="s">
        <v>184</v>
      </c>
      <c r="H978" s="436">
        <v>540.92614000000003</v>
      </c>
      <c r="I978" s="436">
        <v>1</v>
      </c>
      <c r="J978" s="446">
        <v>540.92614000000003</v>
      </c>
      <c r="K978" s="446">
        <v>540.92614000000003</v>
      </c>
      <c r="L978" s="446">
        <v>1</v>
      </c>
      <c r="M978" s="446">
        <v>540.92614000000003</v>
      </c>
      <c r="N978" s="6" t="s">
        <v>1977</v>
      </c>
      <c r="O978" s="437">
        <v>45754</v>
      </c>
      <c r="P978" s="33" t="str">
        <f>HYPERLINK("https://my.zakupivli.pro/remote/dispatcher/state_purchase_view/58600113", "UA-2025-04-07-011371-a")</f>
        <v>UA-2025-04-07-011371-a</v>
      </c>
      <c r="Q978" s="446">
        <v>540.92614000000003</v>
      </c>
      <c r="R978" s="446">
        <v>1</v>
      </c>
      <c r="S978" s="446">
        <v>540.92614000000003</v>
      </c>
      <c r="T978" s="447">
        <v>45754</v>
      </c>
      <c r="U978" s="436"/>
      <c r="V978" s="446" t="s">
        <v>59</v>
      </c>
    </row>
    <row r="979" spans="1:22" ht="62.4" x14ac:dyDescent="0.3">
      <c r="A979" s="436">
        <v>973</v>
      </c>
      <c r="B979" s="446" t="s">
        <v>40</v>
      </c>
      <c r="C979" s="44" t="s">
        <v>41</v>
      </c>
      <c r="D979" s="436"/>
      <c r="E979" s="446" t="s">
        <v>20</v>
      </c>
      <c r="F979" s="44" t="s">
        <v>1972</v>
      </c>
      <c r="G979" s="446" t="s">
        <v>184</v>
      </c>
      <c r="H979" s="436">
        <v>72216.95</v>
      </c>
      <c r="I979" s="436">
        <v>1</v>
      </c>
      <c r="J979" s="446">
        <v>72216.95</v>
      </c>
      <c r="K979" s="446">
        <v>72216.95</v>
      </c>
      <c r="L979" s="446">
        <v>1</v>
      </c>
      <c r="M979" s="446">
        <v>72216.95</v>
      </c>
      <c r="N979" s="6" t="s">
        <v>1978</v>
      </c>
      <c r="O979" s="447">
        <v>45754</v>
      </c>
      <c r="P979" s="33" t="str">
        <f>HYPERLINK("https://my.zakupivli.pro/remote/dispatcher/state_purchase_view/58599837", "UA-2025-04-07-011210-a")</f>
        <v>UA-2025-04-07-011210-a</v>
      </c>
      <c r="Q979" s="446">
        <v>72216.95</v>
      </c>
      <c r="R979" s="446">
        <v>1</v>
      </c>
      <c r="S979" s="446">
        <v>72216.95</v>
      </c>
      <c r="T979" s="447">
        <v>45754</v>
      </c>
      <c r="U979" s="436"/>
      <c r="V979" s="446" t="s">
        <v>59</v>
      </c>
    </row>
    <row r="980" spans="1:22" ht="93.6" x14ac:dyDescent="0.3">
      <c r="A980" s="436">
        <v>974</v>
      </c>
      <c r="B980" s="446" t="s">
        <v>40</v>
      </c>
      <c r="C980" s="44" t="s">
        <v>41</v>
      </c>
      <c r="D980" s="436"/>
      <c r="E980" s="446" t="s">
        <v>20</v>
      </c>
      <c r="F980" s="44" t="s">
        <v>1973</v>
      </c>
      <c r="G980" s="446" t="s">
        <v>184</v>
      </c>
      <c r="H980" s="436">
        <v>237.53351000000001</v>
      </c>
      <c r="I980" s="436">
        <v>1</v>
      </c>
      <c r="J980" s="446">
        <v>237.53351000000001</v>
      </c>
      <c r="K980" s="446">
        <v>237.53351000000001</v>
      </c>
      <c r="L980" s="446">
        <v>1</v>
      </c>
      <c r="M980" s="446">
        <v>237.53351000000001</v>
      </c>
      <c r="N980" s="6" t="s">
        <v>1979</v>
      </c>
      <c r="O980" s="447">
        <v>45754</v>
      </c>
      <c r="P980" s="33" t="str">
        <f>HYPERLINK("https://my.zakupivli.pro/remote/dispatcher/state_purchase_view/58599401", "UA-2025-04-07-011056-a")</f>
        <v>UA-2025-04-07-011056-a</v>
      </c>
      <c r="Q980" s="446">
        <v>237.53351000000001</v>
      </c>
      <c r="R980" s="446">
        <v>1</v>
      </c>
      <c r="S980" s="446">
        <v>237.53351000000001</v>
      </c>
      <c r="T980" s="447">
        <v>45754</v>
      </c>
      <c r="U980" s="436"/>
      <c r="V980" s="446" t="s">
        <v>59</v>
      </c>
    </row>
    <row r="981" spans="1:22" ht="93.6" x14ac:dyDescent="0.3">
      <c r="A981" s="436">
        <v>975</v>
      </c>
      <c r="B981" s="446" t="s">
        <v>40</v>
      </c>
      <c r="C981" s="44" t="s">
        <v>41</v>
      </c>
      <c r="D981" s="436"/>
      <c r="E981" s="446" t="s">
        <v>20</v>
      </c>
      <c r="F981" s="44" t="s">
        <v>1974</v>
      </c>
      <c r="G981" s="446" t="s">
        <v>184</v>
      </c>
      <c r="H981" s="436">
        <v>263.96899999999999</v>
      </c>
      <c r="I981" s="436">
        <v>1</v>
      </c>
      <c r="J981" s="446">
        <v>263.96899999999999</v>
      </c>
      <c r="K981" s="446">
        <v>263.96899999999999</v>
      </c>
      <c r="L981" s="446">
        <v>1</v>
      </c>
      <c r="M981" s="446">
        <v>263.96899999999999</v>
      </c>
      <c r="N981" s="6" t="s">
        <v>1980</v>
      </c>
      <c r="O981" s="447">
        <v>45754</v>
      </c>
      <c r="P981" s="33" t="str">
        <f>HYPERLINK("https://my.zakupivli.pro/remote/dispatcher/state_purchase_view/58599183", "UA-2025-04-07-010912-a")</f>
        <v>UA-2025-04-07-010912-a</v>
      </c>
      <c r="Q981" s="446">
        <v>263.96899999999999</v>
      </c>
      <c r="R981" s="446">
        <v>1</v>
      </c>
      <c r="S981" s="446">
        <v>263.96899999999999</v>
      </c>
      <c r="T981" s="447">
        <v>45754</v>
      </c>
      <c r="U981" s="436"/>
      <c r="V981" s="446" t="s">
        <v>59</v>
      </c>
    </row>
    <row r="982" spans="1:22" ht="62.4" x14ac:dyDescent="0.3">
      <c r="A982" s="436">
        <v>976</v>
      </c>
      <c r="B982" s="446" t="s">
        <v>40</v>
      </c>
      <c r="C982" s="44" t="s">
        <v>884</v>
      </c>
      <c r="D982" s="436"/>
      <c r="E982" s="446" t="s">
        <v>20</v>
      </c>
      <c r="F982" s="44" t="s">
        <v>1975</v>
      </c>
      <c r="G982" s="446" t="s">
        <v>184</v>
      </c>
      <c r="H982" s="446">
        <v>188.37469999999999</v>
      </c>
      <c r="I982" s="436">
        <v>1</v>
      </c>
      <c r="J982" s="446">
        <v>188.37469999999999</v>
      </c>
      <c r="K982" s="446">
        <v>188.37469999999999</v>
      </c>
      <c r="L982" s="446">
        <v>1</v>
      </c>
      <c r="M982" s="446">
        <v>188.37469999999999</v>
      </c>
      <c r="N982" s="6" t="s">
        <v>1981</v>
      </c>
      <c r="O982" s="447">
        <v>45754</v>
      </c>
      <c r="P982" s="33" t="str">
        <f>HYPERLINK("https://my.zakupivli.pro/remote/dispatcher/state_purchase_view/58589905", "UA-2025-04-07-006839-a")</f>
        <v>UA-2025-04-07-006839-a</v>
      </c>
      <c r="Q982" s="446">
        <v>188.37469999999999</v>
      </c>
      <c r="R982" s="446">
        <v>1</v>
      </c>
      <c r="S982" s="446">
        <v>188.37469999999999</v>
      </c>
      <c r="T982" s="447">
        <v>45754</v>
      </c>
      <c r="U982" s="436"/>
      <c r="V982" s="446" t="s">
        <v>59</v>
      </c>
    </row>
    <row r="983" spans="1:22" ht="78" x14ac:dyDescent="0.3">
      <c r="A983" s="436">
        <v>977</v>
      </c>
      <c r="B983" s="446" t="s">
        <v>40</v>
      </c>
      <c r="C983" s="44" t="s">
        <v>41</v>
      </c>
      <c r="D983" s="436"/>
      <c r="E983" s="446" t="s">
        <v>20</v>
      </c>
      <c r="F983" s="44" t="s">
        <v>1596</v>
      </c>
      <c r="G983" s="446" t="s">
        <v>184</v>
      </c>
      <c r="H983" s="446">
        <v>72.577250000000006</v>
      </c>
      <c r="I983" s="436">
        <v>1</v>
      </c>
      <c r="J983" s="436">
        <v>72.577250000000006</v>
      </c>
      <c r="K983" s="446">
        <v>72.577250000000006</v>
      </c>
      <c r="L983" s="446">
        <v>1</v>
      </c>
      <c r="M983" s="446">
        <v>72.577250000000006</v>
      </c>
      <c r="N983" s="6" t="s">
        <v>1982</v>
      </c>
      <c r="O983" s="447">
        <v>45754</v>
      </c>
      <c r="P983" s="33" t="str">
        <f>HYPERLINK("https://my.zakupivli.pro/remote/dispatcher/state_purchase_view/58589458", "UA-2025-04-07-006636-a")</f>
        <v>UA-2025-04-07-006636-a</v>
      </c>
      <c r="Q983" s="446">
        <v>72.577250000000006</v>
      </c>
      <c r="R983" s="446">
        <v>1</v>
      </c>
      <c r="S983" s="446">
        <v>72.577250000000006</v>
      </c>
      <c r="T983" s="447">
        <v>45754</v>
      </c>
      <c r="U983" s="436"/>
      <c r="V983" s="446" t="s">
        <v>59</v>
      </c>
    </row>
    <row r="984" spans="1:22" ht="109.2" x14ac:dyDescent="0.3">
      <c r="A984" s="436">
        <v>978</v>
      </c>
      <c r="B984" s="446" t="s">
        <v>40</v>
      </c>
      <c r="C984" s="44" t="s">
        <v>41</v>
      </c>
      <c r="D984" s="436"/>
      <c r="E984" s="446" t="s">
        <v>20</v>
      </c>
      <c r="F984" s="44" t="s">
        <v>1976</v>
      </c>
      <c r="G984" s="446" t="s">
        <v>184</v>
      </c>
      <c r="H984" s="436">
        <v>621.60866999999996</v>
      </c>
      <c r="I984" s="436">
        <v>1</v>
      </c>
      <c r="J984" s="446">
        <v>621.60866999999996</v>
      </c>
      <c r="K984" s="446">
        <v>621.60866999999996</v>
      </c>
      <c r="L984" s="446">
        <v>1</v>
      </c>
      <c r="M984" s="446">
        <v>621.60866999999996</v>
      </c>
      <c r="N984" s="6" t="s">
        <v>1983</v>
      </c>
      <c r="O984" s="447">
        <v>45754</v>
      </c>
      <c r="P984" s="33" t="str">
        <f>HYPERLINK("https://my.zakupivli.pro/remote/dispatcher/state_purchase_view/58575307", "UA-2025-04-07-000293-a")</f>
        <v>UA-2025-04-07-000293-a</v>
      </c>
      <c r="Q984" s="446">
        <v>621.60866999999996</v>
      </c>
      <c r="R984" s="446">
        <v>1</v>
      </c>
      <c r="S984" s="446">
        <v>621.60866999999996</v>
      </c>
      <c r="T984" s="447">
        <v>45751</v>
      </c>
      <c r="U984" s="436"/>
      <c r="V984" s="446" t="s">
        <v>59</v>
      </c>
    </row>
    <row r="985" spans="1:22" ht="62.4" x14ac:dyDescent="0.3">
      <c r="A985" s="436">
        <v>979</v>
      </c>
      <c r="B985" s="436" t="s">
        <v>21</v>
      </c>
      <c r="C985" s="44" t="s">
        <v>969</v>
      </c>
      <c r="D985" s="436"/>
      <c r="E985" s="436" t="s">
        <v>75</v>
      </c>
      <c r="F985" s="225" t="s">
        <v>2012</v>
      </c>
      <c r="G985" s="436" t="s">
        <v>185</v>
      </c>
      <c r="H985" s="436">
        <v>78.594999999999999</v>
      </c>
      <c r="I985" s="436">
        <v>25</v>
      </c>
      <c r="J985" s="449">
        <v>78.594999999999999</v>
      </c>
      <c r="K985" s="449">
        <v>78.594999999999999</v>
      </c>
      <c r="L985" s="449">
        <v>25</v>
      </c>
      <c r="M985" s="449">
        <v>78.594999999999999</v>
      </c>
      <c r="N985" s="6" t="s">
        <v>2013</v>
      </c>
      <c r="O985" s="437">
        <v>45755</v>
      </c>
      <c r="P985" s="33" t="str">
        <f>HYPERLINK("https://my.zakupivli.pro/remote/dispatcher/state_purchase_view/58613538", "UA-2025-04-08-003191-a")</f>
        <v>UA-2025-04-08-003191-a</v>
      </c>
      <c r="Q985" s="449">
        <v>78.594999999999999</v>
      </c>
      <c r="R985" s="449">
        <v>25</v>
      </c>
      <c r="S985" s="449">
        <v>78.594999999999999</v>
      </c>
      <c r="T985" s="450">
        <v>45755</v>
      </c>
      <c r="U985" s="436"/>
      <c r="V985" s="449" t="s">
        <v>59</v>
      </c>
    </row>
    <row r="986" spans="1:22" ht="109.2" x14ac:dyDescent="0.3">
      <c r="A986" s="436">
        <v>980</v>
      </c>
      <c r="B986" s="436" t="s">
        <v>40</v>
      </c>
      <c r="C986" s="44" t="s">
        <v>884</v>
      </c>
      <c r="D986" s="436"/>
      <c r="E986" s="436" t="s">
        <v>20</v>
      </c>
      <c r="F986" s="44" t="s">
        <v>2014</v>
      </c>
      <c r="G986" s="436" t="s">
        <v>184</v>
      </c>
      <c r="H986" s="436">
        <v>353.7296</v>
      </c>
      <c r="I986" s="436">
        <v>1</v>
      </c>
      <c r="J986" s="449">
        <v>353.7296</v>
      </c>
      <c r="K986" s="449">
        <v>353.7296</v>
      </c>
      <c r="L986" s="449">
        <v>1</v>
      </c>
      <c r="M986" s="449">
        <v>353.7296</v>
      </c>
      <c r="N986" s="6" t="s">
        <v>2018</v>
      </c>
      <c r="O986" s="437">
        <v>45756</v>
      </c>
      <c r="P986" s="33" t="str">
        <f>HYPERLINK("https://my.zakupivli.pro/remote/dispatcher/state_purchase_view/58657540", "UA-2025-04-09-008129-a")</f>
        <v>UA-2025-04-09-008129-a</v>
      </c>
      <c r="Q986" s="449">
        <v>353.7296</v>
      </c>
      <c r="R986" s="449">
        <v>1</v>
      </c>
      <c r="S986" s="449">
        <v>353.7296</v>
      </c>
      <c r="T986" s="450">
        <v>45755</v>
      </c>
      <c r="U986" s="436"/>
      <c r="V986" s="449" t="s">
        <v>59</v>
      </c>
    </row>
    <row r="987" spans="1:22" ht="124.8" x14ac:dyDescent="0.3">
      <c r="A987" s="436">
        <v>981</v>
      </c>
      <c r="B987" s="436" t="s">
        <v>40</v>
      </c>
      <c r="C987" s="44" t="s">
        <v>884</v>
      </c>
      <c r="D987" s="436"/>
      <c r="E987" s="436" t="s">
        <v>20</v>
      </c>
      <c r="F987" s="44" t="s">
        <v>2015</v>
      </c>
      <c r="G987" s="449" t="s">
        <v>184</v>
      </c>
      <c r="H987" s="436">
        <v>82.641300000000001</v>
      </c>
      <c r="I987" s="436">
        <v>1</v>
      </c>
      <c r="J987" s="449">
        <v>82.641300000000001</v>
      </c>
      <c r="K987" s="449">
        <v>82.641300000000001</v>
      </c>
      <c r="L987" s="449">
        <v>1</v>
      </c>
      <c r="M987" s="449">
        <v>82.641300000000001</v>
      </c>
      <c r="N987" s="6" t="s">
        <v>2019</v>
      </c>
      <c r="O987" s="450">
        <v>45756</v>
      </c>
      <c r="P987" s="33" t="str">
        <f>HYPERLINK("https://my.zakupivli.pro/remote/dispatcher/state_purchase_view/58656841", "UA-2025-04-09-007809-a")</f>
        <v>UA-2025-04-09-007809-a</v>
      </c>
      <c r="Q987" s="449">
        <v>82.641300000000001</v>
      </c>
      <c r="R987" s="449">
        <v>1</v>
      </c>
      <c r="S987" s="449">
        <v>82.641300000000001</v>
      </c>
      <c r="T987" s="450">
        <v>45755</v>
      </c>
      <c r="U987" s="436"/>
      <c r="V987" s="449" t="s">
        <v>59</v>
      </c>
    </row>
    <row r="988" spans="1:22" ht="109.2" x14ac:dyDescent="0.3">
      <c r="A988" s="436">
        <v>982</v>
      </c>
      <c r="B988" s="436" t="s">
        <v>40</v>
      </c>
      <c r="C988" s="44" t="s">
        <v>41</v>
      </c>
      <c r="D988" s="436"/>
      <c r="E988" s="436" t="s">
        <v>20</v>
      </c>
      <c r="F988" s="44" t="s">
        <v>2016</v>
      </c>
      <c r="G988" s="449" t="s">
        <v>184</v>
      </c>
      <c r="H988" s="436">
        <v>293.67608999999999</v>
      </c>
      <c r="I988" s="436">
        <v>1</v>
      </c>
      <c r="J988" s="449">
        <v>293.67608999999999</v>
      </c>
      <c r="K988" s="449">
        <v>293.67608999999999</v>
      </c>
      <c r="L988" s="449">
        <v>1</v>
      </c>
      <c r="M988" s="449">
        <v>293.67608999999999</v>
      </c>
      <c r="N988" s="6" t="s">
        <v>2020</v>
      </c>
      <c r="O988" s="450">
        <v>45756</v>
      </c>
      <c r="P988" s="33" t="str">
        <f>HYPERLINK("https://my.zakupivli.pro/remote/dispatcher/state_purchase_view/58656209", "UA-2025-04-09-007528-a")</f>
        <v>UA-2025-04-09-007528-a</v>
      </c>
      <c r="Q988" s="449">
        <v>293.67608999999999</v>
      </c>
      <c r="R988" s="449">
        <v>1</v>
      </c>
      <c r="S988" s="449">
        <v>293.67608999999999</v>
      </c>
      <c r="T988" s="450">
        <v>45755</v>
      </c>
      <c r="U988" s="436"/>
      <c r="V988" s="449" t="s">
        <v>59</v>
      </c>
    </row>
    <row r="989" spans="1:22" ht="124.8" customHeight="1" x14ac:dyDescent="0.3">
      <c r="A989" s="436">
        <v>983</v>
      </c>
      <c r="B989" s="436" t="s">
        <v>40</v>
      </c>
      <c r="C989" s="44" t="s">
        <v>41</v>
      </c>
      <c r="D989" s="436"/>
      <c r="E989" s="436" t="s">
        <v>20</v>
      </c>
      <c r="F989" s="44" t="s">
        <v>2017</v>
      </c>
      <c r="G989" s="449" t="s">
        <v>184</v>
      </c>
      <c r="H989" s="449">
        <v>99.468768999999995</v>
      </c>
      <c r="I989" s="436">
        <v>1</v>
      </c>
      <c r="J989" s="449">
        <v>99.468768999999995</v>
      </c>
      <c r="K989" s="449">
        <v>99.468768999999995</v>
      </c>
      <c r="L989" s="449">
        <v>1</v>
      </c>
      <c r="M989" s="449">
        <v>99.468768999999995</v>
      </c>
      <c r="N989" s="6" t="s">
        <v>2021</v>
      </c>
      <c r="O989" s="450">
        <v>45756</v>
      </c>
      <c r="P989" s="33" t="str">
        <f>HYPERLINK("https://my.zakupivli.pro/remote/dispatcher/state_purchase_view/58651905", "UA-2025-04-09-005554-a")</f>
        <v>UA-2025-04-09-005554-a</v>
      </c>
      <c r="Q989" s="449">
        <v>99.468768999999995</v>
      </c>
      <c r="R989" s="449">
        <v>1</v>
      </c>
      <c r="S989" s="449">
        <v>99.468768999999995</v>
      </c>
      <c r="T989" s="450">
        <v>45755</v>
      </c>
      <c r="U989" s="436"/>
      <c r="V989" s="449" t="s">
        <v>59</v>
      </c>
    </row>
    <row r="990" spans="1:22" ht="43.2" x14ac:dyDescent="0.3">
      <c r="A990" s="436">
        <v>984</v>
      </c>
      <c r="B990" s="436" t="s">
        <v>21</v>
      </c>
      <c r="C990" s="41" t="s">
        <v>173</v>
      </c>
      <c r="D990" s="436"/>
      <c r="E990" s="436" t="s">
        <v>75</v>
      </c>
      <c r="F990" s="85" t="s">
        <v>2022</v>
      </c>
      <c r="G990" s="436" t="s">
        <v>186</v>
      </c>
      <c r="H990" s="436"/>
      <c r="I990" s="436">
        <v>43</v>
      </c>
      <c r="J990" s="436">
        <v>1654.9045799999999</v>
      </c>
      <c r="K990" s="436"/>
      <c r="L990" s="452">
        <v>43</v>
      </c>
      <c r="M990" s="452">
        <v>1654.9045799999999</v>
      </c>
      <c r="N990" s="6" t="s">
        <v>2023</v>
      </c>
      <c r="O990" s="437">
        <v>45757</v>
      </c>
      <c r="P990" s="33" t="str">
        <f>HYPERLINK("https://my.zakupivli.pro/remote/dispatcher/state_purchase_view/58679096", "UA-2025-04-10-002695-a")</f>
        <v>UA-2025-04-10-002695-a</v>
      </c>
      <c r="Q990" s="448"/>
      <c r="R990" s="448">
        <v>43</v>
      </c>
      <c r="S990" s="448">
        <v>1652.11</v>
      </c>
      <c r="T990" s="443">
        <v>45782</v>
      </c>
      <c r="U990" s="436"/>
      <c r="V990" s="436"/>
    </row>
    <row r="991" spans="1:22" ht="62.4" x14ac:dyDescent="0.3">
      <c r="A991" s="436">
        <v>985</v>
      </c>
      <c r="B991" s="436" t="s">
        <v>21</v>
      </c>
      <c r="C991" s="44" t="s">
        <v>1515</v>
      </c>
      <c r="D991" s="436"/>
      <c r="E991" s="456" t="s">
        <v>75</v>
      </c>
      <c r="F991" s="44" t="s">
        <v>2041</v>
      </c>
      <c r="G991" s="436" t="s">
        <v>185</v>
      </c>
      <c r="H991" s="436"/>
      <c r="I991" s="436">
        <v>11</v>
      </c>
      <c r="J991" s="436">
        <v>55.299190000000003</v>
      </c>
      <c r="K991" s="436"/>
      <c r="L991" s="456">
        <v>11</v>
      </c>
      <c r="M991" s="456">
        <v>55.299190000000003</v>
      </c>
      <c r="N991" s="6" t="s">
        <v>2042</v>
      </c>
      <c r="O991" s="437">
        <v>45761</v>
      </c>
      <c r="P991" s="459" t="str">
        <f>HYPERLINK("https://my.zakupivli.pro/remote/dispatcher/state_purchase_view/58741981", "UA-2025-04-14-002092-a")</f>
        <v>UA-2025-04-14-002092-a</v>
      </c>
      <c r="Q991" s="436"/>
      <c r="R991" s="456">
        <v>11</v>
      </c>
      <c r="S991" s="456">
        <v>55.299190000000003</v>
      </c>
      <c r="T991" s="455">
        <v>45761</v>
      </c>
      <c r="U991" s="436"/>
      <c r="V991" s="456" t="s">
        <v>59</v>
      </c>
    </row>
    <row r="992" spans="1:22" ht="62.4" x14ac:dyDescent="0.3">
      <c r="A992" s="436">
        <v>986</v>
      </c>
      <c r="B992" s="436" t="s">
        <v>21</v>
      </c>
      <c r="C992" s="44" t="s">
        <v>405</v>
      </c>
      <c r="D992" s="436"/>
      <c r="E992" s="436" t="s">
        <v>2045</v>
      </c>
      <c r="F992" s="44" t="s">
        <v>2043</v>
      </c>
      <c r="G992" s="436" t="s">
        <v>185</v>
      </c>
      <c r="H992" s="436"/>
      <c r="I992" s="436">
        <v>670</v>
      </c>
      <c r="J992" s="436">
        <v>1077.7565</v>
      </c>
      <c r="K992" s="436"/>
      <c r="L992" s="457">
        <v>670</v>
      </c>
      <c r="M992" s="457">
        <v>1077.7565</v>
      </c>
      <c r="N992" s="6" t="s">
        <v>2046</v>
      </c>
      <c r="O992" s="437">
        <v>45762</v>
      </c>
      <c r="P992" s="33" t="str">
        <f>HYPERLINK("https://my.zakupivli.pro/remote/dispatcher/state_purchase_view/58797476", "UA-2025-04-15-012874-a")</f>
        <v>UA-2025-04-15-012874-a</v>
      </c>
      <c r="Q992" s="448"/>
      <c r="R992" s="448">
        <v>670</v>
      </c>
      <c r="S992" s="448">
        <v>1077.7565</v>
      </c>
      <c r="T992" s="443">
        <v>45783</v>
      </c>
      <c r="U992" s="436"/>
      <c r="V992" s="436"/>
    </row>
    <row r="993" spans="1:22" ht="140.4" customHeight="1" x14ac:dyDescent="0.3">
      <c r="A993" s="457">
        <v>987</v>
      </c>
      <c r="B993" s="457" t="s">
        <v>40</v>
      </c>
      <c r="C993" s="44" t="s">
        <v>41</v>
      </c>
      <c r="D993" s="457"/>
      <c r="E993" s="457" t="s">
        <v>88</v>
      </c>
      <c r="F993" s="44" t="s">
        <v>2044</v>
      </c>
      <c r="G993" s="457" t="s">
        <v>184</v>
      </c>
      <c r="H993" s="457">
        <v>60008.99267</v>
      </c>
      <c r="I993" s="457">
        <v>1</v>
      </c>
      <c r="J993" s="457">
        <v>60008.99267</v>
      </c>
      <c r="K993" s="457">
        <v>60008.99267</v>
      </c>
      <c r="L993" s="457">
        <v>1</v>
      </c>
      <c r="M993" s="457">
        <v>60008.99267</v>
      </c>
      <c r="N993" s="6" t="s">
        <v>2047</v>
      </c>
      <c r="O993" s="458">
        <v>45762</v>
      </c>
      <c r="P993" s="33" t="str">
        <f>HYPERLINK("https://my.zakupivli.pro/remote/dispatcher/state_purchase_view/58796029", "UA-2025-04-15-012229-a")</f>
        <v>UA-2025-04-15-012229-a</v>
      </c>
      <c r="Q993" s="448">
        <v>60001.892</v>
      </c>
      <c r="R993" s="448">
        <v>1</v>
      </c>
      <c r="S993" s="448">
        <v>60001.892</v>
      </c>
      <c r="T993" s="443">
        <v>45798</v>
      </c>
      <c r="U993" s="457"/>
      <c r="V993" s="457"/>
    </row>
    <row r="994" spans="1:22" ht="62.4" x14ac:dyDescent="0.3">
      <c r="A994" s="457">
        <v>988</v>
      </c>
      <c r="B994" s="457" t="s">
        <v>40</v>
      </c>
      <c r="C994" s="44" t="s">
        <v>541</v>
      </c>
      <c r="D994" s="457"/>
      <c r="E994" s="457" t="s">
        <v>75</v>
      </c>
      <c r="F994" s="44" t="s">
        <v>1861</v>
      </c>
      <c r="G994" s="457" t="s">
        <v>184</v>
      </c>
      <c r="H994" s="457">
        <v>408.31729000000001</v>
      </c>
      <c r="I994" s="457">
        <v>1</v>
      </c>
      <c r="J994" s="457">
        <v>408.31729000000001</v>
      </c>
      <c r="K994" s="457">
        <v>408.31729000000001</v>
      </c>
      <c r="L994" s="457">
        <v>1</v>
      </c>
      <c r="M994" s="457">
        <v>408.31729000000001</v>
      </c>
      <c r="N994" s="6" t="s">
        <v>2048</v>
      </c>
      <c r="O994" s="458">
        <v>45762</v>
      </c>
      <c r="P994" s="33" t="str">
        <f>HYPERLINK("https://my.zakupivli.pro/remote/dispatcher/state_purchase_view/58774811", "UA-2025-04-15-002650-a")</f>
        <v>UA-2025-04-15-002650-a</v>
      </c>
      <c r="Q994" s="457">
        <v>408.31729000000001</v>
      </c>
      <c r="R994" s="457">
        <v>1</v>
      </c>
      <c r="S994" s="457">
        <v>408.31729000000001</v>
      </c>
      <c r="T994" s="458">
        <v>45761</v>
      </c>
      <c r="U994" s="457"/>
      <c r="V994" s="457" t="s">
        <v>59</v>
      </c>
    </row>
    <row r="995" spans="1:22" ht="156" x14ac:dyDescent="0.3">
      <c r="A995" s="457">
        <v>989</v>
      </c>
      <c r="B995" s="457" t="s">
        <v>40</v>
      </c>
      <c r="C995" s="44" t="s">
        <v>884</v>
      </c>
      <c r="D995" s="457"/>
      <c r="E995" s="457" t="s">
        <v>20</v>
      </c>
      <c r="F995" s="44" t="s">
        <v>2049</v>
      </c>
      <c r="G995" s="457" t="s">
        <v>184</v>
      </c>
      <c r="H995" s="119">
        <v>2087.75</v>
      </c>
      <c r="I995" s="457">
        <v>1</v>
      </c>
      <c r="J995" s="119">
        <v>2087.75</v>
      </c>
      <c r="K995" s="119">
        <v>2087.75</v>
      </c>
      <c r="L995" s="460">
        <v>1</v>
      </c>
      <c r="M995" s="119">
        <v>2087.75</v>
      </c>
      <c r="N995" s="6" t="s">
        <v>2050</v>
      </c>
      <c r="O995" s="458">
        <v>45764</v>
      </c>
      <c r="P995" s="33" t="str">
        <f>HYPERLINK("https://my.zakupivli.pro/remote/dispatcher/state_purchase_view/58831849", "UA-2025-04-17-000408-a")</f>
        <v>UA-2025-04-17-000408-a</v>
      </c>
      <c r="Q995" s="448">
        <v>2087.6839300000001</v>
      </c>
      <c r="R995" s="448">
        <v>1</v>
      </c>
      <c r="S995" s="448">
        <v>2087.6839300000001</v>
      </c>
      <c r="T995" s="443">
        <v>45790</v>
      </c>
      <c r="U995" s="457"/>
      <c r="V995" s="457"/>
    </row>
    <row r="996" spans="1:22" ht="62.4" x14ac:dyDescent="0.3">
      <c r="A996" s="457">
        <v>990</v>
      </c>
      <c r="B996" s="457" t="s">
        <v>40</v>
      </c>
      <c r="C996" s="44" t="s">
        <v>41</v>
      </c>
      <c r="D996" s="457"/>
      <c r="E996" s="457" t="s">
        <v>20</v>
      </c>
      <c r="F996" s="44" t="s">
        <v>2051</v>
      </c>
      <c r="G996" s="457" t="s">
        <v>184</v>
      </c>
      <c r="H996" s="457">
        <v>614.77817000000005</v>
      </c>
      <c r="I996" s="457">
        <v>1</v>
      </c>
      <c r="J996" s="460">
        <v>614.77817000000005</v>
      </c>
      <c r="K996" s="460">
        <v>614.77817000000005</v>
      </c>
      <c r="L996" s="460">
        <v>1</v>
      </c>
      <c r="M996" s="460">
        <v>614.77817000000005</v>
      </c>
      <c r="N996" s="6" t="s">
        <v>2052</v>
      </c>
      <c r="O996" s="458">
        <v>45764</v>
      </c>
      <c r="P996" s="33" t="str">
        <f>HYPERLINK("https://my.zakupivli.pro/remote/dispatcher/state_purchase_view/58853384", "UA-2025-04-17-010179-a")</f>
        <v>UA-2025-04-17-010179-a</v>
      </c>
      <c r="Q996" s="460">
        <v>614.77817000000005</v>
      </c>
      <c r="R996" s="460">
        <v>1</v>
      </c>
      <c r="S996" s="460">
        <v>614.77817000000005</v>
      </c>
      <c r="T996" s="461">
        <v>45764</v>
      </c>
      <c r="U996" s="457"/>
      <c r="V996" s="460" t="s">
        <v>59</v>
      </c>
    </row>
    <row r="997" spans="1:22" ht="140.4" x14ac:dyDescent="0.3">
      <c r="A997" s="457">
        <v>991</v>
      </c>
      <c r="B997" s="462" t="s">
        <v>40</v>
      </c>
      <c r="C997" s="44" t="s">
        <v>41</v>
      </c>
      <c r="D997" s="457"/>
      <c r="E997" s="457" t="s">
        <v>88</v>
      </c>
      <c r="F997" s="44" t="s">
        <v>1954</v>
      </c>
      <c r="G997" s="462" t="s">
        <v>184</v>
      </c>
      <c r="H997" s="457">
        <v>850.11284999999998</v>
      </c>
      <c r="I997" s="457">
        <v>1</v>
      </c>
      <c r="J997" s="462">
        <v>850.11284999999998</v>
      </c>
      <c r="K997" s="462">
        <v>850.11284999999998</v>
      </c>
      <c r="L997" s="462">
        <v>1</v>
      </c>
      <c r="M997" s="462">
        <v>850.11284999999998</v>
      </c>
      <c r="N997" s="6" t="s">
        <v>2053</v>
      </c>
      <c r="O997" s="458">
        <v>45765</v>
      </c>
      <c r="P997" s="465" t="str">
        <f>HYPERLINK("https://my.zakupivli.pro/remote/dispatcher/state_purchase_view/58876022", "UA-2025-04-18-008450-a")</f>
        <v>UA-2025-04-18-008450-a</v>
      </c>
      <c r="Q997" s="448"/>
      <c r="R997" s="448"/>
      <c r="S997" s="448"/>
      <c r="T997" s="443"/>
      <c r="U997" s="457" t="s">
        <v>1793</v>
      </c>
      <c r="V997" s="457"/>
    </row>
    <row r="998" spans="1:22" ht="156" x14ac:dyDescent="0.3">
      <c r="A998" s="457">
        <v>992</v>
      </c>
      <c r="B998" s="462" t="s">
        <v>40</v>
      </c>
      <c r="C998" s="44" t="s">
        <v>41</v>
      </c>
      <c r="D998" s="457"/>
      <c r="E998" s="457" t="s">
        <v>88</v>
      </c>
      <c r="F998" s="44" t="s">
        <v>2054</v>
      </c>
      <c r="G998" s="462" t="s">
        <v>184</v>
      </c>
      <c r="H998" s="457">
        <v>665.31628000000001</v>
      </c>
      <c r="I998" s="457">
        <v>1</v>
      </c>
      <c r="J998" s="462">
        <v>665.31628000000001</v>
      </c>
      <c r="K998" s="462">
        <v>665.31628000000001</v>
      </c>
      <c r="L998" s="462">
        <v>1</v>
      </c>
      <c r="M998" s="462">
        <v>665.31628000000001</v>
      </c>
      <c r="N998" s="6" t="s">
        <v>2055</v>
      </c>
      <c r="O998" s="463">
        <v>45765</v>
      </c>
      <c r="P998" s="33" t="str">
        <f>HYPERLINK("https://my.zakupivli.pro/remote/dispatcher/state_purchase_view/58876357", "UA-2025-04-18-008599-a")</f>
        <v>UA-2025-04-18-008599-a</v>
      </c>
      <c r="Q998" s="448"/>
      <c r="R998" s="448"/>
      <c r="S998" s="448"/>
      <c r="T998" s="443"/>
      <c r="U998" s="475" t="s">
        <v>1793</v>
      </c>
      <c r="V998" s="457"/>
    </row>
    <row r="999" spans="1:22" ht="62.4" x14ac:dyDescent="0.3">
      <c r="A999" s="457">
        <v>993</v>
      </c>
      <c r="B999" s="457" t="s">
        <v>40</v>
      </c>
      <c r="C999" s="44" t="s">
        <v>73</v>
      </c>
      <c r="D999" s="457"/>
      <c r="E999" s="464" t="s">
        <v>75</v>
      </c>
      <c r="F999" s="65" t="s">
        <v>2057</v>
      </c>
      <c r="G999" s="469" t="s">
        <v>184</v>
      </c>
      <c r="H999" s="457">
        <v>117.38764999999999</v>
      </c>
      <c r="I999" s="457">
        <v>1</v>
      </c>
      <c r="J999" s="464">
        <v>117.38764999999999</v>
      </c>
      <c r="K999" s="464">
        <v>117.38764999999999</v>
      </c>
      <c r="L999" s="464">
        <v>1</v>
      </c>
      <c r="M999" s="464">
        <v>117.38764999999999</v>
      </c>
      <c r="N999" s="6" t="s">
        <v>2056</v>
      </c>
      <c r="O999" s="458">
        <v>45680</v>
      </c>
      <c r="P999" s="33" t="str">
        <f>HYPERLINK("https://my.zakupivli.pro/remote/dispatcher/state_purchase_view/58923256", "UA-2025-04-23-000184-a")</f>
        <v>UA-2025-04-23-000184-a</v>
      </c>
      <c r="Q999" s="464">
        <v>117.38764999999999</v>
      </c>
      <c r="R999" s="464">
        <v>1</v>
      </c>
      <c r="S999" s="464">
        <v>117.38764999999999</v>
      </c>
      <c r="T999" s="470">
        <v>45680</v>
      </c>
      <c r="U999" s="457"/>
      <c r="V999" s="464" t="s">
        <v>59</v>
      </c>
    </row>
    <row r="1000" spans="1:22" ht="62.4" x14ac:dyDescent="0.3">
      <c r="A1000" s="469">
        <v>994</v>
      </c>
      <c r="B1000" s="469" t="s">
        <v>40</v>
      </c>
      <c r="C1000" s="44" t="s">
        <v>884</v>
      </c>
      <c r="D1000" s="469"/>
      <c r="E1000" s="469" t="s">
        <v>20</v>
      </c>
      <c r="F1000" s="44" t="s">
        <v>2061</v>
      </c>
      <c r="G1000" s="457" t="s">
        <v>184</v>
      </c>
      <c r="H1000" s="469">
        <v>161.79945000000001</v>
      </c>
      <c r="I1000" s="469">
        <v>1</v>
      </c>
      <c r="J1000" s="469">
        <v>161.79945000000001</v>
      </c>
      <c r="K1000" s="469">
        <v>161.79945000000001</v>
      </c>
      <c r="L1000" s="469">
        <v>1</v>
      </c>
      <c r="M1000" s="469">
        <v>161.79945000000001</v>
      </c>
      <c r="N1000" s="6" t="s">
        <v>2063</v>
      </c>
      <c r="O1000" s="468">
        <v>45777</v>
      </c>
      <c r="P1000" s="33" t="str">
        <f>HYPERLINK("https://my.zakupivli.pro/remote/dispatcher/state_purchase_view/59070654", "UA-2025-04-30-002643-a")</f>
        <v>UA-2025-04-30-002643-a</v>
      </c>
      <c r="Q1000" s="469">
        <v>161.79945000000001</v>
      </c>
      <c r="R1000" s="469">
        <v>1</v>
      </c>
      <c r="S1000" s="469">
        <v>161.79945000000001</v>
      </c>
      <c r="T1000" s="470">
        <v>45777</v>
      </c>
      <c r="U1000" s="469"/>
      <c r="V1000" s="469" t="s">
        <v>59</v>
      </c>
    </row>
    <row r="1001" spans="1:22" ht="62.4" x14ac:dyDescent="0.3">
      <c r="A1001" s="469">
        <v>995</v>
      </c>
      <c r="B1001" s="469" t="s">
        <v>40</v>
      </c>
      <c r="C1001" s="44" t="s">
        <v>884</v>
      </c>
      <c r="D1001" s="469"/>
      <c r="E1001" s="469" t="s">
        <v>20</v>
      </c>
      <c r="F1001" s="44" t="s">
        <v>2062</v>
      </c>
      <c r="G1001" s="469" t="s">
        <v>184</v>
      </c>
      <c r="H1001" s="469">
        <v>63.242350000000002</v>
      </c>
      <c r="I1001" s="469">
        <v>1</v>
      </c>
      <c r="J1001" s="469">
        <v>63.242350000000002</v>
      </c>
      <c r="K1001" s="469">
        <v>63.242350000000002</v>
      </c>
      <c r="L1001" s="469">
        <v>1</v>
      </c>
      <c r="M1001" s="469">
        <v>63.242350000000002</v>
      </c>
      <c r="N1001" s="6" t="s">
        <v>2064</v>
      </c>
      <c r="O1001" s="468">
        <v>45777</v>
      </c>
      <c r="P1001" s="33" t="str">
        <f>HYPERLINK("https://my.zakupivli.pro/remote/dispatcher/state_purchase_view/59069777", "UA-2025-04-30-002296-a")</f>
        <v>UA-2025-04-30-002296-a</v>
      </c>
      <c r="Q1001" s="469">
        <v>63.242350000000002</v>
      </c>
      <c r="R1001" s="469">
        <v>1</v>
      </c>
      <c r="S1001" s="469">
        <v>63.242350000000002</v>
      </c>
      <c r="T1001" s="470">
        <v>45777</v>
      </c>
      <c r="U1001" s="469"/>
      <c r="V1001" s="469" t="s">
        <v>59</v>
      </c>
    </row>
    <row r="1002" spans="1:22" ht="62.4" x14ac:dyDescent="0.3">
      <c r="A1002" s="471">
        <v>996</v>
      </c>
      <c r="B1002" s="471" t="s">
        <v>21</v>
      </c>
      <c r="C1002" s="44" t="s">
        <v>1117</v>
      </c>
      <c r="D1002" s="471"/>
      <c r="E1002" s="471" t="s">
        <v>75</v>
      </c>
      <c r="F1002" s="225" t="s">
        <v>2065</v>
      </c>
      <c r="G1002" s="471" t="s">
        <v>185</v>
      </c>
      <c r="H1002" s="471">
        <v>46.489150000000002</v>
      </c>
      <c r="I1002" s="471">
        <v>1</v>
      </c>
      <c r="J1002" s="471">
        <v>46.489150000000002</v>
      </c>
      <c r="K1002" s="471">
        <v>46.489150000000002</v>
      </c>
      <c r="L1002" s="471">
        <v>1</v>
      </c>
      <c r="M1002" s="471">
        <v>46.489150000000002</v>
      </c>
      <c r="N1002" s="6" t="s">
        <v>2066</v>
      </c>
      <c r="O1002" s="472">
        <v>45778</v>
      </c>
      <c r="P1002" s="33" t="str">
        <f>HYPERLINK("https://my.zakupivli.pro/remote/dispatcher/state_purchase_view/59095527", "UA-2025-05-01-001961-a")</f>
        <v>UA-2025-05-01-001961-a</v>
      </c>
      <c r="Q1002" s="471">
        <v>46.489150000000002</v>
      </c>
      <c r="R1002" s="471">
        <v>1</v>
      </c>
      <c r="S1002" s="471">
        <v>46.489150000000002</v>
      </c>
      <c r="T1002" s="472">
        <v>45778</v>
      </c>
      <c r="U1002" s="471"/>
      <c r="V1002" s="471" t="s">
        <v>59</v>
      </c>
    </row>
    <row r="1003" spans="1:22" ht="62.4" x14ac:dyDescent="0.3">
      <c r="A1003" s="471">
        <v>997</v>
      </c>
      <c r="B1003" s="471" t="s">
        <v>40</v>
      </c>
      <c r="C1003" s="41" t="s">
        <v>884</v>
      </c>
      <c r="D1003" s="471"/>
      <c r="E1003" s="471" t="s">
        <v>20</v>
      </c>
      <c r="F1003" s="44" t="s">
        <v>2067</v>
      </c>
      <c r="G1003" s="471" t="s">
        <v>184</v>
      </c>
      <c r="H1003" s="471">
        <v>124.88800999999999</v>
      </c>
      <c r="I1003" s="471">
        <v>1</v>
      </c>
      <c r="J1003" s="473">
        <v>124.88800999999999</v>
      </c>
      <c r="K1003" s="473">
        <v>124.88800999999999</v>
      </c>
      <c r="L1003" s="473">
        <v>1</v>
      </c>
      <c r="M1003" s="473">
        <v>124.88800999999999</v>
      </c>
      <c r="N1003" s="6" t="s">
        <v>2068</v>
      </c>
      <c r="O1003" s="472">
        <v>45779</v>
      </c>
      <c r="P1003" s="33" t="str">
        <f>HYPERLINK("https://my.zakupivli.pro/remote/dispatcher/state_purchase_view/59128871", "UA-2025-05-02-003008-a")</f>
        <v>UA-2025-05-02-003008-a</v>
      </c>
      <c r="Q1003" s="473">
        <v>124.88800999999999</v>
      </c>
      <c r="R1003" s="473">
        <v>1</v>
      </c>
      <c r="S1003" s="473">
        <v>124.88800999999999</v>
      </c>
      <c r="T1003" s="474">
        <v>45779</v>
      </c>
      <c r="U1003" s="471"/>
      <c r="V1003" s="473" t="s">
        <v>59</v>
      </c>
    </row>
    <row r="1004" spans="1:22" ht="62.4" x14ac:dyDescent="0.3">
      <c r="A1004" s="471">
        <v>998</v>
      </c>
      <c r="B1004" s="475" t="s">
        <v>40</v>
      </c>
      <c r="C1004" s="44" t="s">
        <v>73</v>
      </c>
      <c r="D1004" s="471"/>
      <c r="E1004" s="475" t="s">
        <v>75</v>
      </c>
      <c r="F1004" s="44" t="s">
        <v>2088</v>
      </c>
      <c r="G1004" s="475" t="s">
        <v>184</v>
      </c>
      <c r="H1004" s="471">
        <v>127.15831</v>
      </c>
      <c r="I1004" s="471">
        <v>1</v>
      </c>
      <c r="J1004" s="475">
        <v>127.15831</v>
      </c>
      <c r="K1004" s="475">
        <v>127.15831</v>
      </c>
      <c r="L1004" s="475">
        <v>1</v>
      </c>
      <c r="M1004" s="475">
        <v>127.15831</v>
      </c>
      <c r="N1004" s="6" t="s">
        <v>2097</v>
      </c>
      <c r="O1004" s="472">
        <v>45783</v>
      </c>
      <c r="P1004" s="122" t="str">
        <f>HYPERLINK("https://my.zakupivli.pro/remote/dispatcher/state_purchase_view/59214035", "UA-2025-05-06-012412-a")</f>
        <v>UA-2025-05-06-012412-a</v>
      </c>
      <c r="Q1004" s="475">
        <v>127.15831</v>
      </c>
      <c r="R1004" s="475">
        <v>1</v>
      </c>
      <c r="S1004" s="475">
        <v>127.15831</v>
      </c>
      <c r="T1004" s="476">
        <v>45783</v>
      </c>
      <c r="U1004" s="471"/>
      <c r="V1004" s="475" t="s">
        <v>59</v>
      </c>
    </row>
    <row r="1005" spans="1:22" ht="62.4" x14ac:dyDescent="0.3">
      <c r="A1005" s="471">
        <v>999</v>
      </c>
      <c r="B1005" s="475" t="s">
        <v>40</v>
      </c>
      <c r="C1005" s="44" t="s">
        <v>73</v>
      </c>
      <c r="D1005" s="471"/>
      <c r="E1005" s="475" t="s">
        <v>75</v>
      </c>
      <c r="F1005" s="44" t="s">
        <v>2089</v>
      </c>
      <c r="G1005" s="475" t="s">
        <v>184</v>
      </c>
      <c r="H1005" s="471">
        <v>137.45094</v>
      </c>
      <c r="I1005" s="471">
        <v>1</v>
      </c>
      <c r="J1005" s="475">
        <v>137.45094</v>
      </c>
      <c r="K1005" s="475">
        <v>137.45094</v>
      </c>
      <c r="L1005" s="475">
        <v>1</v>
      </c>
      <c r="M1005" s="475">
        <v>137.45094</v>
      </c>
      <c r="N1005" s="6" t="s">
        <v>2098</v>
      </c>
      <c r="O1005" s="476">
        <v>45783</v>
      </c>
      <c r="P1005" s="122" t="str">
        <f>HYPERLINK("https://my.zakupivli.pro/remote/dispatcher/state_purchase_view/59213415", "UA-2025-05-06-012147-a")</f>
        <v>UA-2025-05-06-012147-a</v>
      </c>
      <c r="Q1005" s="475">
        <v>137.45094</v>
      </c>
      <c r="R1005" s="475">
        <v>1</v>
      </c>
      <c r="S1005" s="475">
        <v>137.45094</v>
      </c>
      <c r="T1005" s="476">
        <v>45783</v>
      </c>
      <c r="U1005" s="471"/>
      <c r="V1005" s="475" t="s">
        <v>59</v>
      </c>
    </row>
    <row r="1006" spans="1:22" ht="62.4" x14ac:dyDescent="0.3">
      <c r="A1006" s="471">
        <v>1000</v>
      </c>
      <c r="B1006" s="475" t="s">
        <v>40</v>
      </c>
      <c r="C1006" s="44" t="s">
        <v>73</v>
      </c>
      <c r="D1006" s="471"/>
      <c r="E1006" s="475" t="s">
        <v>75</v>
      </c>
      <c r="F1006" s="44" t="s">
        <v>2090</v>
      </c>
      <c r="G1006" s="475" t="s">
        <v>184</v>
      </c>
      <c r="H1006" s="471">
        <v>150.7722</v>
      </c>
      <c r="I1006" s="471">
        <v>1</v>
      </c>
      <c r="J1006" s="475">
        <v>150.7722</v>
      </c>
      <c r="K1006" s="475">
        <v>150.7722</v>
      </c>
      <c r="L1006" s="475">
        <v>1</v>
      </c>
      <c r="M1006" s="475">
        <v>150.7722</v>
      </c>
      <c r="N1006" s="6" t="s">
        <v>2099</v>
      </c>
      <c r="O1006" s="476">
        <v>45783</v>
      </c>
      <c r="P1006" s="122" t="str">
        <f>HYPERLINK("https://my.zakupivli.pro/remote/dispatcher/state_purchase_view/59211123", "UA-2025-05-06-011060-a")</f>
        <v>UA-2025-05-06-011060-a</v>
      </c>
      <c r="Q1006" s="475">
        <v>150.7722</v>
      </c>
      <c r="R1006" s="475">
        <v>1</v>
      </c>
      <c r="S1006" s="475">
        <v>150.7722</v>
      </c>
      <c r="T1006" s="472">
        <v>45782</v>
      </c>
      <c r="U1006" s="471"/>
      <c r="V1006" s="475" t="s">
        <v>59</v>
      </c>
    </row>
    <row r="1007" spans="1:22" ht="62.4" x14ac:dyDescent="0.3">
      <c r="A1007" s="471">
        <v>1001</v>
      </c>
      <c r="B1007" s="475" t="s">
        <v>40</v>
      </c>
      <c r="C1007" s="44" t="s">
        <v>73</v>
      </c>
      <c r="D1007" s="471"/>
      <c r="E1007" s="475" t="s">
        <v>75</v>
      </c>
      <c r="F1007" s="44" t="s">
        <v>2091</v>
      </c>
      <c r="G1007" s="475" t="s">
        <v>184</v>
      </c>
      <c r="H1007" s="471">
        <v>165.38106999999999</v>
      </c>
      <c r="I1007" s="471">
        <v>1</v>
      </c>
      <c r="J1007" s="475">
        <v>165.38106999999999</v>
      </c>
      <c r="K1007" s="475">
        <v>165.38106999999999</v>
      </c>
      <c r="L1007" s="475">
        <v>1</v>
      </c>
      <c r="M1007" s="475">
        <v>165.38106999999999</v>
      </c>
      <c r="N1007" s="6" t="s">
        <v>2100</v>
      </c>
      <c r="O1007" s="476">
        <v>45783</v>
      </c>
      <c r="P1007" s="122" t="str">
        <f>HYPERLINK("https://my.zakupivli.pro/remote/dispatcher/state_purchase_view/59210268", "UA-2025-05-06-010641-a")</f>
        <v>UA-2025-05-06-010641-a</v>
      </c>
      <c r="Q1007" s="475">
        <v>165.38106999999999</v>
      </c>
      <c r="R1007" s="475">
        <v>1</v>
      </c>
      <c r="S1007" s="475">
        <v>165.38106999999999</v>
      </c>
      <c r="T1007" s="472">
        <v>45783</v>
      </c>
      <c r="U1007" s="471"/>
      <c r="V1007" s="475" t="s">
        <v>59</v>
      </c>
    </row>
    <row r="1008" spans="1:22" ht="62.4" x14ac:dyDescent="0.3">
      <c r="A1008" s="471">
        <v>1002</v>
      </c>
      <c r="B1008" s="475" t="s">
        <v>40</v>
      </c>
      <c r="C1008" s="44" t="s">
        <v>73</v>
      </c>
      <c r="D1008" s="471"/>
      <c r="E1008" s="475" t="s">
        <v>75</v>
      </c>
      <c r="F1008" s="44" t="s">
        <v>2092</v>
      </c>
      <c r="G1008" s="475" t="s">
        <v>184</v>
      </c>
      <c r="H1008" s="471">
        <v>213.58992000000001</v>
      </c>
      <c r="I1008" s="471">
        <v>1</v>
      </c>
      <c r="J1008" s="475">
        <v>213.58992000000001</v>
      </c>
      <c r="K1008" s="475">
        <v>213.58992000000001</v>
      </c>
      <c r="L1008" s="475">
        <v>1</v>
      </c>
      <c r="M1008" s="475">
        <v>213.58992000000001</v>
      </c>
      <c r="N1008" s="6" t="s">
        <v>2101</v>
      </c>
      <c r="O1008" s="476">
        <v>45783</v>
      </c>
      <c r="P1008" s="122" t="str">
        <f>HYPERLINK("https://my.zakupivli.pro/remote/dispatcher/state_purchase_view/59209475", "UA-2025-05-06-010317-a")</f>
        <v>UA-2025-05-06-010317-a</v>
      </c>
      <c r="Q1008" s="475">
        <v>213.58992000000001</v>
      </c>
      <c r="R1008" s="475">
        <v>1</v>
      </c>
      <c r="S1008" s="475">
        <v>213.58992000000001</v>
      </c>
      <c r="T1008" s="476">
        <v>45783</v>
      </c>
      <c r="U1008" s="471"/>
      <c r="V1008" s="475" t="s">
        <v>59</v>
      </c>
    </row>
    <row r="1009" spans="1:22" ht="62.4" x14ac:dyDescent="0.3">
      <c r="A1009" s="471">
        <v>1003</v>
      </c>
      <c r="B1009" s="475" t="s">
        <v>40</v>
      </c>
      <c r="C1009" s="44" t="s">
        <v>73</v>
      </c>
      <c r="D1009" s="471"/>
      <c r="E1009" s="475" t="s">
        <v>75</v>
      </c>
      <c r="F1009" s="44" t="s">
        <v>2093</v>
      </c>
      <c r="G1009" s="475" t="s">
        <v>184</v>
      </c>
      <c r="H1009" s="471">
        <v>128.78271000000001</v>
      </c>
      <c r="I1009" s="471">
        <v>1</v>
      </c>
      <c r="J1009" s="475">
        <v>128.78271000000001</v>
      </c>
      <c r="K1009" s="475">
        <v>128.78271000000001</v>
      </c>
      <c r="L1009" s="475">
        <v>1</v>
      </c>
      <c r="M1009" s="475">
        <v>128.78271000000001</v>
      </c>
      <c r="N1009" s="6" t="s">
        <v>2102</v>
      </c>
      <c r="O1009" s="476">
        <v>45783</v>
      </c>
      <c r="P1009" s="122" t="str">
        <f>HYPERLINK("https://my.zakupivli.pro/remote/dispatcher/state_purchase_view/59208249", "UA-2025-05-06-009792-a")</f>
        <v>UA-2025-05-06-009792-a</v>
      </c>
      <c r="Q1009" s="475">
        <v>128.78271000000001</v>
      </c>
      <c r="R1009" s="475">
        <v>1</v>
      </c>
      <c r="S1009" s="475">
        <v>128.78271000000001</v>
      </c>
      <c r="T1009" s="472">
        <v>45782</v>
      </c>
      <c r="U1009" s="471"/>
      <c r="V1009" s="475" t="s">
        <v>59</v>
      </c>
    </row>
    <row r="1010" spans="1:22" ht="62.4" x14ac:dyDescent="0.3">
      <c r="A1010" s="471">
        <v>1004</v>
      </c>
      <c r="B1010" s="475" t="s">
        <v>40</v>
      </c>
      <c r="C1010" s="44" t="s">
        <v>73</v>
      </c>
      <c r="D1010" s="471"/>
      <c r="E1010" s="475" t="s">
        <v>75</v>
      </c>
      <c r="F1010" s="44" t="s">
        <v>2094</v>
      </c>
      <c r="G1010" s="475" t="s">
        <v>184</v>
      </c>
      <c r="H1010" s="471">
        <v>120.53361</v>
      </c>
      <c r="I1010" s="471">
        <v>1</v>
      </c>
      <c r="J1010" s="475">
        <v>120.53361</v>
      </c>
      <c r="K1010" s="475">
        <v>120.53361</v>
      </c>
      <c r="L1010" s="475">
        <v>1</v>
      </c>
      <c r="M1010" s="475">
        <v>120.53361</v>
      </c>
      <c r="N1010" s="6" t="s">
        <v>2103</v>
      </c>
      <c r="O1010" s="476">
        <v>45783</v>
      </c>
      <c r="P1010" s="122" t="str">
        <f>HYPERLINK("https://my.zakupivli.pro/remote/dispatcher/state_purchase_view/59208246", "UA-2025-05-06-009789-a")</f>
        <v>UA-2025-05-06-009789-a</v>
      </c>
      <c r="Q1010" s="475">
        <v>120.53361</v>
      </c>
      <c r="R1010" s="475">
        <v>1</v>
      </c>
      <c r="S1010" s="475">
        <v>120.53361</v>
      </c>
      <c r="T1010" s="476">
        <v>45782</v>
      </c>
      <c r="U1010" s="471"/>
      <c r="V1010" s="475" t="s">
        <v>59</v>
      </c>
    </row>
    <row r="1011" spans="1:22" ht="62.4" x14ac:dyDescent="0.3">
      <c r="A1011" s="471">
        <v>1005</v>
      </c>
      <c r="B1011" s="475" t="s">
        <v>40</v>
      </c>
      <c r="C1011" s="44" t="s">
        <v>41</v>
      </c>
      <c r="D1011" s="471"/>
      <c r="E1011" s="475" t="s">
        <v>20</v>
      </c>
      <c r="F1011" s="44" t="s">
        <v>2095</v>
      </c>
      <c r="G1011" s="475" t="s">
        <v>184</v>
      </c>
      <c r="H1011" s="471">
        <v>130.94183000000001</v>
      </c>
      <c r="I1011" s="471">
        <v>1</v>
      </c>
      <c r="J1011" s="475">
        <v>130.94183000000001</v>
      </c>
      <c r="K1011" s="475">
        <v>130.94183000000001</v>
      </c>
      <c r="L1011" s="475">
        <v>1</v>
      </c>
      <c r="M1011" s="475">
        <v>130.94183000000001</v>
      </c>
      <c r="N1011" s="6" t="s">
        <v>2104</v>
      </c>
      <c r="O1011" s="476">
        <v>45783</v>
      </c>
      <c r="P1011" s="122" t="str">
        <f>HYPERLINK("https://my.zakupivli.pro/remote/dispatcher/state_purchase_view/59204270", "UA-2025-05-06-008012-a")</f>
        <v>UA-2025-05-06-008012-a</v>
      </c>
      <c r="Q1011" s="475">
        <v>130.94183000000001</v>
      </c>
      <c r="R1011" s="475">
        <v>1</v>
      </c>
      <c r="S1011" s="475">
        <v>130.94183000000001</v>
      </c>
      <c r="T1011" s="476">
        <v>45783</v>
      </c>
      <c r="U1011" s="471"/>
      <c r="V1011" s="475" t="s">
        <v>59</v>
      </c>
    </row>
    <row r="1012" spans="1:22" ht="62.4" x14ac:dyDescent="0.3">
      <c r="A1012" s="475">
        <v>1006</v>
      </c>
      <c r="B1012" s="475" t="s">
        <v>40</v>
      </c>
      <c r="C1012" s="44" t="s">
        <v>884</v>
      </c>
      <c r="D1012" s="475"/>
      <c r="E1012" s="475" t="s">
        <v>20</v>
      </c>
      <c r="F1012" s="44" t="s">
        <v>2096</v>
      </c>
      <c r="G1012" s="475" t="s">
        <v>184</v>
      </c>
      <c r="H1012" s="475">
        <v>203.98324</v>
      </c>
      <c r="I1012" s="475">
        <v>1</v>
      </c>
      <c r="J1012" s="475">
        <v>203.98324</v>
      </c>
      <c r="K1012" s="475">
        <v>203.98324</v>
      </c>
      <c r="L1012" s="475">
        <v>1</v>
      </c>
      <c r="M1012" s="475">
        <v>203.98324</v>
      </c>
      <c r="N1012" s="6" t="s">
        <v>2105</v>
      </c>
      <c r="O1012" s="476">
        <v>45783</v>
      </c>
      <c r="P1012" s="122" t="str">
        <f>HYPERLINK("https://my.zakupivli.pro/remote/dispatcher/state_purchase_view/59203411", "UA-2025-05-06-007587-a")</f>
        <v>UA-2025-05-06-007587-a</v>
      </c>
      <c r="Q1012" s="475">
        <v>203.98324</v>
      </c>
      <c r="R1012" s="475">
        <v>1</v>
      </c>
      <c r="S1012" s="475">
        <v>203.98324</v>
      </c>
      <c r="T1012" s="476">
        <v>45783</v>
      </c>
      <c r="U1012" s="475"/>
      <c r="V1012" s="475" t="s">
        <v>59</v>
      </c>
    </row>
    <row r="1013" spans="1:22" ht="62.4" x14ac:dyDescent="0.3">
      <c r="A1013" s="478">
        <v>1007</v>
      </c>
      <c r="B1013" s="478" t="s">
        <v>40</v>
      </c>
      <c r="C1013" s="44" t="s">
        <v>73</v>
      </c>
      <c r="D1013" s="478"/>
      <c r="E1013" s="478" t="s">
        <v>75</v>
      </c>
      <c r="F1013" s="44" t="s">
        <v>2106</v>
      </c>
      <c r="G1013" s="478" t="s">
        <v>184</v>
      </c>
      <c r="H1013" s="478">
        <v>307.41726</v>
      </c>
      <c r="I1013" s="478">
        <v>1</v>
      </c>
      <c r="J1013" s="478">
        <v>307.41726</v>
      </c>
      <c r="K1013" s="478">
        <v>307.41726</v>
      </c>
      <c r="L1013" s="478">
        <v>1</v>
      </c>
      <c r="M1013" s="478">
        <v>307.41726</v>
      </c>
      <c r="N1013" s="6" t="s">
        <v>2107</v>
      </c>
      <c r="O1013" s="479">
        <v>45784</v>
      </c>
      <c r="P1013" s="33" t="str">
        <f>HYPERLINK("https://my.zakupivli.pro/remote/dispatcher/state_purchase_view/59253985", "UA-2025-05-07-007781-a")</f>
        <v>UA-2025-05-07-007781-a</v>
      </c>
      <c r="Q1013" s="478">
        <v>307.41726</v>
      </c>
      <c r="R1013" s="478">
        <v>1</v>
      </c>
      <c r="S1013" s="478">
        <v>307.41726</v>
      </c>
      <c r="T1013" s="479">
        <v>45784</v>
      </c>
      <c r="U1013" s="478"/>
      <c r="V1013" s="478" t="s">
        <v>59</v>
      </c>
    </row>
    <row r="1014" spans="1:22" ht="62.4" x14ac:dyDescent="0.3">
      <c r="A1014" s="481">
        <v>1008</v>
      </c>
      <c r="B1014" s="481" t="s">
        <v>40</v>
      </c>
      <c r="C1014" s="44" t="s">
        <v>884</v>
      </c>
      <c r="D1014" s="481"/>
      <c r="E1014" s="481" t="s">
        <v>20</v>
      </c>
      <c r="F1014" s="44" t="s">
        <v>2108</v>
      </c>
      <c r="G1014" s="481" t="s">
        <v>184</v>
      </c>
      <c r="H1014" s="481">
        <v>308.91014000000001</v>
      </c>
      <c r="I1014" s="481">
        <v>1</v>
      </c>
      <c r="J1014" s="481">
        <v>308.91014000000001</v>
      </c>
      <c r="K1014" s="481">
        <v>308.91014000000001</v>
      </c>
      <c r="L1014" s="481">
        <v>1</v>
      </c>
      <c r="M1014" s="481">
        <v>308.91014000000001</v>
      </c>
      <c r="N1014" s="6" t="s">
        <v>2112</v>
      </c>
      <c r="O1014" s="480">
        <v>45785</v>
      </c>
      <c r="P1014" s="33" t="str">
        <f>HYPERLINK("https://my.zakupivli.pro/remote/dispatcher/state_purchase_view/59272383", "UA-2025-05-08-001478-a")</f>
        <v>UA-2025-05-08-001478-a</v>
      </c>
      <c r="Q1014" s="481">
        <v>308.91014000000001</v>
      </c>
      <c r="R1014" s="481">
        <v>1</v>
      </c>
      <c r="S1014" s="481">
        <v>308.91014000000001</v>
      </c>
      <c r="T1014" s="480">
        <v>45784</v>
      </c>
      <c r="U1014" s="481"/>
      <c r="V1014" s="481" t="s">
        <v>59</v>
      </c>
    </row>
    <row r="1015" spans="1:22" ht="62.4" x14ac:dyDescent="0.3">
      <c r="A1015" s="481">
        <v>1009</v>
      </c>
      <c r="B1015" s="481" t="s">
        <v>40</v>
      </c>
      <c r="C1015" s="44" t="s">
        <v>41</v>
      </c>
      <c r="D1015" s="481"/>
      <c r="E1015" s="481" t="s">
        <v>20</v>
      </c>
      <c r="F1015" s="44" t="s">
        <v>2109</v>
      </c>
      <c r="G1015" s="481" t="s">
        <v>184</v>
      </c>
      <c r="H1015" s="481">
        <v>87.890124999999998</v>
      </c>
      <c r="I1015" s="481">
        <v>1</v>
      </c>
      <c r="J1015" s="481">
        <v>87.890124999999998</v>
      </c>
      <c r="K1015" s="481">
        <v>87.890124999999998</v>
      </c>
      <c r="L1015" s="481">
        <v>1</v>
      </c>
      <c r="M1015" s="481">
        <v>87.890124999999998</v>
      </c>
      <c r="N1015" s="6" t="s">
        <v>2113</v>
      </c>
      <c r="O1015" s="480">
        <v>45785</v>
      </c>
      <c r="P1015" s="33" t="str">
        <f>HYPERLINK("https://my.zakupivli.pro/remote/dispatcher/state_purchase_view/59272094", "UA-2025-05-08-001289-a")</f>
        <v>UA-2025-05-08-001289-a</v>
      </c>
      <c r="Q1015" s="481">
        <v>87.890124999999998</v>
      </c>
      <c r="R1015" s="481">
        <v>1</v>
      </c>
      <c r="S1015" s="481">
        <v>87.890124999999998</v>
      </c>
      <c r="T1015" s="480">
        <v>45784</v>
      </c>
      <c r="U1015" s="481"/>
      <c r="V1015" s="481" t="s">
        <v>59</v>
      </c>
    </row>
    <row r="1016" spans="1:22" ht="62.4" x14ac:dyDescent="0.3">
      <c r="A1016" s="481">
        <v>1010</v>
      </c>
      <c r="B1016" s="481" t="s">
        <v>40</v>
      </c>
      <c r="C1016" s="44" t="s">
        <v>884</v>
      </c>
      <c r="D1016" s="481"/>
      <c r="E1016" s="481" t="s">
        <v>20</v>
      </c>
      <c r="F1016" s="44" t="s">
        <v>2110</v>
      </c>
      <c r="G1016" s="481" t="s">
        <v>184</v>
      </c>
      <c r="H1016" s="481">
        <v>228.11002999999999</v>
      </c>
      <c r="I1016" s="481">
        <v>1</v>
      </c>
      <c r="J1016" s="481">
        <v>228.11002999999999</v>
      </c>
      <c r="K1016" s="481">
        <v>228.11002999999999</v>
      </c>
      <c r="L1016" s="481">
        <v>1</v>
      </c>
      <c r="M1016" s="481">
        <v>228.11002999999999</v>
      </c>
      <c r="N1016" s="6" t="s">
        <v>2114</v>
      </c>
      <c r="O1016" s="480">
        <v>45785</v>
      </c>
      <c r="P1016" s="33" t="str">
        <f>HYPERLINK("https://my.zakupivli.pro/remote/dispatcher/state_purchase_view/59271749", "UA-2025-05-08-001179-a")</f>
        <v>UA-2025-05-08-001179-a</v>
      </c>
      <c r="Q1016" s="481">
        <v>228.11002999999999</v>
      </c>
      <c r="R1016" s="481">
        <v>1</v>
      </c>
      <c r="S1016" s="481">
        <v>228.11002999999999</v>
      </c>
      <c r="T1016" s="480">
        <v>45784</v>
      </c>
      <c r="U1016" s="481"/>
      <c r="V1016" s="481" t="s">
        <v>59</v>
      </c>
    </row>
    <row r="1017" spans="1:22" ht="62.4" x14ac:dyDescent="0.3">
      <c r="A1017" s="481">
        <v>1011</v>
      </c>
      <c r="B1017" s="481" t="s">
        <v>40</v>
      </c>
      <c r="C1017" s="44" t="s">
        <v>41</v>
      </c>
      <c r="D1017" s="481"/>
      <c r="E1017" s="481" t="s">
        <v>20</v>
      </c>
      <c r="F1017" s="44" t="s">
        <v>2111</v>
      </c>
      <c r="G1017" s="481" t="s">
        <v>184</v>
      </c>
      <c r="H1017" s="481">
        <v>234.77054999999999</v>
      </c>
      <c r="I1017" s="481">
        <v>1</v>
      </c>
      <c r="J1017" s="481">
        <v>234.77054999999999</v>
      </c>
      <c r="K1017" s="481">
        <v>234.77054999999999</v>
      </c>
      <c r="L1017" s="481">
        <v>1</v>
      </c>
      <c r="M1017" s="481">
        <v>234.77054999999999</v>
      </c>
      <c r="N1017" s="6" t="s">
        <v>2115</v>
      </c>
      <c r="O1017" s="480">
        <v>45785</v>
      </c>
      <c r="P1017" s="33" t="str">
        <f>HYPERLINK("https://my.zakupivli.pro/remote/dispatcher/state_purchase_view/59271695", "UA-2025-05-08-001145-a")</f>
        <v>UA-2025-05-08-001145-a</v>
      </c>
      <c r="Q1017" s="481">
        <v>234.77054999999999</v>
      </c>
      <c r="R1017" s="481">
        <v>1</v>
      </c>
      <c r="S1017" s="481">
        <v>234.77054999999999</v>
      </c>
      <c r="T1017" s="480">
        <v>45784</v>
      </c>
      <c r="U1017" s="481"/>
      <c r="V1017" s="481" t="s">
        <v>59</v>
      </c>
    </row>
    <row r="1018" spans="1:22" ht="62.4" x14ac:dyDescent="0.3">
      <c r="A1018" s="481">
        <v>1012</v>
      </c>
      <c r="B1018" s="482" t="s">
        <v>40</v>
      </c>
      <c r="C1018" s="44" t="s">
        <v>1248</v>
      </c>
      <c r="D1018" s="481"/>
      <c r="E1018" s="482" t="s">
        <v>75</v>
      </c>
      <c r="F1018" s="44" t="s">
        <v>2120</v>
      </c>
      <c r="G1018" s="482" t="s">
        <v>184</v>
      </c>
      <c r="H1018" s="481">
        <v>233.70140000000001</v>
      </c>
      <c r="I1018" s="481">
        <v>1</v>
      </c>
      <c r="J1018" s="482">
        <v>233.70140000000001</v>
      </c>
      <c r="K1018" s="482">
        <v>233.70140000000001</v>
      </c>
      <c r="L1018" s="482">
        <v>1</v>
      </c>
      <c r="M1018" s="482">
        <v>233.70140000000001</v>
      </c>
      <c r="N1018" s="6" t="s">
        <v>2121</v>
      </c>
      <c r="O1018" s="480">
        <v>45786</v>
      </c>
      <c r="P1018" s="33" t="str">
        <f>HYPERLINK("https://my.zakupivli.pro/remote/dispatcher/state_purchase_view/59328070", "UA-2025-05-09-011607-a")</f>
        <v>UA-2025-05-09-011607-a</v>
      </c>
      <c r="Q1018" s="482">
        <v>233.70140000000001</v>
      </c>
      <c r="R1018" s="482">
        <v>1</v>
      </c>
      <c r="S1018" s="482">
        <v>233.70140000000001</v>
      </c>
      <c r="T1018" s="480">
        <v>45785</v>
      </c>
      <c r="U1018" s="481"/>
      <c r="V1018" s="482" t="s">
        <v>59</v>
      </c>
    </row>
    <row r="1019" spans="1:22" ht="62.4" x14ac:dyDescent="0.3">
      <c r="A1019" s="481">
        <v>1013</v>
      </c>
      <c r="B1019" s="483" t="s">
        <v>40</v>
      </c>
      <c r="C1019" s="44" t="s">
        <v>884</v>
      </c>
      <c r="D1019" s="481"/>
      <c r="E1019" s="483" t="s">
        <v>20</v>
      </c>
      <c r="F1019" s="44" t="s">
        <v>2122</v>
      </c>
      <c r="G1019" s="481" t="s">
        <v>184</v>
      </c>
      <c r="H1019" s="481">
        <v>74.87321</v>
      </c>
      <c r="I1019" s="481">
        <v>1</v>
      </c>
      <c r="J1019" s="483">
        <v>74.87321</v>
      </c>
      <c r="K1019" s="483">
        <v>74.87321</v>
      </c>
      <c r="L1019" s="483">
        <v>1</v>
      </c>
      <c r="M1019" s="483">
        <v>74.87321</v>
      </c>
      <c r="N1019" s="6" t="s">
        <v>2125</v>
      </c>
      <c r="O1019" s="480">
        <v>45789</v>
      </c>
      <c r="P1019" s="33" t="str">
        <f>HYPERLINK("https://my.zakupivli.pro/remote/dispatcher/state_purchase_view/59361203", "UA-2025-05-12-011976-a")</f>
        <v>UA-2025-05-12-011976-a</v>
      </c>
      <c r="Q1019" s="483">
        <v>74.87321</v>
      </c>
      <c r="R1019" s="483">
        <v>1</v>
      </c>
      <c r="S1019" s="483">
        <v>74.87321</v>
      </c>
      <c r="T1019" s="484">
        <v>45789</v>
      </c>
      <c r="U1019" s="481"/>
      <c r="V1019" s="483" t="s">
        <v>59</v>
      </c>
    </row>
    <row r="1020" spans="1:22" ht="62.4" x14ac:dyDescent="0.3">
      <c r="A1020" s="481">
        <v>1014</v>
      </c>
      <c r="B1020" s="483" t="s">
        <v>40</v>
      </c>
      <c r="C1020" s="44" t="s">
        <v>884</v>
      </c>
      <c r="D1020" s="481"/>
      <c r="E1020" s="483" t="s">
        <v>20</v>
      </c>
      <c r="F1020" s="44" t="s">
        <v>2123</v>
      </c>
      <c r="G1020" s="481" t="s">
        <v>184</v>
      </c>
      <c r="H1020" s="481">
        <v>289.86410999999998</v>
      </c>
      <c r="I1020" s="481">
        <v>1</v>
      </c>
      <c r="J1020" s="483">
        <v>289.86410999999998</v>
      </c>
      <c r="K1020" s="483">
        <v>289.86410999999998</v>
      </c>
      <c r="L1020" s="483">
        <v>1</v>
      </c>
      <c r="M1020" s="483">
        <v>289.86410999999998</v>
      </c>
      <c r="N1020" s="6" t="s">
        <v>2126</v>
      </c>
      <c r="O1020" s="484">
        <v>45789</v>
      </c>
      <c r="P1020" s="33" t="str">
        <f>HYPERLINK("https://my.zakupivli.pro/remote/dispatcher/state_purchase_view/59361064", "UA-2025-05-12-011885-a")</f>
        <v>UA-2025-05-12-011885-a</v>
      </c>
      <c r="Q1020" s="483">
        <v>289.86410999999998</v>
      </c>
      <c r="R1020" s="483">
        <v>1</v>
      </c>
      <c r="S1020" s="483">
        <v>289.86410999999998</v>
      </c>
      <c r="T1020" s="484">
        <v>45789</v>
      </c>
      <c r="U1020" s="481"/>
      <c r="V1020" s="483" t="s">
        <v>59</v>
      </c>
    </row>
    <row r="1021" spans="1:22" ht="62.4" x14ac:dyDescent="0.3">
      <c r="A1021" s="481">
        <v>1015</v>
      </c>
      <c r="B1021" s="483" t="s">
        <v>40</v>
      </c>
      <c r="C1021" s="44" t="s">
        <v>884</v>
      </c>
      <c r="D1021" s="481"/>
      <c r="E1021" s="483" t="s">
        <v>20</v>
      </c>
      <c r="F1021" s="44" t="s">
        <v>2124</v>
      </c>
      <c r="G1021" s="481" t="s">
        <v>184</v>
      </c>
      <c r="H1021" s="481">
        <v>311.78775000000002</v>
      </c>
      <c r="I1021" s="481">
        <v>1</v>
      </c>
      <c r="J1021" s="483">
        <v>311.78775000000002</v>
      </c>
      <c r="K1021" s="483">
        <v>311.78775000000002</v>
      </c>
      <c r="L1021" s="483">
        <v>1</v>
      </c>
      <c r="M1021" s="483">
        <v>311.78775000000002</v>
      </c>
      <c r="N1021" s="6" t="s">
        <v>2127</v>
      </c>
      <c r="O1021" s="484">
        <v>45789</v>
      </c>
      <c r="P1021" s="33" t="str">
        <f>HYPERLINK("https://my.zakupivli.pro/remote/dispatcher/state_purchase_view/59354476", "UA-2025-05-12-008899-a")</f>
        <v>UA-2025-05-12-008899-a</v>
      </c>
      <c r="Q1021" s="483">
        <v>311.78775000000002</v>
      </c>
      <c r="R1021" s="483">
        <v>1</v>
      </c>
      <c r="S1021" s="483">
        <v>311.78775000000002</v>
      </c>
      <c r="T1021" s="484">
        <v>45789</v>
      </c>
      <c r="U1021" s="481"/>
      <c r="V1021" s="483" t="s">
        <v>59</v>
      </c>
    </row>
    <row r="1022" spans="1:22" ht="43.2" x14ac:dyDescent="0.3">
      <c r="A1022" s="481">
        <v>1016</v>
      </c>
      <c r="B1022" s="481" t="s">
        <v>21</v>
      </c>
      <c r="C1022" s="44" t="s">
        <v>1163</v>
      </c>
      <c r="D1022" s="481"/>
      <c r="E1022" s="485" t="s">
        <v>75</v>
      </c>
      <c r="F1022" s="44" t="s">
        <v>2128</v>
      </c>
      <c r="G1022" s="481" t="s">
        <v>185</v>
      </c>
      <c r="H1022" s="481"/>
      <c r="I1022" s="481">
        <v>924</v>
      </c>
      <c r="J1022" s="481">
        <v>135.83332999999999</v>
      </c>
      <c r="K1022" s="481"/>
      <c r="L1022" s="485">
        <v>924</v>
      </c>
      <c r="M1022" s="485">
        <v>135.83332999999999</v>
      </c>
      <c r="N1022" s="6" t="s">
        <v>2130</v>
      </c>
      <c r="O1022" s="480">
        <v>45790</v>
      </c>
      <c r="P1022" s="33" t="str">
        <f>HYPERLINK("https://my.zakupivli.pro/remote/dispatcher/state_purchase_view/59372454", "UA-2025-05-13-002429-a")</f>
        <v>UA-2025-05-13-002429-a</v>
      </c>
      <c r="Q1022" s="448"/>
      <c r="R1022" s="448">
        <v>924</v>
      </c>
      <c r="S1022" s="448">
        <v>131.85480000000001</v>
      </c>
      <c r="T1022" s="443">
        <v>45804</v>
      </c>
      <c r="U1022" s="481"/>
      <c r="V1022" s="481"/>
    </row>
    <row r="1023" spans="1:22" ht="43.2" x14ac:dyDescent="0.3">
      <c r="A1023" s="481">
        <v>1017</v>
      </c>
      <c r="B1023" s="481" t="s">
        <v>21</v>
      </c>
      <c r="C1023" s="44" t="s">
        <v>1163</v>
      </c>
      <c r="D1023" s="481"/>
      <c r="E1023" s="485" t="s">
        <v>75</v>
      </c>
      <c r="F1023" s="44" t="s">
        <v>2129</v>
      </c>
      <c r="G1023" s="481" t="s">
        <v>185</v>
      </c>
      <c r="H1023" s="481"/>
      <c r="I1023" s="481">
        <v>573</v>
      </c>
      <c r="J1023" s="481">
        <v>263.09199999999998</v>
      </c>
      <c r="K1023" s="481"/>
      <c r="L1023" s="485">
        <v>573</v>
      </c>
      <c r="M1023" s="485">
        <v>263.09199999999998</v>
      </c>
      <c r="N1023" s="6" t="s">
        <v>2131</v>
      </c>
      <c r="O1023" s="486">
        <v>45790</v>
      </c>
      <c r="P1023" s="33" t="str">
        <f>HYPERLINK("https://my.zakupivli.pro/remote/dispatcher/state_purchase_view/59372454", "UA-2025-05-13-002429-a")</f>
        <v>UA-2025-05-13-002429-a</v>
      </c>
      <c r="Q1023" s="448"/>
      <c r="R1023" s="448">
        <v>573</v>
      </c>
      <c r="S1023" s="448">
        <v>238.84970000000001</v>
      </c>
      <c r="T1023" s="443">
        <v>45804</v>
      </c>
      <c r="U1023" s="481"/>
      <c r="V1023" s="481"/>
    </row>
    <row r="1024" spans="1:22" ht="78" x14ac:dyDescent="0.3">
      <c r="A1024" s="481">
        <v>1018</v>
      </c>
      <c r="B1024" s="488" t="s">
        <v>40</v>
      </c>
      <c r="C1024" s="44" t="s">
        <v>884</v>
      </c>
      <c r="D1024" s="481"/>
      <c r="E1024" s="488" t="s">
        <v>20</v>
      </c>
      <c r="F1024" s="44" t="s">
        <v>2132</v>
      </c>
      <c r="G1024" s="488" t="s">
        <v>184</v>
      </c>
      <c r="H1024" s="481">
        <v>157.30072999999999</v>
      </c>
      <c r="I1024" s="481">
        <v>1</v>
      </c>
      <c r="J1024" s="488">
        <v>157.30072999999999</v>
      </c>
      <c r="K1024" s="488">
        <v>157.30072999999999</v>
      </c>
      <c r="L1024" s="488">
        <v>1</v>
      </c>
      <c r="M1024" s="488">
        <v>157.30072999999999</v>
      </c>
      <c r="N1024" s="6" t="s">
        <v>2135</v>
      </c>
      <c r="O1024" s="480">
        <v>45793</v>
      </c>
      <c r="P1024" s="33" t="str">
        <f>HYPERLINK("https://my.zakupivli.pro/remote/dispatcher/state_purchase_view/59464900", "UA-2025-05-16-000275-a")</f>
        <v>UA-2025-05-16-000275-a</v>
      </c>
      <c r="Q1024" s="488">
        <v>157.30072999999999</v>
      </c>
      <c r="R1024" s="488">
        <v>1</v>
      </c>
      <c r="S1024" s="488">
        <v>157.30072999999999</v>
      </c>
      <c r="T1024" s="480">
        <v>45792</v>
      </c>
      <c r="U1024" s="481"/>
      <c r="V1024" s="488" t="s">
        <v>59</v>
      </c>
    </row>
    <row r="1025" spans="1:22" ht="62.4" x14ac:dyDescent="0.3">
      <c r="A1025" s="488">
        <v>1019</v>
      </c>
      <c r="B1025" s="488" t="s">
        <v>40</v>
      </c>
      <c r="C1025" s="44" t="s">
        <v>884</v>
      </c>
      <c r="D1025" s="488"/>
      <c r="E1025" s="488" t="s">
        <v>20</v>
      </c>
      <c r="F1025" s="44" t="s">
        <v>2133</v>
      </c>
      <c r="G1025" s="488" t="s">
        <v>184</v>
      </c>
      <c r="H1025" s="488">
        <v>777.36433999999997</v>
      </c>
      <c r="I1025" s="488">
        <v>1</v>
      </c>
      <c r="J1025" s="488">
        <v>777.36433999999997</v>
      </c>
      <c r="K1025" s="488">
        <v>777.36433999999997</v>
      </c>
      <c r="L1025" s="488">
        <v>1</v>
      </c>
      <c r="M1025" s="488">
        <v>777.36433999999997</v>
      </c>
      <c r="N1025" s="6" t="s">
        <v>2136</v>
      </c>
      <c r="O1025" s="487">
        <v>45793</v>
      </c>
      <c r="P1025" s="33" t="str">
        <f>HYPERLINK("https://my.zakupivli.pro/remote/dispatcher/state_purchase_view/59464876", "UA-2025-05-16-000256-a")</f>
        <v>UA-2025-05-16-000256-a</v>
      </c>
      <c r="Q1025" s="488">
        <v>777.36433999999997</v>
      </c>
      <c r="R1025" s="488">
        <v>1</v>
      </c>
      <c r="S1025" s="488">
        <v>777.36433999999997</v>
      </c>
      <c r="T1025" s="487">
        <v>45792</v>
      </c>
      <c r="U1025" s="488"/>
      <c r="V1025" s="488" t="s">
        <v>59</v>
      </c>
    </row>
    <row r="1026" spans="1:22" ht="62.4" x14ac:dyDescent="0.3">
      <c r="A1026" s="488">
        <v>1020</v>
      </c>
      <c r="B1026" s="488" t="s">
        <v>40</v>
      </c>
      <c r="C1026" s="44" t="s">
        <v>41</v>
      </c>
      <c r="D1026" s="488"/>
      <c r="E1026" s="488" t="s">
        <v>20</v>
      </c>
      <c r="F1026" s="44" t="s">
        <v>2134</v>
      </c>
      <c r="G1026" s="488" t="s">
        <v>184</v>
      </c>
      <c r="H1026" s="488">
        <v>402.67865</v>
      </c>
      <c r="I1026" s="488">
        <v>1</v>
      </c>
      <c r="J1026" s="488">
        <v>402.67865</v>
      </c>
      <c r="K1026" s="488">
        <v>402.67865</v>
      </c>
      <c r="L1026" s="488">
        <v>1</v>
      </c>
      <c r="M1026" s="488">
        <v>402.67865</v>
      </c>
      <c r="N1026" s="6" t="s">
        <v>2137</v>
      </c>
      <c r="O1026" s="487">
        <v>45793</v>
      </c>
      <c r="P1026" s="33" t="str">
        <f>HYPERLINK("https://my.zakupivli.pro/remote/dispatcher/state_purchase_view/59464736", "UA-2025-05-16-000205-a")</f>
        <v>UA-2025-05-16-000205-a</v>
      </c>
      <c r="Q1026" s="488">
        <v>402.67865</v>
      </c>
      <c r="R1026" s="488">
        <v>1</v>
      </c>
      <c r="S1026" s="488">
        <v>402.67865</v>
      </c>
      <c r="T1026" s="487">
        <v>45792</v>
      </c>
      <c r="U1026" s="488"/>
      <c r="V1026" s="488" t="s">
        <v>59</v>
      </c>
    </row>
    <row r="1027" spans="1:22" ht="62.4" x14ac:dyDescent="0.3">
      <c r="A1027" s="489">
        <v>1021</v>
      </c>
      <c r="B1027" s="489" t="s">
        <v>40</v>
      </c>
      <c r="C1027" s="44" t="s">
        <v>73</v>
      </c>
      <c r="D1027" s="489"/>
      <c r="E1027" s="489" t="s">
        <v>75</v>
      </c>
      <c r="F1027" s="44" t="s">
        <v>2138</v>
      </c>
      <c r="G1027" s="489" t="s">
        <v>184</v>
      </c>
      <c r="H1027" s="489">
        <v>95.526079999999993</v>
      </c>
      <c r="I1027" s="489">
        <v>1</v>
      </c>
      <c r="J1027" s="489">
        <v>95.526079999999993</v>
      </c>
      <c r="K1027" s="489">
        <v>95.526079999999993</v>
      </c>
      <c r="L1027" s="489">
        <v>1</v>
      </c>
      <c r="M1027" s="489">
        <v>95.526079999999993</v>
      </c>
      <c r="N1027" s="6" t="s">
        <v>2139</v>
      </c>
      <c r="O1027" s="490">
        <v>45796</v>
      </c>
      <c r="P1027" s="33" t="str">
        <f>HYPERLINK("https://my.zakupivli.pro/remote/dispatcher/state_purchase_view/59518976", "UA-2025-05-19-012608-a")</f>
        <v>UA-2025-05-19-012608-a</v>
      </c>
      <c r="Q1027" s="489">
        <v>95.526079999999993</v>
      </c>
      <c r="R1027" s="489">
        <v>1</v>
      </c>
      <c r="S1027" s="489">
        <v>95.526079999999993</v>
      </c>
      <c r="T1027" s="490">
        <v>45796</v>
      </c>
      <c r="U1027" s="489"/>
      <c r="V1027" s="489" t="s">
        <v>59</v>
      </c>
    </row>
    <row r="1028" spans="1:22" ht="46.8" x14ac:dyDescent="0.3">
      <c r="A1028" s="491">
        <v>1022</v>
      </c>
      <c r="B1028" s="491" t="s">
        <v>21</v>
      </c>
      <c r="C1028" s="44" t="s">
        <v>894</v>
      </c>
      <c r="D1028" s="491"/>
      <c r="E1028" s="491" t="s">
        <v>75</v>
      </c>
      <c r="F1028" s="44" t="s">
        <v>2140</v>
      </c>
      <c r="G1028" s="491" t="s">
        <v>185</v>
      </c>
      <c r="H1028" s="491"/>
      <c r="I1028" s="491">
        <v>9</v>
      </c>
      <c r="J1028" s="119">
        <v>148.5</v>
      </c>
      <c r="K1028" s="491"/>
      <c r="L1028" s="491">
        <v>9</v>
      </c>
      <c r="M1028" s="119">
        <v>148.5</v>
      </c>
      <c r="N1028" s="6" t="s">
        <v>2143</v>
      </c>
      <c r="O1028" s="492">
        <v>45797</v>
      </c>
      <c r="P1028" s="33" t="str">
        <f>HYPERLINK("https://my.zakupivli.pro/remote/dispatcher/state_purchase_view/59543384", "UA-2025-05-20-009372-a")</f>
        <v>UA-2025-05-20-009372-a</v>
      </c>
      <c r="Q1028" s="517"/>
      <c r="R1028" s="517">
        <v>9</v>
      </c>
      <c r="S1028" s="119">
        <v>148.5</v>
      </c>
      <c r="T1028" s="518">
        <v>45819</v>
      </c>
      <c r="U1028" s="491"/>
      <c r="V1028" s="491"/>
    </row>
    <row r="1029" spans="1:22" ht="62.4" x14ac:dyDescent="0.3">
      <c r="A1029" s="491">
        <v>1023</v>
      </c>
      <c r="B1029" s="491" t="s">
        <v>40</v>
      </c>
      <c r="C1029" s="44" t="s">
        <v>884</v>
      </c>
      <c r="D1029" s="491"/>
      <c r="E1029" s="491" t="s">
        <v>20</v>
      </c>
      <c r="F1029" s="44" t="s">
        <v>2141</v>
      </c>
      <c r="G1029" s="491" t="s">
        <v>184</v>
      </c>
      <c r="H1029" s="491"/>
      <c r="I1029" s="491">
        <v>1</v>
      </c>
      <c r="J1029" s="491">
        <v>438.27614</v>
      </c>
      <c r="K1029" s="491"/>
      <c r="L1029" s="491">
        <v>1</v>
      </c>
      <c r="M1029" s="491">
        <v>438.27614</v>
      </c>
      <c r="N1029" s="6" t="s">
        <v>2144</v>
      </c>
      <c r="O1029" s="492">
        <v>45797</v>
      </c>
      <c r="P1029" s="33" t="str">
        <f>HYPERLINK("https://my.zakupivli.pro/remote/dispatcher/state_purchase_view/59526001", "UA-2025-05-20-001567-a")</f>
        <v>UA-2025-05-20-001567-a</v>
      </c>
      <c r="Q1029" s="491"/>
      <c r="R1029" s="491">
        <v>1</v>
      </c>
      <c r="S1029" s="491">
        <v>438.27614</v>
      </c>
      <c r="T1029" s="492">
        <v>45796</v>
      </c>
      <c r="U1029" s="491"/>
      <c r="V1029" s="491" t="s">
        <v>59</v>
      </c>
    </row>
    <row r="1030" spans="1:22" ht="62.4" x14ac:dyDescent="0.3">
      <c r="A1030" s="491">
        <v>1024</v>
      </c>
      <c r="B1030" s="491" t="s">
        <v>40</v>
      </c>
      <c r="C1030" s="44" t="s">
        <v>884</v>
      </c>
      <c r="D1030" s="491"/>
      <c r="E1030" s="491" t="s">
        <v>20</v>
      </c>
      <c r="F1030" s="44" t="s">
        <v>2142</v>
      </c>
      <c r="G1030" s="491" t="s">
        <v>184</v>
      </c>
      <c r="H1030" s="491"/>
      <c r="I1030" s="491">
        <v>1</v>
      </c>
      <c r="J1030" s="491">
        <v>301.57130000000001</v>
      </c>
      <c r="K1030" s="491"/>
      <c r="L1030" s="491">
        <v>1</v>
      </c>
      <c r="M1030" s="491">
        <v>301.57130000000001</v>
      </c>
      <c r="N1030" s="6" t="s">
        <v>2145</v>
      </c>
      <c r="O1030" s="492">
        <v>45797</v>
      </c>
      <c r="P1030" s="33" t="str">
        <f>HYPERLINK("https://my.zakupivli.pro/remote/dispatcher/state_purchase_view/59525958", "UA-2025-05-20-001540-a")</f>
        <v>UA-2025-05-20-001540-a</v>
      </c>
      <c r="Q1030" s="491"/>
      <c r="R1030" s="491">
        <v>1</v>
      </c>
      <c r="S1030" s="491">
        <v>301.57130000000001</v>
      </c>
      <c r="T1030" s="492">
        <v>45796</v>
      </c>
      <c r="U1030" s="491"/>
      <c r="V1030" s="491" t="s">
        <v>59</v>
      </c>
    </row>
    <row r="1031" spans="1:22" ht="43.2" x14ac:dyDescent="0.3">
      <c r="A1031" s="491">
        <v>1025</v>
      </c>
      <c r="B1031" s="491" t="s">
        <v>21</v>
      </c>
      <c r="C1031" s="44" t="s">
        <v>175</v>
      </c>
      <c r="D1031" s="491"/>
      <c r="E1031" s="491" t="s">
        <v>75</v>
      </c>
      <c r="F1031" s="44" t="s">
        <v>2146</v>
      </c>
      <c r="G1031" s="491" t="s">
        <v>186</v>
      </c>
      <c r="H1031" s="491"/>
      <c r="I1031" s="491">
        <v>31</v>
      </c>
      <c r="J1031" s="119">
        <v>829.4</v>
      </c>
      <c r="K1031" s="491"/>
      <c r="L1031" s="491">
        <v>31</v>
      </c>
      <c r="M1031" s="119">
        <v>829.4</v>
      </c>
      <c r="N1031" s="6" t="s">
        <v>2147</v>
      </c>
      <c r="O1031" s="492">
        <v>45798</v>
      </c>
      <c r="P1031" s="33" t="str">
        <f>HYPERLINK("https://my.zakupivli.pro/remote/dispatcher/state_purchase_view/59578825", "UA-2025-05-21-010260-a")</f>
        <v>UA-2025-05-21-010260-a</v>
      </c>
      <c r="Q1031" s="448"/>
      <c r="R1031" s="448"/>
      <c r="S1031" s="448"/>
      <c r="T1031" s="443"/>
      <c r="U1031" s="491" t="s">
        <v>1793</v>
      </c>
      <c r="V1031" s="491"/>
    </row>
    <row r="1032" spans="1:22" ht="62.4" x14ac:dyDescent="0.3">
      <c r="A1032" s="491">
        <v>1026</v>
      </c>
      <c r="B1032" s="493" t="s">
        <v>40</v>
      </c>
      <c r="C1032" s="44" t="s">
        <v>884</v>
      </c>
      <c r="D1032" s="491"/>
      <c r="E1032" s="493" t="s">
        <v>20</v>
      </c>
      <c r="F1032" s="44" t="s">
        <v>2148</v>
      </c>
      <c r="G1032" s="493" t="s">
        <v>184</v>
      </c>
      <c r="H1032" s="491">
        <v>241.42393999999999</v>
      </c>
      <c r="I1032" s="491">
        <v>1</v>
      </c>
      <c r="J1032" s="493">
        <v>241.42393999999999</v>
      </c>
      <c r="K1032" s="493">
        <v>241.42393999999999</v>
      </c>
      <c r="L1032" s="493">
        <v>1</v>
      </c>
      <c r="M1032" s="493">
        <v>241.42393999999999</v>
      </c>
      <c r="N1032" s="6" t="s">
        <v>2149</v>
      </c>
      <c r="O1032" s="492">
        <v>45799</v>
      </c>
      <c r="P1032" s="33" t="str">
        <f>HYPERLINK("https://my.zakupivli.pro/remote/dispatcher/state_purchase_view/59596873", "UA-2025-05-22-003797-a")</f>
        <v>UA-2025-05-22-003797-a</v>
      </c>
      <c r="Q1032" s="493">
        <v>241.42393999999999</v>
      </c>
      <c r="R1032" s="493">
        <v>1</v>
      </c>
      <c r="S1032" s="493">
        <v>241.42393999999999</v>
      </c>
      <c r="T1032" s="492">
        <v>45798</v>
      </c>
      <c r="U1032" s="491"/>
      <c r="V1032" s="493" t="s">
        <v>59</v>
      </c>
    </row>
    <row r="1033" spans="1:22" ht="62.4" x14ac:dyDescent="0.3">
      <c r="A1033" s="491">
        <v>1027</v>
      </c>
      <c r="B1033" s="494" t="s">
        <v>40</v>
      </c>
      <c r="C1033" s="44" t="s">
        <v>884</v>
      </c>
      <c r="D1033" s="491"/>
      <c r="E1033" s="494" t="s">
        <v>20</v>
      </c>
      <c r="F1033" s="44" t="s">
        <v>2150</v>
      </c>
      <c r="G1033" s="494" t="s">
        <v>184</v>
      </c>
      <c r="H1033" s="491">
        <v>61.53237</v>
      </c>
      <c r="I1033" s="491">
        <v>1</v>
      </c>
      <c r="J1033" s="494">
        <v>61.53237</v>
      </c>
      <c r="K1033" s="494">
        <v>61.53237</v>
      </c>
      <c r="L1033" s="494">
        <v>1</v>
      </c>
      <c r="M1033" s="494">
        <v>61.53237</v>
      </c>
      <c r="N1033" s="6" t="s">
        <v>2151</v>
      </c>
      <c r="O1033" s="492">
        <v>45800</v>
      </c>
      <c r="P1033" s="33" t="str">
        <f>HYPERLINK("https://my.zakupivli.pro/remote/dispatcher/state_purchase_view/59641745", "UA-2025-05-23-009263-a")</f>
        <v>UA-2025-05-23-009263-a</v>
      </c>
      <c r="Q1033" s="494">
        <v>61.53237</v>
      </c>
      <c r="R1033" s="494">
        <v>1</v>
      </c>
      <c r="S1033" s="494">
        <v>61.53237</v>
      </c>
      <c r="T1033" s="495">
        <v>45800</v>
      </c>
      <c r="U1033" s="491"/>
      <c r="V1033" s="494" t="s">
        <v>59</v>
      </c>
    </row>
    <row r="1034" spans="1:22" ht="62.4" x14ac:dyDescent="0.3">
      <c r="A1034" s="496">
        <v>1028</v>
      </c>
      <c r="B1034" s="496" t="s">
        <v>1150</v>
      </c>
      <c r="C1034" s="44" t="s">
        <v>1400</v>
      </c>
      <c r="D1034" s="496"/>
      <c r="E1034" s="496" t="s">
        <v>75</v>
      </c>
      <c r="F1034" s="225" t="s">
        <v>2152</v>
      </c>
      <c r="G1034" s="496" t="s">
        <v>1149</v>
      </c>
      <c r="H1034" s="119">
        <v>75</v>
      </c>
      <c r="I1034" s="496">
        <v>1</v>
      </c>
      <c r="J1034" s="119">
        <v>75</v>
      </c>
      <c r="K1034" s="119">
        <v>75</v>
      </c>
      <c r="L1034" s="496">
        <v>1</v>
      </c>
      <c r="M1034" s="119">
        <v>75</v>
      </c>
      <c r="N1034" s="6" t="s">
        <v>2153</v>
      </c>
      <c r="O1034" s="497">
        <v>45803</v>
      </c>
      <c r="P1034" s="33" t="str">
        <f>HYPERLINK("https://my.zakupivli.pro/remote/dispatcher/state_purchase_view/59662837", "UA-2025-05-26-004827-a")</f>
        <v>UA-2025-05-26-004827-a</v>
      </c>
      <c r="Q1034" s="119">
        <v>75</v>
      </c>
      <c r="R1034" s="496">
        <v>1</v>
      </c>
      <c r="S1034" s="119">
        <v>75</v>
      </c>
      <c r="T1034" s="497">
        <v>45800</v>
      </c>
      <c r="U1034" s="496"/>
      <c r="V1034" s="496" t="s">
        <v>59</v>
      </c>
    </row>
    <row r="1035" spans="1:22" ht="93.6" x14ac:dyDescent="0.3">
      <c r="A1035" s="499">
        <v>1029</v>
      </c>
      <c r="B1035" s="499" t="s">
        <v>40</v>
      </c>
      <c r="C1035" s="44" t="s">
        <v>41</v>
      </c>
      <c r="D1035" s="499"/>
      <c r="E1035" s="499" t="s">
        <v>20</v>
      </c>
      <c r="F1035" s="44" t="s">
        <v>2154</v>
      </c>
      <c r="G1035" s="499" t="s">
        <v>184</v>
      </c>
      <c r="H1035" s="499">
        <v>740.09612000000004</v>
      </c>
      <c r="I1035" s="499">
        <v>1</v>
      </c>
      <c r="J1035" s="499">
        <v>740.09612000000004</v>
      </c>
      <c r="K1035" s="499">
        <v>740.09612000000004</v>
      </c>
      <c r="L1035" s="499">
        <v>1</v>
      </c>
      <c r="M1035" s="499">
        <v>740.09612000000004</v>
      </c>
      <c r="N1035" s="6" t="s">
        <v>2156</v>
      </c>
      <c r="O1035" s="498">
        <v>45804</v>
      </c>
      <c r="P1035" s="33" t="str">
        <f>HYPERLINK("https://my.zakupivli.pro/remote/dispatcher/state_purchase_view/59692478", "UA-2025-05-27-003751-a")</f>
        <v>UA-2025-05-27-003751-a</v>
      </c>
      <c r="Q1035" s="499">
        <v>740.09612000000004</v>
      </c>
      <c r="R1035" s="499">
        <v>1</v>
      </c>
      <c r="S1035" s="499">
        <v>740.09612000000004</v>
      </c>
      <c r="T1035" s="498">
        <v>45804</v>
      </c>
      <c r="U1035" s="499"/>
      <c r="V1035" s="499" t="s">
        <v>59</v>
      </c>
    </row>
    <row r="1036" spans="1:22" ht="93.6" x14ac:dyDescent="0.3">
      <c r="A1036" s="499">
        <v>1030</v>
      </c>
      <c r="B1036" s="499" t="s">
        <v>40</v>
      </c>
      <c r="C1036" s="44" t="s">
        <v>41</v>
      </c>
      <c r="D1036" s="499"/>
      <c r="E1036" s="499" t="s">
        <v>20</v>
      </c>
      <c r="F1036" s="44" t="s">
        <v>2155</v>
      </c>
      <c r="G1036" s="499" t="s">
        <v>184</v>
      </c>
      <c r="H1036" s="499">
        <v>1038.4562900000001</v>
      </c>
      <c r="I1036" s="499">
        <v>1</v>
      </c>
      <c r="J1036" s="499">
        <v>1038.4562900000001</v>
      </c>
      <c r="K1036" s="499">
        <v>1038.4562900000001</v>
      </c>
      <c r="L1036" s="499">
        <v>1</v>
      </c>
      <c r="M1036" s="499">
        <v>1038.4562900000001</v>
      </c>
      <c r="N1036" s="6" t="s">
        <v>2157</v>
      </c>
      <c r="O1036" s="498">
        <v>45804</v>
      </c>
      <c r="P1036" s="33" t="str">
        <f>HYPERLINK("https://my.zakupivli.pro/remote/dispatcher/state_purchase_view/59688234", "UA-2025-05-27-001919-a")</f>
        <v>UA-2025-05-27-001919-a</v>
      </c>
      <c r="Q1036" s="499">
        <v>1038.4562900000001</v>
      </c>
      <c r="R1036" s="499">
        <v>1</v>
      </c>
      <c r="S1036" s="499">
        <v>1038.4562900000001</v>
      </c>
      <c r="T1036" s="498">
        <v>45804</v>
      </c>
      <c r="U1036" s="499"/>
      <c r="V1036" s="499" t="s">
        <v>59</v>
      </c>
    </row>
    <row r="1037" spans="1:22" ht="62.4" x14ac:dyDescent="0.3">
      <c r="A1037" s="499">
        <v>1031</v>
      </c>
      <c r="B1037" s="499" t="s">
        <v>40</v>
      </c>
      <c r="C1037" s="44" t="s">
        <v>73</v>
      </c>
      <c r="D1037" s="499"/>
      <c r="E1037" s="499" t="s">
        <v>75</v>
      </c>
      <c r="F1037" s="44" t="s">
        <v>2158</v>
      </c>
      <c r="G1037" s="499" t="s">
        <v>184</v>
      </c>
      <c r="H1037" s="499">
        <v>90.812740000000005</v>
      </c>
      <c r="I1037" s="499">
        <v>1</v>
      </c>
      <c r="J1037" s="500">
        <v>90.812740000000005</v>
      </c>
      <c r="K1037" s="500">
        <v>90.812740000000005</v>
      </c>
      <c r="L1037" s="500">
        <v>1</v>
      </c>
      <c r="M1037" s="500">
        <v>90.812740000000005</v>
      </c>
      <c r="N1037" s="6" t="s">
        <v>2159</v>
      </c>
      <c r="O1037" s="501">
        <v>45804</v>
      </c>
      <c r="P1037" s="33" t="str">
        <f>HYPERLINK("https://my.zakupivli.pro/remote/dispatcher/state_purchase_view/59713132", "UA-2025-05-27-012930-a")</f>
        <v>UA-2025-05-27-012930-a</v>
      </c>
      <c r="Q1037" s="500">
        <v>90.812740000000005</v>
      </c>
      <c r="R1037" s="500">
        <v>1</v>
      </c>
      <c r="S1037" s="500">
        <v>90.812740000000005</v>
      </c>
      <c r="T1037" s="498">
        <v>45803</v>
      </c>
      <c r="U1037" s="499"/>
      <c r="V1037" s="500" t="s">
        <v>59</v>
      </c>
    </row>
    <row r="1038" spans="1:22" ht="62.4" x14ac:dyDescent="0.3">
      <c r="A1038" s="502">
        <v>1032</v>
      </c>
      <c r="B1038" s="502" t="s">
        <v>40</v>
      </c>
      <c r="C1038" s="522" t="s">
        <v>73</v>
      </c>
      <c r="D1038" s="499"/>
      <c r="E1038" s="502" t="s">
        <v>75</v>
      </c>
      <c r="F1038" s="499" t="s">
        <v>2200</v>
      </c>
      <c r="G1038" s="502" t="s">
        <v>184</v>
      </c>
      <c r="H1038" s="514">
        <v>46.76914</v>
      </c>
      <c r="I1038" s="502">
        <v>1</v>
      </c>
      <c r="J1038" s="514">
        <v>46.76914</v>
      </c>
      <c r="K1038" s="514">
        <v>46.76914</v>
      </c>
      <c r="L1038" s="502">
        <v>1</v>
      </c>
      <c r="M1038" s="514">
        <v>46.76914</v>
      </c>
      <c r="N1038" s="6" t="s">
        <v>2204</v>
      </c>
      <c r="O1038" s="503">
        <v>45807</v>
      </c>
      <c r="P1038" s="508" t="str">
        <f>HYPERLINK("https://my.zakupivli.pro/remote/dispatcher/state_purchase_view/59790031", "UA-2025-05-30-006154-a")</f>
        <v>UA-2025-05-30-006154-a</v>
      </c>
      <c r="Q1038" s="514">
        <v>46.76914</v>
      </c>
      <c r="R1038" s="499">
        <v>1</v>
      </c>
      <c r="S1038" s="514">
        <v>46.76914</v>
      </c>
      <c r="T1038" s="503">
        <v>45807</v>
      </c>
      <c r="U1038" s="499"/>
      <c r="V1038" s="502" t="s">
        <v>59</v>
      </c>
    </row>
    <row r="1039" spans="1:22" ht="93.6" x14ac:dyDescent="0.3">
      <c r="A1039" s="502">
        <v>1033</v>
      </c>
      <c r="B1039" s="502" t="s">
        <v>40</v>
      </c>
      <c r="C1039" s="522" t="s">
        <v>884</v>
      </c>
      <c r="D1039" s="499"/>
      <c r="E1039" s="502" t="s">
        <v>20</v>
      </c>
      <c r="F1039" s="499" t="s">
        <v>2201</v>
      </c>
      <c r="G1039" s="502" t="s">
        <v>184</v>
      </c>
      <c r="H1039" s="514">
        <v>202.13432</v>
      </c>
      <c r="I1039" s="502">
        <v>1</v>
      </c>
      <c r="J1039" s="514">
        <v>202.13432</v>
      </c>
      <c r="K1039" s="514">
        <v>202.13432</v>
      </c>
      <c r="L1039" s="502">
        <v>1</v>
      </c>
      <c r="M1039" s="514">
        <v>202.13432</v>
      </c>
      <c r="N1039" s="6" t="s">
        <v>2205</v>
      </c>
      <c r="O1039" s="503">
        <v>45807</v>
      </c>
      <c r="P1039" s="508" t="str">
        <f>HYPERLINK("https://my.zakupivli.pro/remote/dispatcher/state_purchase_view/59778258", "UA-2025-05-30-000908-a")</f>
        <v>UA-2025-05-30-000908-a</v>
      </c>
      <c r="Q1039" s="514">
        <v>202.13432</v>
      </c>
      <c r="R1039" s="499">
        <v>1</v>
      </c>
      <c r="S1039" s="514">
        <v>202.13432</v>
      </c>
      <c r="T1039" s="503">
        <v>45806</v>
      </c>
      <c r="U1039" s="499"/>
      <c r="V1039" s="502" t="s">
        <v>59</v>
      </c>
    </row>
    <row r="1040" spans="1:22" ht="93.6" x14ac:dyDescent="0.3">
      <c r="A1040" s="502">
        <v>1034</v>
      </c>
      <c r="B1040" s="502" t="s">
        <v>40</v>
      </c>
      <c r="C1040" s="522" t="s">
        <v>884</v>
      </c>
      <c r="D1040" s="499"/>
      <c r="E1040" s="502" t="s">
        <v>20</v>
      </c>
      <c r="F1040" s="499" t="s">
        <v>2202</v>
      </c>
      <c r="G1040" s="502" t="s">
        <v>184</v>
      </c>
      <c r="H1040" s="514">
        <v>163.13272000000001</v>
      </c>
      <c r="I1040" s="502">
        <v>1</v>
      </c>
      <c r="J1040" s="514">
        <v>163.13272000000001</v>
      </c>
      <c r="K1040" s="514">
        <v>163.13272000000001</v>
      </c>
      <c r="L1040" s="502">
        <v>1</v>
      </c>
      <c r="M1040" s="514">
        <v>163.13272000000001</v>
      </c>
      <c r="N1040" s="6" t="s">
        <v>2206</v>
      </c>
      <c r="O1040" s="503">
        <v>45807</v>
      </c>
      <c r="P1040" s="508" t="str">
        <f>HYPERLINK("https://my.zakupivli.pro/remote/dispatcher/state_purchase_view/59778119", "UA-2025-05-30-000828-a")</f>
        <v>UA-2025-05-30-000828-a</v>
      </c>
      <c r="Q1040" s="514">
        <v>163.13272000000001</v>
      </c>
      <c r="R1040" s="499">
        <v>1</v>
      </c>
      <c r="S1040" s="514">
        <v>163.13272000000001</v>
      </c>
      <c r="T1040" s="503">
        <v>45806</v>
      </c>
      <c r="U1040" s="499"/>
      <c r="V1040" s="502" t="s">
        <v>59</v>
      </c>
    </row>
    <row r="1041" spans="1:22" ht="93.6" x14ac:dyDescent="0.3">
      <c r="A1041" s="502">
        <v>1035</v>
      </c>
      <c r="B1041" s="502" t="s">
        <v>40</v>
      </c>
      <c r="C1041" s="522" t="s">
        <v>884</v>
      </c>
      <c r="D1041" s="499"/>
      <c r="E1041" s="502" t="s">
        <v>20</v>
      </c>
      <c r="F1041" s="499" t="s">
        <v>2203</v>
      </c>
      <c r="G1041" s="502" t="s">
        <v>184</v>
      </c>
      <c r="H1041" s="514">
        <v>408.68150000000003</v>
      </c>
      <c r="I1041" s="502">
        <v>1</v>
      </c>
      <c r="J1041" s="514">
        <v>408.68150000000003</v>
      </c>
      <c r="K1041" s="514">
        <v>408.68150000000003</v>
      </c>
      <c r="L1041" s="502">
        <v>1</v>
      </c>
      <c r="M1041" s="514">
        <v>408.68150000000003</v>
      </c>
      <c r="N1041" s="6" t="s">
        <v>2207</v>
      </c>
      <c r="O1041" s="507">
        <v>45807</v>
      </c>
      <c r="P1041" s="508" t="str">
        <f>HYPERLINK("https://my.zakupivli.pro/remote/dispatcher/state_purchase_view/59777997", "UA-2025-05-30-000803-a")</f>
        <v>UA-2025-05-30-000803-a</v>
      </c>
      <c r="Q1041" s="514">
        <v>408.68150000000003</v>
      </c>
      <c r="R1041" s="499">
        <v>1</v>
      </c>
      <c r="S1041" s="514">
        <v>408.68150000000003</v>
      </c>
      <c r="T1041" s="503">
        <v>45806</v>
      </c>
      <c r="U1041" s="499"/>
      <c r="V1041" s="502" t="s">
        <v>59</v>
      </c>
    </row>
    <row r="1042" spans="1:22" ht="62.4" x14ac:dyDescent="0.3">
      <c r="A1042" s="506">
        <v>1036</v>
      </c>
      <c r="B1042" s="506" t="s">
        <v>40</v>
      </c>
      <c r="C1042" s="522" t="s">
        <v>73</v>
      </c>
      <c r="D1042" s="499"/>
      <c r="E1042" s="506" t="s">
        <v>75</v>
      </c>
      <c r="F1042" s="499" t="s">
        <v>2208</v>
      </c>
      <c r="G1042" s="506" t="s">
        <v>184</v>
      </c>
      <c r="H1042" s="514">
        <v>205.67577</v>
      </c>
      <c r="I1042" s="499">
        <v>1</v>
      </c>
      <c r="J1042" s="514">
        <v>205.67577</v>
      </c>
      <c r="K1042" s="514">
        <v>205.67577</v>
      </c>
      <c r="L1042" s="499">
        <v>1</v>
      </c>
      <c r="M1042" s="514">
        <v>205.67577</v>
      </c>
      <c r="N1042" s="6" t="s">
        <v>2210</v>
      </c>
      <c r="O1042" s="507">
        <v>45811</v>
      </c>
      <c r="P1042" s="508" t="str">
        <f>HYPERLINK("https://my.zakupivli.pro/remote/dispatcher/state_purchase_view/59851810", "UA-2025-06-03-009863-a")</f>
        <v>UA-2025-06-03-009863-a</v>
      </c>
      <c r="Q1042" s="514">
        <v>205.67577</v>
      </c>
      <c r="R1042" s="499">
        <v>1</v>
      </c>
      <c r="S1042" s="514">
        <v>205.67577</v>
      </c>
      <c r="T1042" s="507">
        <v>45811</v>
      </c>
      <c r="U1042" s="499"/>
      <c r="V1042" s="506" t="s">
        <v>59</v>
      </c>
    </row>
    <row r="1043" spans="1:22" ht="78" x14ac:dyDescent="0.3">
      <c r="A1043" s="506">
        <v>1037</v>
      </c>
      <c r="B1043" s="506" t="s">
        <v>40</v>
      </c>
      <c r="C1043" s="522" t="s">
        <v>73</v>
      </c>
      <c r="D1043" s="506"/>
      <c r="E1043" s="506" t="s">
        <v>75</v>
      </c>
      <c r="F1043" s="506" t="s">
        <v>2209</v>
      </c>
      <c r="G1043" s="506" t="s">
        <v>184</v>
      </c>
      <c r="H1043" s="514">
        <v>308.75711000000001</v>
      </c>
      <c r="I1043" s="506">
        <v>1</v>
      </c>
      <c r="J1043" s="514">
        <v>308.75711000000001</v>
      </c>
      <c r="K1043" s="514">
        <v>308.75711000000001</v>
      </c>
      <c r="L1043" s="506">
        <v>1</v>
      </c>
      <c r="M1043" s="514">
        <v>308.75711000000001</v>
      </c>
      <c r="N1043" s="6" t="s">
        <v>2211</v>
      </c>
      <c r="O1043" s="507">
        <v>45811</v>
      </c>
      <c r="P1043" s="508" t="str">
        <f>HYPERLINK("https://my.zakupivli.pro/remote/dispatcher/state_purchase_view/59851081", "UA-2025-06-03-009568-a")</f>
        <v>UA-2025-06-03-009568-a</v>
      </c>
      <c r="Q1043" s="514">
        <v>308.75711000000001</v>
      </c>
      <c r="R1043" s="506">
        <v>1</v>
      </c>
      <c r="S1043" s="514">
        <v>308.75711000000001</v>
      </c>
      <c r="T1043" s="507">
        <v>45811</v>
      </c>
      <c r="U1043" s="506"/>
      <c r="V1043" s="506" t="s">
        <v>59</v>
      </c>
    </row>
    <row r="1044" spans="1:22" ht="62.4" x14ac:dyDescent="0.3">
      <c r="A1044" s="510">
        <v>1038</v>
      </c>
      <c r="B1044" s="510" t="s">
        <v>21</v>
      </c>
      <c r="C1044" s="522" t="s">
        <v>760</v>
      </c>
      <c r="D1044" s="506"/>
      <c r="E1044" s="510" t="s">
        <v>20</v>
      </c>
      <c r="F1044" s="506" t="s">
        <v>2212</v>
      </c>
      <c r="G1044" s="506" t="s">
        <v>186</v>
      </c>
      <c r="H1044" s="514"/>
      <c r="I1044" s="506">
        <v>9</v>
      </c>
      <c r="J1044" s="514">
        <v>83.123999999999995</v>
      </c>
      <c r="K1044" s="514"/>
      <c r="L1044" s="506">
        <v>9</v>
      </c>
      <c r="M1044" s="514">
        <v>83.123999999999995</v>
      </c>
      <c r="N1044" s="6" t="s">
        <v>2213</v>
      </c>
      <c r="O1044" s="509">
        <v>45812</v>
      </c>
      <c r="P1044" s="513" t="str">
        <f>HYPERLINK("https://my.zakupivli.pro/remote/dispatcher/state_purchase_view/59869236", "UA-2025-06-04-003192-a")</f>
        <v>UA-2025-06-04-003192-a</v>
      </c>
      <c r="Q1044" s="514"/>
      <c r="R1044" s="506">
        <v>9</v>
      </c>
      <c r="S1044" s="514">
        <v>83.123999999999995</v>
      </c>
      <c r="T1044" s="509">
        <v>45812</v>
      </c>
      <c r="U1044" s="506"/>
      <c r="V1044" s="510" t="s">
        <v>59</v>
      </c>
    </row>
    <row r="1045" spans="1:22" ht="62.4" x14ac:dyDescent="0.3">
      <c r="A1045" s="510">
        <v>1039</v>
      </c>
      <c r="B1045" s="510" t="s">
        <v>40</v>
      </c>
      <c r="C1045" s="522" t="s">
        <v>73</v>
      </c>
      <c r="D1045" s="506"/>
      <c r="E1045" s="510" t="s">
        <v>75</v>
      </c>
      <c r="F1045" s="506" t="s">
        <v>2214</v>
      </c>
      <c r="G1045" s="510" t="s">
        <v>184</v>
      </c>
      <c r="H1045" s="514">
        <v>166.80641</v>
      </c>
      <c r="I1045" s="506">
        <v>1</v>
      </c>
      <c r="J1045" s="514">
        <v>166.80641</v>
      </c>
      <c r="K1045" s="514">
        <v>166.80641</v>
      </c>
      <c r="L1045" s="506">
        <v>1</v>
      </c>
      <c r="M1045" s="514">
        <v>166.80641</v>
      </c>
      <c r="N1045" s="6" t="s">
        <v>2215</v>
      </c>
      <c r="O1045" s="512">
        <v>45812</v>
      </c>
      <c r="P1045" s="508" t="str">
        <f>HYPERLINK("https://my.zakupivli.pro/remote/dispatcher/state_purchase_view/59864438", "UA-2025-06-04-001086-a")</f>
        <v>UA-2025-06-04-001086-a</v>
      </c>
      <c r="Q1045" s="514">
        <v>166.80641</v>
      </c>
      <c r="R1045" s="506">
        <v>1</v>
      </c>
      <c r="S1045" s="514">
        <v>166.80641</v>
      </c>
      <c r="T1045" s="509">
        <v>45811</v>
      </c>
      <c r="U1045" s="506"/>
      <c r="V1045" s="510" t="s">
        <v>59</v>
      </c>
    </row>
    <row r="1046" spans="1:22" ht="93.6" x14ac:dyDescent="0.3">
      <c r="A1046" s="511">
        <v>1040</v>
      </c>
      <c r="B1046" s="511" t="s">
        <v>40</v>
      </c>
      <c r="C1046" s="522" t="s">
        <v>41</v>
      </c>
      <c r="D1046" s="506"/>
      <c r="E1046" s="511" t="s">
        <v>20</v>
      </c>
      <c r="F1046" s="506" t="s">
        <v>2216</v>
      </c>
      <c r="G1046" s="511" t="s">
        <v>184</v>
      </c>
      <c r="H1046" s="514">
        <v>746.45659999999998</v>
      </c>
      <c r="I1046" s="511">
        <v>1</v>
      </c>
      <c r="J1046" s="514">
        <v>746.45659999999998</v>
      </c>
      <c r="K1046" s="514">
        <v>746.45659999999998</v>
      </c>
      <c r="L1046" s="511">
        <v>1</v>
      </c>
      <c r="M1046" s="514">
        <v>746.45659999999998</v>
      </c>
      <c r="N1046" s="6" t="s">
        <v>2220</v>
      </c>
      <c r="O1046" s="512">
        <v>45813</v>
      </c>
      <c r="P1046" s="508" t="str">
        <f>HYPERLINK("https://my.zakupivli.pro/remote/dispatcher/state_purchase_view/59904811", "UA-2025-06-05-004619-a")</f>
        <v>UA-2025-06-05-004619-a</v>
      </c>
      <c r="Q1046" s="514">
        <v>746.45659999999998</v>
      </c>
      <c r="R1046" s="511">
        <v>1</v>
      </c>
      <c r="S1046" s="514">
        <v>746.45659999999998</v>
      </c>
      <c r="T1046" s="512">
        <v>45813</v>
      </c>
      <c r="U1046" s="506"/>
      <c r="V1046" s="511" t="s">
        <v>59</v>
      </c>
    </row>
    <row r="1047" spans="1:22" ht="62.4" x14ac:dyDescent="0.3">
      <c r="A1047" s="511">
        <v>1041</v>
      </c>
      <c r="B1047" s="511" t="s">
        <v>40</v>
      </c>
      <c r="C1047" s="522" t="s">
        <v>884</v>
      </c>
      <c r="D1047" s="506"/>
      <c r="E1047" s="511" t="s">
        <v>20</v>
      </c>
      <c r="F1047" s="506" t="s">
        <v>2217</v>
      </c>
      <c r="G1047" s="511" t="s">
        <v>184</v>
      </c>
      <c r="H1047" s="514">
        <v>97.23442</v>
      </c>
      <c r="I1047" s="511">
        <v>1</v>
      </c>
      <c r="J1047" s="514">
        <v>97.23442</v>
      </c>
      <c r="K1047" s="514">
        <v>97.23442</v>
      </c>
      <c r="L1047" s="511">
        <v>1</v>
      </c>
      <c r="M1047" s="514">
        <v>97.23442</v>
      </c>
      <c r="N1047" s="6" t="s">
        <v>2221</v>
      </c>
      <c r="O1047" s="512">
        <v>45813</v>
      </c>
      <c r="P1047" s="508" t="str">
        <f>HYPERLINK("https://my.zakupivli.pro/remote/dispatcher/state_purchase_view/59900219", "UA-2025-06-05-002438-a")</f>
        <v>UA-2025-06-05-002438-a</v>
      </c>
      <c r="Q1047" s="514">
        <v>97.23442</v>
      </c>
      <c r="R1047" s="511">
        <v>1</v>
      </c>
      <c r="S1047" s="514">
        <v>97.23442</v>
      </c>
      <c r="T1047" s="507">
        <v>45812</v>
      </c>
      <c r="U1047" s="506"/>
      <c r="V1047" s="511" t="s">
        <v>59</v>
      </c>
    </row>
    <row r="1048" spans="1:22" ht="78" x14ac:dyDescent="0.3">
      <c r="A1048" s="511">
        <v>1042</v>
      </c>
      <c r="B1048" s="511" t="s">
        <v>40</v>
      </c>
      <c r="C1048" s="522" t="s">
        <v>884</v>
      </c>
      <c r="D1048" s="506"/>
      <c r="E1048" s="511" t="s">
        <v>20</v>
      </c>
      <c r="F1048" s="506" t="s">
        <v>2218</v>
      </c>
      <c r="G1048" s="511" t="s">
        <v>184</v>
      </c>
      <c r="H1048" s="514">
        <v>141.28307000000001</v>
      </c>
      <c r="I1048" s="511">
        <v>1</v>
      </c>
      <c r="J1048" s="514">
        <v>141.28307000000001</v>
      </c>
      <c r="K1048" s="514">
        <v>141.28307000000001</v>
      </c>
      <c r="L1048" s="511">
        <v>1</v>
      </c>
      <c r="M1048" s="514">
        <v>141.28307000000001</v>
      </c>
      <c r="N1048" s="6" t="s">
        <v>2222</v>
      </c>
      <c r="O1048" s="512">
        <v>45813</v>
      </c>
      <c r="P1048" s="508" t="str">
        <f>HYPERLINK("https://my.zakupivli.pro/remote/dispatcher/state_purchase_view/59899840", "UA-2025-06-05-002216-a")</f>
        <v>UA-2025-06-05-002216-a</v>
      </c>
      <c r="Q1048" s="514">
        <v>141.28307000000001</v>
      </c>
      <c r="R1048" s="511">
        <v>1</v>
      </c>
      <c r="S1048" s="514">
        <v>141.28307000000001</v>
      </c>
      <c r="T1048" s="512">
        <v>45812</v>
      </c>
      <c r="U1048" s="506"/>
      <c r="V1048" s="511" t="s">
        <v>59</v>
      </c>
    </row>
    <row r="1049" spans="1:22" ht="62.4" x14ac:dyDescent="0.3">
      <c r="A1049" s="511">
        <v>1043</v>
      </c>
      <c r="B1049" s="511" t="s">
        <v>40</v>
      </c>
      <c r="C1049" s="522" t="s">
        <v>41</v>
      </c>
      <c r="D1049" s="506"/>
      <c r="E1049" s="511" t="s">
        <v>20</v>
      </c>
      <c r="F1049" s="506" t="s">
        <v>2219</v>
      </c>
      <c r="G1049" s="511" t="s">
        <v>184</v>
      </c>
      <c r="H1049" s="514">
        <v>85.734560000000002</v>
      </c>
      <c r="I1049" s="511">
        <v>1</v>
      </c>
      <c r="J1049" s="514">
        <v>85.734560000000002</v>
      </c>
      <c r="K1049" s="514">
        <v>85.734560000000002</v>
      </c>
      <c r="L1049" s="511">
        <v>1</v>
      </c>
      <c r="M1049" s="514">
        <v>85.734560000000002</v>
      </c>
      <c r="N1049" s="6" t="s">
        <v>2223</v>
      </c>
      <c r="O1049" s="516">
        <v>45813</v>
      </c>
      <c r="P1049" s="508" t="str">
        <f>HYPERLINK("https://my.zakupivli.pro/remote/dispatcher/state_purchase_view/59899535", "UA-2025-06-05-002120-a")</f>
        <v>UA-2025-06-05-002120-a</v>
      </c>
      <c r="Q1049" s="514">
        <v>85.734560000000002</v>
      </c>
      <c r="R1049" s="511">
        <v>1</v>
      </c>
      <c r="S1049" s="514">
        <v>85.734560000000002</v>
      </c>
      <c r="T1049" s="512">
        <v>45812</v>
      </c>
      <c r="U1049" s="506"/>
      <c r="V1049" s="511" t="s">
        <v>59</v>
      </c>
    </row>
    <row r="1050" spans="1:22" ht="78" x14ac:dyDescent="0.3">
      <c r="A1050" s="519">
        <v>1044</v>
      </c>
      <c r="B1050" s="519" t="s">
        <v>40</v>
      </c>
      <c r="C1050" s="522" t="s">
        <v>884</v>
      </c>
      <c r="D1050" s="519"/>
      <c r="E1050" s="519" t="s">
        <v>20</v>
      </c>
      <c r="F1050" s="519" t="s">
        <v>2224</v>
      </c>
      <c r="G1050" s="519" t="s">
        <v>184</v>
      </c>
      <c r="H1050" s="519">
        <v>107.1581</v>
      </c>
      <c r="I1050" s="506">
        <v>1</v>
      </c>
      <c r="J1050" s="515">
        <v>107.1581</v>
      </c>
      <c r="K1050" s="515">
        <v>107.1581</v>
      </c>
      <c r="L1050" s="506">
        <v>1</v>
      </c>
      <c r="M1050" s="515">
        <v>107.1581</v>
      </c>
      <c r="N1050" s="6" t="s">
        <v>2226</v>
      </c>
      <c r="O1050" s="516">
        <v>45814</v>
      </c>
      <c r="P1050" s="508" t="str">
        <f>HYPERLINK("https://my.zakupivli.pro/remote/dispatcher/state_purchase_view/59941982", "UA-2025-06-06-006809-a")</f>
        <v>UA-2025-06-06-006809-a</v>
      </c>
      <c r="Q1050" s="515">
        <v>107.1581</v>
      </c>
      <c r="R1050" s="506">
        <v>1</v>
      </c>
      <c r="S1050" s="515">
        <v>107.1581</v>
      </c>
      <c r="T1050" s="507">
        <v>45813</v>
      </c>
      <c r="U1050" s="506"/>
      <c r="V1050" s="515" t="s">
        <v>59</v>
      </c>
    </row>
    <row r="1051" spans="1:22" ht="62.4" x14ac:dyDescent="0.3">
      <c r="A1051" s="519">
        <v>1045</v>
      </c>
      <c r="B1051" s="519" t="s">
        <v>40</v>
      </c>
      <c r="C1051" s="522" t="s">
        <v>884</v>
      </c>
      <c r="D1051" s="519"/>
      <c r="E1051" s="519" t="s">
        <v>20</v>
      </c>
      <c r="F1051" s="519" t="s">
        <v>2225</v>
      </c>
      <c r="G1051" s="519" t="s">
        <v>184</v>
      </c>
      <c r="H1051" s="519">
        <v>274.34199999999998</v>
      </c>
      <c r="I1051" s="506">
        <v>1</v>
      </c>
      <c r="J1051" s="515">
        <v>274.34199999999998</v>
      </c>
      <c r="K1051" s="515">
        <v>274.34199999999998</v>
      </c>
      <c r="L1051" s="506">
        <v>1</v>
      </c>
      <c r="M1051" s="515">
        <v>274.34199999999998</v>
      </c>
      <c r="N1051" s="6" t="s">
        <v>2227</v>
      </c>
      <c r="O1051" s="520">
        <v>45814</v>
      </c>
      <c r="P1051" s="524" t="str">
        <f>HYPERLINK("https://my.zakupivli.pro/remote/dispatcher/state_purchase_view/59941599", "UA-2025-06-06-006663-a")</f>
        <v>UA-2025-06-06-006663-a</v>
      </c>
      <c r="Q1051" s="519">
        <v>274.34199999999998</v>
      </c>
      <c r="R1051" s="506">
        <v>1</v>
      </c>
      <c r="S1051" s="515">
        <v>274.34199999999998</v>
      </c>
      <c r="T1051" s="516">
        <v>45813</v>
      </c>
      <c r="U1051" s="506"/>
      <c r="V1051" s="515" t="s">
        <v>59</v>
      </c>
    </row>
    <row r="1052" spans="1:22" ht="90" x14ac:dyDescent="0.3">
      <c r="A1052" s="519">
        <v>1046</v>
      </c>
      <c r="B1052" s="519" t="s">
        <v>40</v>
      </c>
      <c r="C1052" s="44" t="s">
        <v>884</v>
      </c>
      <c r="D1052" s="519"/>
      <c r="E1052" s="519" t="s">
        <v>20</v>
      </c>
      <c r="F1052" s="523" t="s">
        <v>2233</v>
      </c>
      <c r="G1052" s="519" t="s">
        <v>184</v>
      </c>
      <c r="H1052" s="519">
        <v>5483.4449999999997</v>
      </c>
      <c r="I1052" s="519">
        <v>1</v>
      </c>
      <c r="J1052" s="519">
        <v>5483.4449999999997</v>
      </c>
      <c r="K1052" s="519">
        <v>5483.4449999999997</v>
      </c>
      <c r="L1052" s="519">
        <v>1</v>
      </c>
      <c r="M1052" s="519">
        <v>5483.4449999999997</v>
      </c>
      <c r="N1052" s="6" t="s">
        <v>2241</v>
      </c>
      <c r="O1052" s="520">
        <v>45820</v>
      </c>
      <c r="P1052" s="524" t="str">
        <f>HYPERLINK("https://my.zakupivli.pro/remote/dispatcher/state_purchase_view/60071327", "UA-2025-06-12-012234-a")</f>
        <v>UA-2025-06-12-012234-a</v>
      </c>
      <c r="Q1052" s="525"/>
      <c r="R1052" s="525"/>
      <c r="S1052" s="525"/>
      <c r="T1052" s="526"/>
      <c r="U1052" s="525"/>
      <c r="V1052" s="525"/>
    </row>
    <row r="1053" spans="1:22" ht="120" x14ac:dyDescent="0.3">
      <c r="A1053" s="519">
        <v>1047</v>
      </c>
      <c r="B1053" s="519" t="s">
        <v>40</v>
      </c>
      <c r="C1053" s="44" t="s">
        <v>41</v>
      </c>
      <c r="D1053" s="519"/>
      <c r="E1053" s="519" t="s">
        <v>20</v>
      </c>
      <c r="F1053" s="523" t="s">
        <v>2234</v>
      </c>
      <c r="G1053" s="519" t="s">
        <v>184</v>
      </c>
      <c r="H1053" s="519">
        <v>10657.272499999999</v>
      </c>
      <c r="I1053" s="519">
        <v>1</v>
      </c>
      <c r="J1053" s="519">
        <v>10657.272499999999</v>
      </c>
      <c r="K1053" s="519">
        <v>10657.272499999999</v>
      </c>
      <c r="L1053" s="519">
        <v>1</v>
      </c>
      <c r="M1053" s="519">
        <v>10657.272499999999</v>
      </c>
      <c r="N1053" s="6" t="s">
        <v>2242</v>
      </c>
      <c r="O1053" s="520">
        <v>45820</v>
      </c>
      <c r="P1053" s="524" t="str">
        <f>HYPERLINK("https://my.zakupivli.pro/remote/dispatcher/state_purchase_view/60070202", "UA-2025-06-12-011681-a")</f>
        <v>UA-2025-06-12-011681-a</v>
      </c>
      <c r="Q1053" s="525"/>
      <c r="R1053" s="525"/>
      <c r="S1053" s="525"/>
      <c r="T1053" s="526"/>
      <c r="U1053" s="525"/>
      <c r="V1053" s="525"/>
    </row>
    <row r="1054" spans="1:22" ht="105" x14ac:dyDescent="0.3">
      <c r="A1054" s="519">
        <v>1048</v>
      </c>
      <c r="B1054" s="519" t="s">
        <v>40</v>
      </c>
      <c r="C1054" s="44" t="s">
        <v>41</v>
      </c>
      <c r="D1054" s="519"/>
      <c r="E1054" s="519" t="s">
        <v>20</v>
      </c>
      <c r="F1054" s="523" t="s">
        <v>2235</v>
      </c>
      <c r="G1054" s="519" t="s">
        <v>184</v>
      </c>
      <c r="H1054" s="519">
        <v>6530.3549999999996</v>
      </c>
      <c r="I1054" s="519">
        <v>1</v>
      </c>
      <c r="J1054" s="519">
        <v>6530.3549999999996</v>
      </c>
      <c r="K1054" s="519">
        <v>6530.3549999999996</v>
      </c>
      <c r="L1054" s="519">
        <v>1</v>
      </c>
      <c r="M1054" s="519">
        <v>6530.3549999999996</v>
      </c>
      <c r="N1054" s="6" t="s">
        <v>2243</v>
      </c>
      <c r="O1054" s="520">
        <v>45820</v>
      </c>
      <c r="P1054" s="524" t="str">
        <f>HYPERLINK("https://my.zakupivli.pro/remote/dispatcher/state_purchase_view/60068731", "UA-2025-06-12-011075-a")</f>
        <v>UA-2025-06-12-011075-a</v>
      </c>
      <c r="Q1054" s="525"/>
      <c r="R1054" s="525"/>
      <c r="S1054" s="525"/>
      <c r="T1054" s="526"/>
      <c r="U1054" s="525"/>
      <c r="V1054" s="525"/>
    </row>
    <row r="1055" spans="1:22" ht="120" x14ac:dyDescent="0.3">
      <c r="A1055" s="519">
        <v>1049</v>
      </c>
      <c r="B1055" s="519" t="s">
        <v>40</v>
      </c>
      <c r="C1055" s="44" t="s">
        <v>884</v>
      </c>
      <c r="D1055" s="519"/>
      <c r="E1055" s="519" t="s">
        <v>20</v>
      </c>
      <c r="F1055" s="523" t="s">
        <v>2236</v>
      </c>
      <c r="G1055" s="519" t="s">
        <v>184</v>
      </c>
      <c r="H1055" s="519">
        <v>4455.6668330000002</v>
      </c>
      <c r="I1055" s="519">
        <v>1</v>
      </c>
      <c r="J1055" s="519">
        <v>4455.6668330000002</v>
      </c>
      <c r="K1055" s="519">
        <v>4455.6668330000002</v>
      </c>
      <c r="L1055" s="519">
        <v>1</v>
      </c>
      <c r="M1055" s="519">
        <v>4455.6668330000002</v>
      </c>
      <c r="N1055" s="6" t="s">
        <v>2244</v>
      </c>
      <c r="O1055" s="520">
        <v>45820</v>
      </c>
      <c r="P1055" s="524" t="str">
        <f>HYPERLINK("https://my.zakupivli.pro/remote/dispatcher/state_purchase_view/60068496", "UA-2025-06-12-010920-a")</f>
        <v>UA-2025-06-12-010920-a</v>
      </c>
      <c r="Q1055" s="525"/>
      <c r="R1055" s="525"/>
      <c r="S1055" s="525"/>
      <c r="T1055" s="526"/>
      <c r="U1055" s="525"/>
      <c r="V1055" s="525"/>
    </row>
    <row r="1056" spans="1:22" ht="90" x14ac:dyDescent="0.3">
      <c r="A1056" s="519">
        <v>1050</v>
      </c>
      <c r="B1056" s="519" t="s">
        <v>40</v>
      </c>
      <c r="C1056" s="44" t="s">
        <v>884</v>
      </c>
      <c r="D1056" s="519"/>
      <c r="E1056" s="519" t="s">
        <v>20</v>
      </c>
      <c r="F1056" s="523" t="s">
        <v>2228</v>
      </c>
      <c r="G1056" s="519" t="s">
        <v>184</v>
      </c>
      <c r="H1056" s="519">
        <v>827.37414200000001</v>
      </c>
      <c r="I1056" s="519">
        <v>1</v>
      </c>
      <c r="J1056" s="519">
        <v>827.37414200000001</v>
      </c>
      <c r="K1056" s="519">
        <v>827.37414200000001</v>
      </c>
      <c r="L1056" s="519">
        <v>1</v>
      </c>
      <c r="M1056" s="519">
        <v>827.37414200000001</v>
      </c>
      <c r="N1056" s="6" t="s">
        <v>2245</v>
      </c>
      <c r="O1056" s="520">
        <v>45820</v>
      </c>
      <c r="P1056" s="524" t="str">
        <f>HYPERLINK("https://my.zakupivli.pro/remote/dispatcher/state_purchase_view/60064231", "UA-2025-06-12-008984-a")</f>
        <v>UA-2025-06-12-008984-a</v>
      </c>
      <c r="Q1056" s="519">
        <v>827.37414200000001</v>
      </c>
      <c r="R1056" s="519">
        <v>1</v>
      </c>
      <c r="S1056" s="519">
        <v>827.37414200000001</v>
      </c>
      <c r="T1056" s="507">
        <v>45820</v>
      </c>
      <c r="U1056" s="506"/>
      <c r="V1056" s="519" t="s">
        <v>59</v>
      </c>
    </row>
    <row r="1057" spans="1:22" ht="90" x14ac:dyDescent="0.3">
      <c r="A1057" s="519">
        <v>1051</v>
      </c>
      <c r="B1057" s="519" t="s">
        <v>40</v>
      </c>
      <c r="C1057" s="44" t="s">
        <v>884</v>
      </c>
      <c r="D1057" s="519"/>
      <c r="E1057" s="519" t="s">
        <v>20</v>
      </c>
      <c r="F1057" s="523" t="s">
        <v>2229</v>
      </c>
      <c r="G1057" s="519" t="s">
        <v>184</v>
      </c>
      <c r="H1057" s="519">
        <v>78.694450000000003</v>
      </c>
      <c r="I1057" s="519">
        <v>1</v>
      </c>
      <c r="J1057" s="519">
        <v>78.694450000000003</v>
      </c>
      <c r="K1057" s="519">
        <v>78.694450000000003</v>
      </c>
      <c r="L1057" s="519">
        <v>1</v>
      </c>
      <c r="M1057" s="519">
        <v>78.694450000000003</v>
      </c>
      <c r="N1057" s="6" t="s">
        <v>2246</v>
      </c>
      <c r="O1057" s="520">
        <v>45820</v>
      </c>
      <c r="P1057" s="524" t="str">
        <f>HYPERLINK("https://my.zakupivli.pro/remote/dispatcher/state_purchase_view/60063461", "UA-2025-06-12-008628-a")</f>
        <v>UA-2025-06-12-008628-a</v>
      </c>
      <c r="Q1057" s="519">
        <v>78.694450000000003</v>
      </c>
      <c r="R1057" s="519">
        <v>1</v>
      </c>
      <c r="S1057" s="519">
        <v>78.694450000000003</v>
      </c>
      <c r="T1057" s="520">
        <v>45820</v>
      </c>
      <c r="U1057" s="506"/>
      <c r="V1057" s="519" t="s">
        <v>59</v>
      </c>
    </row>
    <row r="1058" spans="1:22" ht="75" x14ac:dyDescent="0.3">
      <c r="A1058" s="519">
        <v>1052</v>
      </c>
      <c r="B1058" s="519" t="s">
        <v>40</v>
      </c>
      <c r="C1058" s="44" t="s">
        <v>884</v>
      </c>
      <c r="D1058" s="519"/>
      <c r="E1058" s="519" t="s">
        <v>20</v>
      </c>
      <c r="F1058" s="523" t="s">
        <v>2230</v>
      </c>
      <c r="G1058" s="519" t="s">
        <v>184</v>
      </c>
      <c r="H1058" s="519">
        <v>290.64371699999998</v>
      </c>
      <c r="I1058" s="519">
        <v>1</v>
      </c>
      <c r="J1058" s="519">
        <v>290.64371699999998</v>
      </c>
      <c r="K1058" s="519">
        <v>290.64371699999998</v>
      </c>
      <c r="L1058" s="519">
        <v>1</v>
      </c>
      <c r="M1058" s="519">
        <v>290.64371699999998</v>
      </c>
      <c r="N1058" s="6" t="s">
        <v>2247</v>
      </c>
      <c r="O1058" s="520">
        <v>45820</v>
      </c>
      <c r="P1058" s="524" t="str">
        <f>HYPERLINK("https://my.zakupivli.pro/remote/dispatcher/state_purchase_view/60062964", "UA-2025-06-12-008425-a")</f>
        <v>UA-2025-06-12-008425-a</v>
      </c>
      <c r="Q1058" s="519">
        <v>290.64371699999998</v>
      </c>
      <c r="R1058" s="519">
        <v>1</v>
      </c>
      <c r="S1058" s="519">
        <v>290.64371699999998</v>
      </c>
      <c r="T1058" s="520">
        <v>45820</v>
      </c>
      <c r="U1058" s="506"/>
      <c r="V1058" s="519" t="s">
        <v>59</v>
      </c>
    </row>
    <row r="1059" spans="1:22" ht="62.4" x14ac:dyDescent="0.3">
      <c r="A1059" s="519">
        <v>1053</v>
      </c>
      <c r="B1059" s="519" t="s">
        <v>40</v>
      </c>
      <c r="C1059" s="44" t="s">
        <v>73</v>
      </c>
      <c r="D1059" s="519"/>
      <c r="E1059" s="519" t="s">
        <v>75</v>
      </c>
      <c r="F1059" s="523" t="s">
        <v>2231</v>
      </c>
      <c r="G1059" s="519" t="s">
        <v>184</v>
      </c>
      <c r="H1059" s="519">
        <v>132.6986</v>
      </c>
      <c r="I1059" s="519">
        <v>1</v>
      </c>
      <c r="J1059" s="519">
        <v>132.6986</v>
      </c>
      <c r="K1059" s="519">
        <v>132.6986</v>
      </c>
      <c r="L1059" s="519">
        <v>1</v>
      </c>
      <c r="M1059" s="519">
        <v>132.6986</v>
      </c>
      <c r="N1059" s="6" t="s">
        <v>2248</v>
      </c>
      <c r="O1059" s="520">
        <v>45820</v>
      </c>
      <c r="P1059" s="524" t="str">
        <f>HYPERLINK("https://my.zakupivli.pro/remote/dispatcher/state_purchase_view/60047891", "UA-2025-06-12-001850-a")</f>
        <v>UA-2025-06-12-001850-a</v>
      </c>
      <c r="Q1059" s="519">
        <v>132.6986</v>
      </c>
      <c r="R1059" s="519">
        <v>1</v>
      </c>
      <c r="S1059" s="519">
        <v>132.6986</v>
      </c>
      <c r="T1059" s="507">
        <v>45819</v>
      </c>
      <c r="U1059" s="506"/>
      <c r="V1059" s="519" t="s">
        <v>59</v>
      </c>
    </row>
    <row r="1060" spans="1:22" ht="62.4" x14ac:dyDescent="0.3">
      <c r="A1060" s="519">
        <v>1054</v>
      </c>
      <c r="B1060" s="519" t="s">
        <v>40</v>
      </c>
      <c r="C1060" s="44" t="s">
        <v>73</v>
      </c>
      <c r="D1060" s="519"/>
      <c r="E1060" s="519" t="s">
        <v>75</v>
      </c>
      <c r="F1060" s="523" t="s">
        <v>2232</v>
      </c>
      <c r="G1060" s="519" t="s">
        <v>184</v>
      </c>
      <c r="H1060" s="519">
        <v>225.87713299999999</v>
      </c>
      <c r="I1060" s="519">
        <v>1</v>
      </c>
      <c r="J1060" s="519">
        <v>225.87713299999999</v>
      </c>
      <c r="K1060" s="519">
        <v>225.87713299999999</v>
      </c>
      <c r="L1060" s="519">
        <v>1</v>
      </c>
      <c r="M1060" s="519">
        <v>225.87713299999999</v>
      </c>
      <c r="N1060" s="6" t="s">
        <v>2249</v>
      </c>
      <c r="O1060" s="520">
        <v>45820</v>
      </c>
      <c r="P1060" s="524" t="str">
        <f>HYPERLINK("https://my.zakupivli.pro/remote/dispatcher/state_purchase_view/60047433", "UA-2025-06-12-001669-a")</f>
        <v>UA-2025-06-12-001669-a</v>
      </c>
      <c r="Q1060" s="519">
        <v>225.87713299999999</v>
      </c>
      <c r="R1060" s="519">
        <v>1</v>
      </c>
      <c r="S1060" s="519">
        <v>225.87713299999999</v>
      </c>
      <c r="T1060" s="520">
        <v>45819</v>
      </c>
      <c r="U1060" s="506"/>
      <c r="V1060" s="519" t="s">
        <v>59</v>
      </c>
    </row>
    <row r="1061" spans="1:22" ht="105" x14ac:dyDescent="0.3">
      <c r="A1061" s="519">
        <v>1055</v>
      </c>
      <c r="B1061" s="519" t="s">
        <v>40</v>
      </c>
      <c r="C1061" s="44" t="s">
        <v>41</v>
      </c>
      <c r="D1061" s="519"/>
      <c r="E1061" s="519" t="s">
        <v>20</v>
      </c>
      <c r="F1061" s="523" t="s">
        <v>2237</v>
      </c>
      <c r="G1061" s="519" t="s">
        <v>184</v>
      </c>
      <c r="H1061" s="519">
        <v>3017.02</v>
      </c>
      <c r="I1061" s="519">
        <v>1</v>
      </c>
      <c r="J1061" s="519">
        <v>3017.02</v>
      </c>
      <c r="K1061" s="519">
        <v>3017.02</v>
      </c>
      <c r="L1061" s="519">
        <v>1</v>
      </c>
      <c r="M1061" s="519">
        <v>3017.02</v>
      </c>
      <c r="N1061" s="6" t="s">
        <v>2250</v>
      </c>
      <c r="O1061" s="520">
        <v>45820</v>
      </c>
      <c r="P1061" s="524" t="str">
        <f>HYPERLINK("https://my.zakupivli.pro/remote/dispatcher/state_purchase_view/60044483", "UA-2025-06-12-000344-a")</f>
        <v>UA-2025-06-12-000344-a</v>
      </c>
      <c r="Q1061" s="525"/>
      <c r="R1061" s="525"/>
      <c r="S1061" s="525"/>
      <c r="T1061" s="526"/>
      <c r="U1061" s="525"/>
      <c r="V1061" s="525"/>
    </row>
    <row r="1062" spans="1:22" ht="90" x14ac:dyDescent="0.3">
      <c r="A1062" s="519">
        <v>1056</v>
      </c>
      <c r="B1062" s="519" t="s">
        <v>40</v>
      </c>
      <c r="C1062" s="44" t="s">
        <v>884</v>
      </c>
      <c r="D1062" s="519"/>
      <c r="E1062" s="519" t="s">
        <v>20</v>
      </c>
      <c r="F1062" s="523" t="s">
        <v>2238</v>
      </c>
      <c r="G1062" s="519" t="s">
        <v>184</v>
      </c>
      <c r="H1062" s="519">
        <v>2438.3141700000001</v>
      </c>
      <c r="I1062" s="519">
        <v>1</v>
      </c>
      <c r="J1062" s="519">
        <v>2438.3141700000001</v>
      </c>
      <c r="K1062" s="519">
        <v>2438.3141700000001</v>
      </c>
      <c r="L1062" s="519">
        <v>1</v>
      </c>
      <c r="M1062" s="519">
        <v>2438.3141700000001</v>
      </c>
      <c r="N1062" s="6" t="s">
        <v>2251</v>
      </c>
      <c r="O1062" s="520">
        <v>45820</v>
      </c>
      <c r="P1062" s="524" t="str">
        <f>HYPERLINK("https://my.zakupivli.pro/remote/dispatcher/state_purchase_view/60044375", "UA-2025-06-12-000284-a")</f>
        <v>UA-2025-06-12-000284-a</v>
      </c>
      <c r="Q1062" s="525"/>
      <c r="R1062" s="525"/>
      <c r="S1062" s="525"/>
      <c r="T1062" s="526"/>
      <c r="U1062" s="525"/>
      <c r="V1062" s="525"/>
    </row>
    <row r="1063" spans="1:22" ht="105" x14ac:dyDescent="0.3">
      <c r="A1063" s="519">
        <v>1057</v>
      </c>
      <c r="B1063" s="519" t="s">
        <v>40</v>
      </c>
      <c r="C1063" s="44" t="s">
        <v>41</v>
      </c>
      <c r="D1063" s="519"/>
      <c r="E1063" s="519" t="s">
        <v>20</v>
      </c>
      <c r="F1063" s="523" t="s">
        <v>2239</v>
      </c>
      <c r="G1063" s="519" t="s">
        <v>184</v>
      </c>
      <c r="H1063" s="519">
        <v>6338.2674999999999</v>
      </c>
      <c r="I1063" s="519">
        <v>1</v>
      </c>
      <c r="J1063" s="519">
        <v>6338.2674999999999</v>
      </c>
      <c r="K1063" s="519">
        <v>6338.2674999999999</v>
      </c>
      <c r="L1063" s="519">
        <v>1</v>
      </c>
      <c r="M1063" s="519">
        <v>6338.2674999999999</v>
      </c>
      <c r="N1063" s="6" t="s">
        <v>2252</v>
      </c>
      <c r="O1063" s="520">
        <v>45820</v>
      </c>
      <c r="P1063" s="524" t="str">
        <f>HYPERLINK("https://my.zakupivli.pro/remote/dispatcher/state_purchase_view/60044361", "UA-2025-06-12-000279-a")</f>
        <v>UA-2025-06-12-000279-a</v>
      </c>
      <c r="Q1063" s="525"/>
      <c r="R1063" s="525"/>
      <c r="S1063" s="525"/>
      <c r="T1063" s="526"/>
      <c r="U1063" s="525"/>
      <c r="V1063" s="525"/>
    </row>
    <row r="1064" spans="1:22" ht="105" x14ac:dyDescent="0.3">
      <c r="A1064" s="519">
        <v>1058</v>
      </c>
      <c r="B1064" s="519" t="s">
        <v>40</v>
      </c>
      <c r="C1064" s="44" t="s">
        <v>884</v>
      </c>
      <c r="D1064" s="519"/>
      <c r="E1064" s="519" t="s">
        <v>20</v>
      </c>
      <c r="F1064" s="523" t="s">
        <v>2240</v>
      </c>
      <c r="G1064" s="519" t="s">
        <v>184</v>
      </c>
      <c r="H1064" s="519">
        <v>14608.5708</v>
      </c>
      <c r="I1064" s="519">
        <v>1</v>
      </c>
      <c r="J1064" s="519">
        <v>14608.5708</v>
      </c>
      <c r="K1064" s="519">
        <v>14608.5708</v>
      </c>
      <c r="L1064" s="519">
        <v>1</v>
      </c>
      <c r="M1064" s="519">
        <v>14608.5708</v>
      </c>
      <c r="N1064" s="6" t="s">
        <v>2253</v>
      </c>
      <c r="O1064" s="521">
        <v>45820</v>
      </c>
      <c r="P1064" s="122" t="str">
        <f>HYPERLINK("https://my.zakupivli.pro/remote/dispatcher/state_purchase_view/60044037", "UA-2025-06-12-000131-a")</f>
        <v>UA-2025-06-12-000131-a</v>
      </c>
      <c r="Q1064" s="525"/>
      <c r="R1064" s="525"/>
      <c r="S1064" s="525"/>
      <c r="T1064" s="526"/>
      <c r="U1064" s="525"/>
      <c r="V1064" s="525"/>
    </row>
    <row r="1065" spans="1:22" ht="93.6" x14ac:dyDescent="0.3">
      <c r="A1065" s="522">
        <v>1059</v>
      </c>
      <c r="B1065" s="522" t="s">
        <v>40</v>
      </c>
      <c r="C1065" s="522" t="s">
        <v>884</v>
      </c>
      <c r="D1065" s="506"/>
      <c r="E1065" s="522" t="s">
        <v>20</v>
      </c>
      <c r="F1065" s="506" t="s">
        <v>2254</v>
      </c>
      <c r="G1065" s="522" t="s">
        <v>184</v>
      </c>
      <c r="H1065" s="506">
        <v>235.54607999999999</v>
      </c>
      <c r="I1065" s="522">
        <v>1</v>
      </c>
      <c r="J1065" s="522">
        <v>235.54607999999999</v>
      </c>
      <c r="K1065" s="522">
        <v>235.54607999999999</v>
      </c>
      <c r="L1065" s="522">
        <v>1</v>
      </c>
      <c r="M1065" s="522">
        <v>235.54607999999999</v>
      </c>
      <c r="N1065" s="6" t="s">
        <v>2258</v>
      </c>
      <c r="O1065" s="521">
        <v>45826</v>
      </c>
      <c r="P1065" s="33" t="str">
        <f>HYPERLINK("https://my.zakupivli.pro/remote/dispatcher/state_purchase_view/60193887", "UA-2025-06-18-011358-a")</f>
        <v>UA-2025-06-18-011358-a</v>
      </c>
      <c r="Q1065" s="522">
        <v>235.54607999999999</v>
      </c>
      <c r="R1065" s="522">
        <v>1</v>
      </c>
      <c r="S1065" s="522">
        <v>235.54607999999999</v>
      </c>
      <c r="T1065" s="521">
        <v>45826</v>
      </c>
      <c r="U1065" s="506"/>
      <c r="V1065" s="522" t="s">
        <v>59</v>
      </c>
    </row>
    <row r="1066" spans="1:22" ht="78" x14ac:dyDescent="0.3">
      <c r="A1066" s="522">
        <v>1060</v>
      </c>
      <c r="B1066" s="522" t="s">
        <v>40</v>
      </c>
      <c r="C1066" s="522" t="s">
        <v>884</v>
      </c>
      <c r="D1066" s="506"/>
      <c r="E1066" s="522" t="s">
        <v>20</v>
      </c>
      <c r="F1066" s="506" t="s">
        <v>2255</v>
      </c>
      <c r="G1066" s="522" t="s">
        <v>184</v>
      </c>
      <c r="H1066" s="506">
        <v>285.56797999999998</v>
      </c>
      <c r="I1066" s="522">
        <v>1</v>
      </c>
      <c r="J1066" s="522">
        <v>285.56797999999998</v>
      </c>
      <c r="K1066" s="522">
        <v>285.56797999999998</v>
      </c>
      <c r="L1066" s="522">
        <v>1</v>
      </c>
      <c r="M1066" s="522">
        <v>285.56797999999998</v>
      </c>
      <c r="N1066" s="6" t="s">
        <v>2259</v>
      </c>
      <c r="O1066" s="521">
        <v>45826</v>
      </c>
      <c r="P1066" s="33" t="str">
        <f>HYPERLINK("https://my.zakupivli.pro/remote/dispatcher/state_purchase_view/60193349", "UA-2025-06-18-011141-a")</f>
        <v>UA-2025-06-18-011141-a</v>
      </c>
      <c r="Q1066" s="522">
        <v>285.56797999999998</v>
      </c>
      <c r="R1066" s="522">
        <v>1</v>
      </c>
      <c r="S1066" s="522">
        <v>285.56797999999998</v>
      </c>
      <c r="T1066" s="521">
        <v>45826</v>
      </c>
      <c r="U1066" s="506"/>
      <c r="V1066" s="522" t="s">
        <v>59</v>
      </c>
    </row>
    <row r="1067" spans="1:22" ht="78" x14ac:dyDescent="0.3">
      <c r="A1067" s="522">
        <v>1061</v>
      </c>
      <c r="B1067" s="522" t="s">
        <v>40</v>
      </c>
      <c r="C1067" s="522" t="s">
        <v>884</v>
      </c>
      <c r="D1067" s="506"/>
      <c r="E1067" s="522" t="s">
        <v>20</v>
      </c>
      <c r="F1067" s="506" t="s">
        <v>2256</v>
      </c>
      <c r="G1067" s="522" t="s">
        <v>184</v>
      </c>
      <c r="H1067" s="506">
        <v>532.13455999999996</v>
      </c>
      <c r="I1067" s="522">
        <v>1</v>
      </c>
      <c r="J1067" s="522">
        <v>532.13455999999996</v>
      </c>
      <c r="K1067" s="522">
        <v>532.13455999999996</v>
      </c>
      <c r="L1067" s="522">
        <v>1</v>
      </c>
      <c r="M1067" s="522">
        <v>532.13455999999996</v>
      </c>
      <c r="N1067" s="6" t="s">
        <v>2260</v>
      </c>
      <c r="O1067" s="521">
        <v>45826</v>
      </c>
      <c r="P1067" s="33" t="str">
        <f>HYPERLINK("https://my.zakupivli.pro/remote/dispatcher/state_purchase_view/60193024", "UA-2025-06-18-010961-a")</f>
        <v>UA-2025-06-18-010961-a</v>
      </c>
      <c r="Q1067" s="522">
        <v>532.13455999999996</v>
      </c>
      <c r="R1067" s="522">
        <v>1</v>
      </c>
      <c r="S1067" s="522">
        <v>532.13455999999996</v>
      </c>
      <c r="T1067" s="521">
        <v>45826</v>
      </c>
      <c r="U1067" s="506"/>
      <c r="V1067" s="522" t="s">
        <v>59</v>
      </c>
    </row>
    <row r="1068" spans="1:22" ht="62.4" x14ac:dyDescent="0.3">
      <c r="A1068" s="522">
        <v>1062</v>
      </c>
      <c r="B1068" s="522" t="s">
        <v>40</v>
      </c>
      <c r="C1068" s="522" t="s">
        <v>884</v>
      </c>
      <c r="D1068" s="506"/>
      <c r="E1068" s="522" t="s">
        <v>20</v>
      </c>
      <c r="F1068" s="506" t="s">
        <v>2257</v>
      </c>
      <c r="G1068" s="522" t="s">
        <v>184</v>
      </c>
      <c r="H1068" s="506">
        <v>161.72523000000001</v>
      </c>
      <c r="I1068" s="522">
        <v>1</v>
      </c>
      <c r="J1068" s="522">
        <v>161.72523000000001</v>
      </c>
      <c r="K1068" s="522">
        <v>161.72523000000001</v>
      </c>
      <c r="L1068" s="522">
        <v>1</v>
      </c>
      <c r="M1068" s="522">
        <v>161.72523000000001</v>
      </c>
      <c r="N1068" s="6" t="s">
        <v>2261</v>
      </c>
      <c r="O1068" s="528">
        <v>45826</v>
      </c>
      <c r="P1068" s="33" t="str">
        <f>HYPERLINK("https://my.zakupivli.pro/remote/dispatcher/state_purchase_view/60168545", "UA-2025-06-18-000255-a")</f>
        <v>UA-2025-06-18-000255-a</v>
      </c>
      <c r="Q1068" s="527">
        <v>161.72523000000001</v>
      </c>
      <c r="R1068" s="522">
        <v>1</v>
      </c>
      <c r="S1068" s="522">
        <v>161.72523000000001</v>
      </c>
      <c r="T1068" s="521">
        <v>45824</v>
      </c>
      <c r="U1068" s="506"/>
      <c r="V1068" s="522" t="s">
        <v>59</v>
      </c>
    </row>
    <row r="1069" spans="1:22" ht="62.4" x14ac:dyDescent="0.3">
      <c r="A1069" s="527">
        <v>1063</v>
      </c>
      <c r="B1069" s="527" t="s">
        <v>40</v>
      </c>
      <c r="C1069" s="522" t="s">
        <v>41</v>
      </c>
      <c r="D1069" s="506"/>
      <c r="E1069" s="527" t="s">
        <v>20</v>
      </c>
      <c r="F1069" s="506" t="s">
        <v>2262</v>
      </c>
      <c r="G1069" s="527" t="s">
        <v>184</v>
      </c>
      <c r="H1069" s="506">
        <v>525.07153000000005</v>
      </c>
      <c r="I1069" s="527">
        <v>1</v>
      </c>
      <c r="J1069" s="527">
        <v>525.07153000000005</v>
      </c>
      <c r="K1069" s="527">
        <v>525.07153000000005</v>
      </c>
      <c r="L1069" s="527">
        <v>1</v>
      </c>
      <c r="M1069" s="527">
        <v>525.07153000000005</v>
      </c>
      <c r="N1069" s="6" t="s">
        <v>2269</v>
      </c>
      <c r="O1069" s="528">
        <v>45827</v>
      </c>
      <c r="P1069" s="33" t="str">
        <f>HYPERLINK("https://my.zakupivli.pro/remote/dispatcher/state_purchase_view/60216674", "UA-2025-06-19-007510-a")</f>
        <v>UA-2025-06-19-007510-a</v>
      </c>
      <c r="Q1069" s="527">
        <v>525.07153000000005</v>
      </c>
      <c r="R1069" s="527">
        <v>1</v>
      </c>
      <c r="S1069" s="527">
        <v>525.07153000000005</v>
      </c>
      <c r="T1069" s="507">
        <v>45826</v>
      </c>
      <c r="U1069" s="506"/>
      <c r="V1069" s="527" t="s">
        <v>59</v>
      </c>
    </row>
    <row r="1070" spans="1:22" ht="78" x14ac:dyDescent="0.3">
      <c r="A1070" s="527">
        <v>1064</v>
      </c>
      <c r="B1070" s="527" t="s">
        <v>40</v>
      </c>
      <c r="C1070" s="527" t="s">
        <v>884</v>
      </c>
      <c r="D1070" s="527"/>
      <c r="E1070" s="527" t="s">
        <v>20</v>
      </c>
      <c r="F1070" s="527" t="s">
        <v>2263</v>
      </c>
      <c r="G1070" s="527" t="s">
        <v>184</v>
      </c>
      <c r="H1070" s="527">
        <v>589.04088000000002</v>
      </c>
      <c r="I1070" s="527">
        <v>1</v>
      </c>
      <c r="J1070" s="527">
        <v>589.04088000000002</v>
      </c>
      <c r="K1070" s="527">
        <v>589.04088000000002</v>
      </c>
      <c r="L1070" s="527">
        <v>1</v>
      </c>
      <c r="M1070" s="527">
        <v>589.04088000000002</v>
      </c>
      <c r="N1070" s="6" t="s">
        <v>2270</v>
      </c>
      <c r="O1070" s="528">
        <v>45827</v>
      </c>
      <c r="P1070" s="33" t="str">
        <f>HYPERLINK("https://my.zakupivli.pro/remote/dispatcher/state_purchase_view/60216127", "UA-2025-06-19-007258-a")</f>
        <v>UA-2025-06-19-007258-a</v>
      </c>
      <c r="Q1070" s="527">
        <v>589.04088000000002</v>
      </c>
      <c r="R1070" s="527">
        <v>1</v>
      </c>
      <c r="S1070" s="527">
        <v>589.04088000000002</v>
      </c>
      <c r="T1070" s="528">
        <v>45826</v>
      </c>
      <c r="U1070" s="527"/>
      <c r="V1070" s="527" t="s">
        <v>59</v>
      </c>
    </row>
    <row r="1071" spans="1:22" ht="62.4" x14ac:dyDescent="0.3">
      <c r="A1071" s="527">
        <v>1065</v>
      </c>
      <c r="B1071" s="527" t="s">
        <v>40</v>
      </c>
      <c r="C1071" s="527" t="s">
        <v>884</v>
      </c>
      <c r="D1071" s="527"/>
      <c r="E1071" s="527" t="s">
        <v>20</v>
      </c>
      <c r="F1071" s="527" t="s">
        <v>2264</v>
      </c>
      <c r="G1071" s="527" t="s">
        <v>184</v>
      </c>
      <c r="H1071" s="527">
        <v>236.82848999999999</v>
      </c>
      <c r="I1071" s="527">
        <v>1</v>
      </c>
      <c r="J1071" s="527">
        <v>236.82848999999999</v>
      </c>
      <c r="K1071" s="527">
        <v>236.82848999999999</v>
      </c>
      <c r="L1071" s="527">
        <v>1</v>
      </c>
      <c r="M1071" s="527">
        <v>236.82848999999999</v>
      </c>
      <c r="N1071" s="6" t="s">
        <v>2271</v>
      </c>
      <c r="O1071" s="528">
        <v>45827</v>
      </c>
      <c r="P1071" s="33" t="str">
        <f>HYPERLINK("https://my.zakupivli.pro/remote/dispatcher/state_purchase_view/60215788", "UA-2025-06-19-007122-a")</f>
        <v>UA-2025-06-19-007122-a</v>
      </c>
      <c r="Q1071" s="527">
        <v>236.82848999999999</v>
      </c>
      <c r="R1071" s="527">
        <v>1</v>
      </c>
      <c r="S1071" s="527">
        <v>236.82848999999999</v>
      </c>
      <c r="T1071" s="528">
        <v>45826</v>
      </c>
      <c r="U1071" s="527"/>
      <c r="V1071" s="527" t="s">
        <v>59</v>
      </c>
    </row>
    <row r="1072" spans="1:22" ht="93.6" x14ac:dyDescent="0.3">
      <c r="A1072" s="527">
        <v>1066</v>
      </c>
      <c r="B1072" s="527" t="s">
        <v>40</v>
      </c>
      <c r="C1072" s="527" t="s">
        <v>884</v>
      </c>
      <c r="D1072" s="527"/>
      <c r="E1072" s="527" t="s">
        <v>20</v>
      </c>
      <c r="F1072" s="527" t="s">
        <v>2265</v>
      </c>
      <c r="G1072" s="527" t="s">
        <v>184</v>
      </c>
      <c r="H1072" s="527">
        <v>343.4273</v>
      </c>
      <c r="I1072" s="527">
        <v>1</v>
      </c>
      <c r="J1072" s="527">
        <v>343.4273</v>
      </c>
      <c r="K1072" s="527">
        <v>343.4273</v>
      </c>
      <c r="L1072" s="527">
        <v>1</v>
      </c>
      <c r="M1072" s="527">
        <v>343.4273</v>
      </c>
      <c r="N1072" s="6" t="s">
        <v>2272</v>
      </c>
      <c r="O1072" s="528">
        <v>45827</v>
      </c>
      <c r="P1072" s="33" t="str">
        <f>HYPERLINK("https://my.zakupivli.pro/remote/dispatcher/state_purchase_view/60215677", "UA-2025-06-19-007061-a")</f>
        <v>UA-2025-06-19-007061-a</v>
      </c>
      <c r="Q1072" s="527">
        <v>343.4273</v>
      </c>
      <c r="R1072" s="527">
        <v>1</v>
      </c>
      <c r="S1072" s="527">
        <v>343.4273</v>
      </c>
      <c r="T1072" s="528">
        <v>45826</v>
      </c>
      <c r="U1072" s="527"/>
      <c r="V1072" s="527" t="s">
        <v>59</v>
      </c>
    </row>
    <row r="1073" spans="1:22" ht="62.4" x14ac:dyDescent="0.3">
      <c r="A1073" s="527">
        <v>1067</v>
      </c>
      <c r="B1073" s="527" t="s">
        <v>40</v>
      </c>
      <c r="C1073" s="527" t="s">
        <v>41</v>
      </c>
      <c r="D1073" s="527"/>
      <c r="E1073" s="527" t="s">
        <v>20</v>
      </c>
      <c r="F1073" s="527" t="s">
        <v>2266</v>
      </c>
      <c r="G1073" s="527" t="s">
        <v>184</v>
      </c>
      <c r="H1073" s="527">
        <v>581.73767999999995</v>
      </c>
      <c r="I1073" s="527">
        <v>1</v>
      </c>
      <c r="J1073" s="527">
        <v>581.73767999999995</v>
      </c>
      <c r="K1073" s="527">
        <v>581.73767999999995</v>
      </c>
      <c r="L1073" s="527">
        <v>1</v>
      </c>
      <c r="M1073" s="527">
        <v>581.73767999999995</v>
      </c>
      <c r="N1073" s="6" t="s">
        <v>2273</v>
      </c>
      <c r="O1073" s="528">
        <v>45827</v>
      </c>
      <c r="P1073" s="33" t="str">
        <f>HYPERLINK("https://my.zakupivli.pro/remote/dispatcher/state_purchase_view/60215472", "UA-2025-06-19-007019-a")</f>
        <v>UA-2025-06-19-007019-a</v>
      </c>
      <c r="Q1073" s="527">
        <v>581.73767999999995</v>
      </c>
      <c r="R1073" s="527">
        <v>1</v>
      </c>
      <c r="S1073" s="527">
        <v>581.73767999999995</v>
      </c>
      <c r="T1073" s="528">
        <v>45826</v>
      </c>
      <c r="U1073" s="527"/>
      <c r="V1073" s="527" t="s">
        <v>59</v>
      </c>
    </row>
    <row r="1074" spans="1:22" ht="93.6" x14ac:dyDescent="0.3">
      <c r="A1074" s="527">
        <v>1068</v>
      </c>
      <c r="B1074" s="527" t="s">
        <v>40</v>
      </c>
      <c r="C1074" s="527" t="s">
        <v>41</v>
      </c>
      <c r="D1074" s="527"/>
      <c r="E1074" s="527" t="s">
        <v>20</v>
      </c>
      <c r="F1074" s="527" t="s">
        <v>2267</v>
      </c>
      <c r="G1074" s="527" t="s">
        <v>184</v>
      </c>
      <c r="H1074" s="527">
        <v>1095.4368099999999</v>
      </c>
      <c r="I1074" s="527">
        <v>1</v>
      </c>
      <c r="J1074" s="527">
        <v>1095.4368099999999</v>
      </c>
      <c r="K1074" s="527">
        <v>1095.4368099999999</v>
      </c>
      <c r="L1074" s="527">
        <v>1</v>
      </c>
      <c r="M1074" s="527">
        <v>1095.4368099999999</v>
      </c>
      <c r="N1074" s="6" t="s">
        <v>2274</v>
      </c>
      <c r="O1074" s="528">
        <v>45827</v>
      </c>
      <c r="P1074" s="33" t="str">
        <f>HYPERLINK("https://my.zakupivli.pro/remote/dispatcher/state_purchase_view/60215368", "UA-2025-06-19-006954-a")</f>
        <v>UA-2025-06-19-006954-a</v>
      </c>
      <c r="Q1074" s="527">
        <v>1095.4368099999999</v>
      </c>
      <c r="R1074" s="527">
        <v>1</v>
      </c>
      <c r="S1074" s="527">
        <v>1095.4368099999999</v>
      </c>
      <c r="T1074" s="528">
        <v>45826</v>
      </c>
      <c r="U1074" s="527"/>
      <c r="V1074" s="527" t="s">
        <v>59</v>
      </c>
    </row>
    <row r="1075" spans="1:22" ht="93.6" x14ac:dyDescent="0.3">
      <c r="A1075" s="529">
        <v>1069</v>
      </c>
      <c r="B1075" s="529" t="s">
        <v>40</v>
      </c>
      <c r="C1075" s="529" t="s">
        <v>884</v>
      </c>
      <c r="D1075" s="529"/>
      <c r="E1075" s="529" t="s">
        <v>20</v>
      </c>
      <c r="F1075" s="529" t="s">
        <v>2268</v>
      </c>
      <c r="G1075" s="529" t="s">
        <v>184</v>
      </c>
      <c r="H1075" s="527">
        <v>368.45093000000003</v>
      </c>
      <c r="I1075" s="527">
        <v>1</v>
      </c>
      <c r="J1075" s="527">
        <v>368.45093000000003</v>
      </c>
      <c r="K1075" s="527">
        <v>368.45093000000003</v>
      </c>
      <c r="L1075" s="527">
        <v>1</v>
      </c>
      <c r="M1075" s="527">
        <v>368.45093000000003</v>
      </c>
      <c r="N1075" s="6" t="s">
        <v>2275</v>
      </c>
      <c r="O1075" s="530">
        <v>45827</v>
      </c>
      <c r="P1075" s="33" t="str">
        <f>HYPERLINK("https://my.zakupivli.pro/remote/dispatcher/state_purchase_view/60215232", "UA-2025-06-19-006872-a")</f>
        <v>UA-2025-06-19-006872-a</v>
      </c>
      <c r="Q1075" s="529">
        <v>368.45093000000003</v>
      </c>
      <c r="R1075" s="527">
        <v>1</v>
      </c>
      <c r="S1075" s="527">
        <v>368.45093000000003</v>
      </c>
      <c r="T1075" s="528">
        <v>45826</v>
      </c>
      <c r="U1075" s="527"/>
      <c r="V1075" s="527" t="s">
        <v>59</v>
      </c>
    </row>
    <row r="1076" spans="1:22" ht="62.4" x14ac:dyDescent="0.3">
      <c r="A1076" s="529">
        <v>1070</v>
      </c>
      <c r="B1076" s="529" t="s">
        <v>40</v>
      </c>
      <c r="C1076" s="44" t="s">
        <v>73</v>
      </c>
      <c r="D1076" s="529"/>
      <c r="E1076" s="529" t="s">
        <v>75</v>
      </c>
      <c r="F1076" s="44" t="s">
        <v>2276</v>
      </c>
      <c r="G1076" s="529" t="s">
        <v>184</v>
      </c>
      <c r="H1076" s="527">
        <v>81.660808299999999</v>
      </c>
      <c r="I1076" s="529">
        <v>1</v>
      </c>
      <c r="J1076" s="529">
        <v>81.660808299999999</v>
      </c>
      <c r="K1076" s="529">
        <v>81.660808299999999</v>
      </c>
      <c r="L1076" s="529">
        <v>1</v>
      </c>
      <c r="M1076" s="529">
        <v>81.660808299999999</v>
      </c>
      <c r="N1076" s="6" t="s">
        <v>2281</v>
      </c>
      <c r="O1076" s="530">
        <v>45828</v>
      </c>
      <c r="P1076" s="33" t="str">
        <f>HYPERLINK("https://my.zakupivli.pro/remote/dispatcher/state_purchase_view/60238175", "UA-2025-06-20-003030-a")</f>
        <v>UA-2025-06-20-003030-a</v>
      </c>
      <c r="Q1076" s="529">
        <v>81.660808299999999</v>
      </c>
      <c r="R1076" s="529">
        <v>1</v>
      </c>
      <c r="S1076" s="529">
        <v>81.660808299999999</v>
      </c>
      <c r="T1076" s="528">
        <v>45827</v>
      </c>
      <c r="U1076" s="527"/>
      <c r="V1076" s="529" t="s">
        <v>59</v>
      </c>
    </row>
    <row r="1077" spans="1:22" ht="62.4" x14ac:dyDescent="0.3">
      <c r="A1077" s="529">
        <v>1071</v>
      </c>
      <c r="B1077" s="529" t="s">
        <v>40</v>
      </c>
      <c r="C1077" s="44" t="s">
        <v>73</v>
      </c>
      <c r="D1077" s="529"/>
      <c r="E1077" s="529" t="s">
        <v>75</v>
      </c>
      <c r="F1077" s="44" t="s">
        <v>2277</v>
      </c>
      <c r="G1077" s="529" t="s">
        <v>184</v>
      </c>
      <c r="H1077" s="527">
        <v>116.831292</v>
      </c>
      <c r="I1077" s="529">
        <v>1</v>
      </c>
      <c r="J1077" s="529">
        <v>116.831292</v>
      </c>
      <c r="K1077" s="529">
        <v>116.831292</v>
      </c>
      <c r="L1077" s="529">
        <v>1</v>
      </c>
      <c r="M1077" s="529">
        <v>116.831292</v>
      </c>
      <c r="N1077" s="6" t="s">
        <v>2282</v>
      </c>
      <c r="O1077" s="530">
        <v>45828</v>
      </c>
      <c r="P1077" s="33" t="str">
        <f>HYPERLINK("https://my.zakupivli.pro/remote/dispatcher/state_purchase_view/60237997", "UA-2025-06-20-002917-a")</f>
        <v>UA-2025-06-20-002917-a</v>
      </c>
      <c r="Q1077" s="529">
        <v>116.831292</v>
      </c>
      <c r="R1077" s="529">
        <v>1</v>
      </c>
      <c r="S1077" s="529">
        <v>116.831292</v>
      </c>
      <c r="T1077" s="530">
        <v>45827</v>
      </c>
      <c r="U1077" s="527"/>
      <c r="V1077" s="529" t="s">
        <v>59</v>
      </c>
    </row>
    <row r="1078" spans="1:22" ht="78" x14ac:dyDescent="0.3">
      <c r="A1078" s="529">
        <v>1072</v>
      </c>
      <c r="B1078" s="529" t="s">
        <v>40</v>
      </c>
      <c r="C1078" s="44" t="s">
        <v>884</v>
      </c>
      <c r="D1078" s="529"/>
      <c r="E1078" s="529" t="s">
        <v>20</v>
      </c>
      <c r="F1078" s="44" t="s">
        <v>2278</v>
      </c>
      <c r="G1078" s="529" t="s">
        <v>184</v>
      </c>
      <c r="H1078" s="527">
        <v>534.61200799999995</v>
      </c>
      <c r="I1078" s="529">
        <v>1</v>
      </c>
      <c r="J1078" s="529">
        <v>534.61200799999995</v>
      </c>
      <c r="K1078" s="529">
        <v>534.61200799999995</v>
      </c>
      <c r="L1078" s="529">
        <v>1</v>
      </c>
      <c r="M1078" s="529">
        <v>534.61200799999995</v>
      </c>
      <c r="N1078" s="6" t="s">
        <v>2283</v>
      </c>
      <c r="O1078" s="530">
        <v>45828</v>
      </c>
      <c r="P1078" s="33" t="str">
        <f>HYPERLINK("https://my.zakupivli.pro/remote/dispatcher/state_purchase_view/60237708", "UA-2025-06-20-002761-a")</f>
        <v>UA-2025-06-20-002761-a</v>
      </c>
      <c r="Q1078" s="529">
        <v>534.61200799999995</v>
      </c>
      <c r="R1078" s="529">
        <v>1</v>
      </c>
      <c r="S1078" s="529">
        <v>534.61200799999995</v>
      </c>
      <c r="T1078" s="530">
        <v>45827</v>
      </c>
      <c r="U1078" s="527"/>
      <c r="V1078" s="529" t="s">
        <v>59</v>
      </c>
    </row>
    <row r="1079" spans="1:22" ht="62.4" x14ac:dyDescent="0.3">
      <c r="A1079" s="529">
        <v>1073</v>
      </c>
      <c r="B1079" s="529" t="s">
        <v>40</v>
      </c>
      <c r="C1079" s="44" t="s">
        <v>73</v>
      </c>
      <c r="D1079" s="529"/>
      <c r="E1079" s="529" t="s">
        <v>75</v>
      </c>
      <c r="F1079" s="44" t="s">
        <v>2279</v>
      </c>
      <c r="G1079" s="529" t="s">
        <v>184</v>
      </c>
      <c r="H1079" s="527">
        <v>135.15135000000001</v>
      </c>
      <c r="I1079" s="529">
        <v>1</v>
      </c>
      <c r="J1079" s="529">
        <v>135.15135000000001</v>
      </c>
      <c r="K1079" s="529">
        <v>135.15135000000001</v>
      </c>
      <c r="L1079" s="529">
        <v>1</v>
      </c>
      <c r="M1079" s="529">
        <v>135.15135000000001</v>
      </c>
      <c r="N1079" s="6" t="s">
        <v>2284</v>
      </c>
      <c r="O1079" s="530">
        <v>45828</v>
      </c>
      <c r="P1079" s="33" t="str">
        <f>HYPERLINK("https://my.zakupivli.pro/remote/dispatcher/state_purchase_view/60237438", "UA-2025-06-20-002703-a")</f>
        <v>UA-2025-06-20-002703-a</v>
      </c>
      <c r="Q1079" s="529">
        <v>135.15135000000001</v>
      </c>
      <c r="R1079" s="529">
        <v>1</v>
      </c>
      <c r="S1079" s="529">
        <v>135.15135000000001</v>
      </c>
      <c r="T1079" s="530">
        <v>45827</v>
      </c>
      <c r="U1079" s="527"/>
      <c r="V1079" s="529" t="s">
        <v>59</v>
      </c>
    </row>
    <row r="1080" spans="1:22" ht="62.4" x14ac:dyDescent="0.3">
      <c r="A1080" s="529">
        <v>1074</v>
      </c>
      <c r="B1080" s="529" t="s">
        <v>40</v>
      </c>
      <c r="C1080" s="44" t="s">
        <v>73</v>
      </c>
      <c r="D1080" s="529"/>
      <c r="E1080" s="529" t="s">
        <v>75</v>
      </c>
      <c r="F1080" s="44" t="s">
        <v>2280</v>
      </c>
      <c r="G1080" s="529" t="s">
        <v>184</v>
      </c>
      <c r="H1080" s="527">
        <v>205.14746700000001</v>
      </c>
      <c r="I1080" s="529">
        <v>1</v>
      </c>
      <c r="J1080" s="529">
        <v>205.14746700000001</v>
      </c>
      <c r="K1080" s="529">
        <v>205.14746700000001</v>
      </c>
      <c r="L1080" s="529">
        <v>1</v>
      </c>
      <c r="M1080" s="529">
        <v>205.14746700000001</v>
      </c>
      <c r="N1080" s="6" t="s">
        <v>2285</v>
      </c>
      <c r="O1080" s="532">
        <v>45828</v>
      </c>
      <c r="P1080" s="33" t="str">
        <f>HYPERLINK("https://my.zakupivli.pro/remote/dispatcher/state_purchase_view/60237216", "UA-2025-06-20-002566-a")</f>
        <v>UA-2025-06-20-002566-a</v>
      </c>
      <c r="Q1080" s="531">
        <v>205.14746700000001</v>
      </c>
      <c r="R1080" s="529">
        <v>1</v>
      </c>
      <c r="S1080" s="529">
        <v>205.14746700000001</v>
      </c>
      <c r="T1080" s="530">
        <v>45827</v>
      </c>
      <c r="U1080" s="527"/>
      <c r="V1080" s="529" t="s">
        <v>59</v>
      </c>
    </row>
    <row r="1081" spans="1:22" ht="62.4" x14ac:dyDescent="0.3">
      <c r="A1081" s="531">
        <v>1075</v>
      </c>
      <c r="B1081" s="531" t="s">
        <v>1150</v>
      </c>
      <c r="C1081" s="529" t="s">
        <v>1400</v>
      </c>
      <c r="D1081" s="529"/>
      <c r="E1081" s="531" t="s">
        <v>75</v>
      </c>
      <c r="F1081" s="529" t="s">
        <v>2286</v>
      </c>
      <c r="G1081" s="531" t="s">
        <v>186</v>
      </c>
      <c r="H1081" s="527"/>
      <c r="I1081" s="531">
        <v>11</v>
      </c>
      <c r="J1081" s="527">
        <v>78.329070000000002</v>
      </c>
      <c r="K1081" s="527"/>
      <c r="L1081" s="531">
        <v>11</v>
      </c>
      <c r="M1081" s="531">
        <v>78.329070000000002</v>
      </c>
      <c r="N1081" s="6" t="s">
        <v>2289</v>
      </c>
      <c r="O1081" s="532">
        <v>45831</v>
      </c>
      <c r="P1081" s="33" t="str">
        <f>HYPERLINK("https://my.zakupivli.pro/remote/dispatcher/state_purchase_view/60270749", "UA-2025-06-23-004108-a")</f>
        <v>UA-2025-06-23-004108-a</v>
      </c>
      <c r="Q1081" s="531"/>
      <c r="R1081" s="531">
        <v>11</v>
      </c>
      <c r="S1081" s="531">
        <v>78.329070000000002</v>
      </c>
      <c r="T1081" s="528">
        <v>45831</v>
      </c>
      <c r="U1081" s="527"/>
      <c r="V1081" s="531" t="s">
        <v>59</v>
      </c>
    </row>
    <row r="1082" spans="1:22" ht="62.4" x14ac:dyDescent="0.3">
      <c r="A1082" s="531">
        <v>1076</v>
      </c>
      <c r="B1082" s="531" t="s">
        <v>40</v>
      </c>
      <c r="C1082" s="527" t="s">
        <v>884</v>
      </c>
      <c r="D1082" s="527"/>
      <c r="E1082" s="531" t="s">
        <v>20</v>
      </c>
      <c r="F1082" s="527" t="s">
        <v>2287</v>
      </c>
      <c r="G1082" s="531" t="s">
        <v>184</v>
      </c>
      <c r="H1082" s="535">
        <v>59.807670000000002</v>
      </c>
      <c r="I1082" s="531">
        <v>1</v>
      </c>
      <c r="J1082" s="535">
        <v>59.807670000000002</v>
      </c>
      <c r="K1082" s="535">
        <v>59.807670000000002</v>
      </c>
      <c r="L1082" s="531">
        <v>1</v>
      </c>
      <c r="M1082" s="535">
        <v>59.807670000000002</v>
      </c>
      <c r="N1082" s="6" t="s">
        <v>2290</v>
      </c>
      <c r="O1082" s="532">
        <v>45831</v>
      </c>
      <c r="P1082" s="33" t="str">
        <f>HYPERLINK("https://my.zakupivli.pro/remote/dispatcher/state_purchase_view/60265394", "UA-2025-06-23-001718-a")</f>
        <v>UA-2025-06-23-001718-a</v>
      </c>
      <c r="Q1082" s="535">
        <v>59.807670000000002</v>
      </c>
      <c r="R1082" s="531">
        <v>1</v>
      </c>
      <c r="S1082" s="535">
        <v>59.807670000000002</v>
      </c>
      <c r="T1082" s="528">
        <v>45828</v>
      </c>
      <c r="U1082" s="527"/>
      <c r="V1082" s="531" t="s">
        <v>59</v>
      </c>
    </row>
    <row r="1083" spans="1:22" ht="62.4" x14ac:dyDescent="0.3">
      <c r="A1083" s="531">
        <v>1077</v>
      </c>
      <c r="B1083" s="531" t="s">
        <v>40</v>
      </c>
      <c r="C1083" s="527" t="s">
        <v>884</v>
      </c>
      <c r="D1083" s="527"/>
      <c r="E1083" s="531" t="s">
        <v>20</v>
      </c>
      <c r="F1083" s="527" t="s">
        <v>2288</v>
      </c>
      <c r="G1083" s="531" t="s">
        <v>184</v>
      </c>
      <c r="H1083" s="531">
        <v>65.36233</v>
      </c>
      <c r="I1083" s="531">
        <v>1</v>
      </c>
      <c r="J1083" s="531">
        <v>65.36233</v>
      </c>
      <c r="K1083" s="531">
        <v>65.36233</v>
      </c>
      <c r="L1083" s="531">
        <v>1</v>
      </c>
      <c r="M1083" s="531">
        <v>65.36233</v>
      </c>
      <c r="N1083" s="6" t="s">
        <v>2291</v>
      </c>
      <c r="O1083" s="534">
        <v>45831</v>
      </c>
      <c r="P1083" s="33" t="str">
        <f>HYPERLINK("https://my.zakupivli.pro/remote/dispatcher/state_purchase_view/60263803", "UA-2025-06-23-000983-a")</f>
        <v>UA-2025-06-23-000983-a</v>
      </c>
      <c r="Q1083" s="533">
        <v>65.36233</v>
      </c>
      <c r="R1083" s="531">
        <v>1</v>
      </c>
      <c r="S1083" s="531">
        <v>65.36233</v>
      </c>
      <c r="T1083" s="532">
        <v>45828</v>
      </c>
      <c r="U1083" s="527"/>
      <c r="V1083" s="531" t="s">
        <v>59</v>
      </c>
    </row>
    <row r="1084" spans="1:22" ht="62.4" x14ac:dyDescent="0.3">
      <c r="A1084" s="533">
        <v>1078</v>
      </c>
      <c r="B1084" s="533" t="s">
        <v>40</v>
      </c>
      <c r="C1084" s="527" t="s">
        <v>884</v>
      </c>
      <c r="D1084" s="527"/>
      <c r="E1084" s="533" t="s">
        <v>20</v>
      </c>
      <c r="F1084" s="527" t="s">
        <v>2292</v>
      </c>
      <c r="G1084" s="533" t="s">
        <v>184</v>
      </c>
      <c r="H1084" s="527">
        <v>323.23500000000001</v>
      </c>
      <c r="I1084" s="533">
        <v>1</v>
      </c>
      <c r="J1084" s="533">
        <v>323.23500000000001</v>
      </c>
      <c r="K1084" s="533">
        <v>323.23500000000001</v>
      </c>
      <c r="L1084" s="533">
        <v>1</v>
      </c>
      <c r="M1084" s="533">
        <v>323.23500000000001</v>
      </c>
      <c r="N1084" s="6" t="s">
        <v>2297</v>
      </c>
      <c r="O1084" s="534">
        <v>45832</v>
      </c>
      <c r="P1084" s="33" t="str">
        <f>HYPERLINK("https://my.zakupivli.pro/remote/dispatcher/state_purchase_view/60294015", "UA-2025-06-24-000612-a")</f>
        <v>UA-2025-06-24-000612-a</v>
      </c>
      <c r="Q1084" s="533">
        <v>323.23500000000001</v>
      </c>
      <c r="R1084" s="533">
        <v>1</v>
      </c>
      <c r="S1084" s="533">
        <v>323.23500000000001</v>
      </c>
      <c r="T1084" s="528">
        <v>45831</v>
      </c>
      <c r="U1084" s="527"/>
      <c r="V1084" s="533" t="s">
        <v>59</v>
      </c>
    </row>
    <row r="1085" spans="1:22" ht="62.4" x14ac:dyDescent="0.3">
      <c r="A1085" s="533">
        <v>1079</v>
      </c>
      <c r="B1085" s="533" t="s">
        <v>40</v>
      </c>
      <c r="C1085" s="533" t="s">
        <v>884</v>
      </c>
      <c r="D1085" s="527"/>
      <c r="E1085" s="533" t="s">
        <v>20</v>
      </c>
      <c r="F1085" s="527" t="s">
        <v>2293</v>
      </c>
      <c r="G1085" s="533" t="s">
        <v>184</v>
      </c>
      <c r="H1085" s="527">
        <v>69.258129999999994</v>
      </c>
      <c r="I1085" s="533">
        <v>1</v>
      </c>
      <c r="J1085" s="533">
        <v>69.258129999999994</v>
      </c>
      <c r="K1085" s="533">
        <v>69.258129999999994</v>
      </c>
      <c r="L1085" s="533">
        <v>1</v>
      </c>
      <c r="M1085" s="533">
        <v>69.258129999999994</v>
      </c>
      <c r="N1085" s="6" t="s">
        <v>2298</v>
      </c>
      <c r="O1085" s="534">
        <v>45832</v>
      </c>
      <c r="P1085" s="33" t="str">
        <f>HYPERLINK("https://my.zakupivli.pro/remote/dispatcher/state_purchase_view/60293760", "UA-2025-06-24-000503-a")</f>
        <v>UA-2025-06-24-000503-a</v>
      </c>
      <c r="Q1085" s="533">
        <v>69.258129999999994</v>
      </c>
      <c r="R1085" s="533">
        <v>1</v>
      </c>
      <c r="S1085" s="533">
        <v>69.258129999999994</v>
      </c>
      <c r="T1085" s="534">
        <v>45828</v>
      </c>
      <c r="U1085" s="527"/>
      <c r="V1085" s="533" t="s">
        <v>59</v>
      </c>
    </row>
    <row r="1086" spans="1:22" ht="62.4" x14ac:dyDescent="0.3">
      <c r="A1086" s="533">
        <v>1080</v>
      </c>
      <c r="B1086" s="533" t="s">
        <v>40</v>
      </c>
      <c r="C1086" s="533" t="s">
        <v>884</v>
      </c>
      <c r="D1086" s="527"/>
      <c r="E1086" s="533" t="s">
        <v>20</v>
      </c>
      <c r="F1086" s="527" t="s">
        <v>2294</v>
      </c>
      <c r="G1086" s="533" t="s">
        <v>184</v>
      </c>
      <c r="H1086" s="527">
        <v>120.95393</v>
      </c>
      <c r="I1086" s="533">
        <v>1</v>
      </c>
      <c r="J1086" s="533">
        <v>120.95393</v>
      </c>
      <c r="K1086" s="533">
        <v>120.95393</v>
      </c>
      <c r="L1086" s="533">
        <v>1</v>
      </c>
      <c r="M1086" s="533">
        <v>120.95393</v>
      </c>
      <c r="N1086" s="6" t="s">
        <v>2299</v>
      </c>
      <c r="O1086" s="534">
        <v>45832</v>
      </c>
      <c r="P1086" s="33" t="str">
        <f>HYPERLINK("https://my.zakupivli.pro/remote/dispatcher/state_purchase_view/60293316", "UA-2025-06-24-000275-a")</f>
        <v>UA-2025-06-24-000275-a</v>
      </c>
      <c r="Q1086" s="533">
        <v>120.95393</v>
      </c>
      <c r="R1086" s="533">
        <v>1</v>
      </c>
      <c r="S1086" s="533">
        <v>120.95393</v>
      </c>
      <c r="T1086" s="534">
        <v>45831</v>
      </c>
      <c r="U1086" s="527"/>
      <c r="V1086" s="533" t="s">
        <v>59</v>
      </c>
    </row>
    <row r="1087" spans="1:22" ht="93.6" x14ac:dyDescent="0.3">
      <c r="A1087" s="533">
        <v>1081</v>
      </c>
      <c r="B1087" s="533" t="s">
        <v>40</v>
      </c>
      <c r="C1087" s="533" t="s">
        <v>884</v>
      </c>
      <c r="D1087" s="527"/>
      <c r="E1087" s="533" t="s">
        <v>20</v>
      </c>
      <c r="F1087" s="527" t="s">
        <v>2295</v>
      </c>
      <c r="G1087" s="533" t="s">
        <v>184</v>
      </c>
      <c r="H1087" s="527">
        <v>105.59719</v>
      </c>
      <c r="I1087" s="533">
        <v>1</v>
      </c>
      <c r="J1087" s="533">
        <v>105.59719</v>
      </c>
      <c r="K1087" s="533">
        <v>105.59719</v>
      </c>
      <c r="L1087" s="533">
        <v>1</v>
      </c>
      <c r="M1087" s="533">
        <v>105.59719</v>
      </c>
      <c r="N1087" s="6" t="s">
        <v>2300</v>
      </c>
      <c r="O1087" s="534">
        <v>45832</v>
      </c>
      <c r="P1087" s="33" t="str">
        <f>HYPERLINK("https://my.zakupivli.pro/remote/dispatcher/state_purchase_view/60293182", "UA-2025-06-24-000229-a")</f>
        <v>UA-2025-06-24-000229-a</v>
      </c>
      <c r="Q1087" s="533">
        <v>105.59719</v>
      </c>
      <c r="R1087" s="533">
        <v>1</v>
      </c>
      <c r="S1087" s="533">
        <v>105.59719</v>
      </c>
      <c r="T1087" s="534">
        <v>45831</v>
      </c>
      <c r="U1087" s="527"/>
      <c r="V1087" s="533" t="s">
        <v>59</v>
      </c>
    </row>
    <row r="1088" spans="1:22" ht="93.6" x14ac:dyDescent="0.3">
      <c r="A1088" s="533">
        <v>1082</v>
      </c>
      <c r="B1088" s="533" t="s">
        <v>40</v>
      </c>
      <c r="C1088" s="533" t="s">
        <v>884</v>
      </c>
      <c r="D1088" s="527"/>
      <c r="E1088" s="533" t="s">
        <v>20</v>
      </c>
      <c r="F1088" s="527" t="s">
        <v>2296</v>
      </c>
      <c r="G1088" s="533" t="s">
        <v>184</v>
      </c>
      <c r="H1088" s="527">
        <v>323.29993999999999</v>
      </c>
      <c r="I1088" s="533">
        <v>1</v>
      </c>
      <c r="J1088" s="533">
        <v>323.29993999999999</v>
      </c>
      <c r="K1088" s="533">
        <v>323.29993999999999</v>
      </c>
      <c r="L1088" s="533">
        <v>1</v>
      </c>
      <c r="M1088" s="533">
        <v>323.29993999999999</v>
      </c>
      <c r="N1088" s="6" t="s">
        <v>2301</v>
      </c>
      <c r="O1088" s="537">
        <v>45832</v>
      </c>
      <c r="P1088" s="33" t="str">
        <f>HYPERLINK("https://my.zakupivli.pro/remote/dispatcher/state_purchase_view/60292907", "UA-2025-06-24-000119-a")</f>
        <v>UA-2025-06-24-000119-a</v>
      </c>
      <c r="Q1088" s="536">
        <v>323.29993999999999</v>
      </c>
      <c r="R1088" s="533">
        <v>1</v>
      </c>
      <c r="S1088" s="533">
        <v>323.29993999999999</v>
      </c>
      <c r="T1088" s="534">
        <v>45831</v>
      </c>
      <c r="U1088" s="527"/>
      <c r="V1088" s="533" t="s">
        <v>59</v>
      </c>
    </row>
    <row r="1089" spans="1:22" ht="62.4" x14ac:dyDescent="0.3">
      <c r="A1089" s="536">
        <v>1083</v>
      </c>
      <c r="B1089" s="536" t="s">
        <v>40</v>
      </c>
      <c r="C1089" s="536" t="s">
        <v>884</v>
      </c>
      <c r="D1089" s="527"/>
      <c r="E1089" s="536" t="s">
        <v>20</v>
      </c>
      <c r="F1089" s="527" t="s">
        <v>2302</v>
      </c>
      <c r="G1089" s="536" t="s">
        <v>184</v>
      </c>
      <c r="H1089" s="527">
        <v>214.89874</v>
      </c>
      <c r="I1089" s="536">
        <v>1</v>
      </c>
      <c r="J1089" s="536">
        <v>214.89874</v>
      </c>
      <c r="K1089" s="536">
        <v>214.89874</v>
      </c>
      <c r="L1089" s="536">
        <v>1</v>
      </c>
      <c r="M1089" s="536">
        <v>214.89874</v>
      </c>
      <c r="N1089" s="6" t="s">
        <v>2305</v>
      </c>
      <c r="O1089" s="537">
        <v>45833</v>
      </c>
      <c r="P1089" s="33" t="str">
        <f>HYPERLINK("https://my.zakupivli.pro/remote/dispatcher/state_purchase_view/60342656", "UA-2025-06-25-008168-a")</f>
        <v>UA-2025-06-25-008168-a</v>
      </c>
      <c r="Q1089" s="536">
        <v>214.89874</v>
      </c>
      <c r="R1089" s="536">
        <v>1</v>
      </c>
      <c r="S1089" s="536">
        <v>214.89874</v>
      </c>
      <c r="T1089" s="537">
        <v>45833</v>
      </c>
      <c r="U1089" s="527"/>
      <c r="V1089" s="536" t="s">
        <v>59</v>
      </c>
    </row>
    <row r="1090" spans="1:22" ht="62.4" x14ac:dyDescent="0.3">
      <c r="A1090" s="536">
        <v>1084</v>
      </c>
      <c r="B1090" s="536" t="s">
        <v>40</v>
      </c>
      <c r="C1090" s="536" t="s">
        <v>884</v>
      </c>
      <c r="D1090" s="527"/>
      <c r="E1090" s="536" t="s">
        <v>20</v>
      </c>
      <c r="F1090" s="527" t="s">
        <v>2303</v>
      </c>
      <c r="G1090" s="536" t="s">
        <v>184</v>
      </c>
      <c r="H1090" s="527">
        <v>323.19218000000001</v>
      </c>
      <c r="I1090" s="536">
        <v>1</v>
      </c>
      <c r="J1090" s="536">
        <v>323.19218000000001</v>
      </c>
      <c r="K1090" s="536">
        <v>323.19218000000001</v>
      </c>
      <c r="L1090" s="536">
        <v>1</v>
      </c>
      <c r="M1090" s="536">
        <v>323.19218000000001</v>
      </c>
      <c r="N1090" s="6" t="s">
        <v>2306</v>
      </c>
      <c r="O1090" s="537">
        <v>45833</v>
      </c>
      <c r="P1090" s="33" t="str">
        <f>HYPERLINK("https://my.zakupivli.pro/remote/dispatcher/state_purchase_view/60341421", "UA-2025-06-25-007605-a")</f>
        <v>UA-2025-06-25-007605-a</v>
      </c>
      <c r="Q1090" s="536">
        <v>323.19218000000001</v>
      </c>
      <c r="R1090" s="536">
        <v>1</v>
      </c>
      <c r="S1090" s="536">
        <v>323.19218000000001</v>
      </c>
      <c r="T1090" s="537">
        <v>45833</v>
      </c>
      <c r="U1090" s="527"/>
      <c r="V1090" s="536" t="s">
        <v>59</v>
      </c>
    </row>
    <row r="1091" spans="1:22" ht="62.4" x14ac:dyDescent="0.3">
      <c r="A1091" s="536">
        <v>1085</v>
      </c>
      <c r="B1091" s="536" t="s">
        <v>40</v>
      </c>
      <c r="C1091" s="527" t="s">
        <v>41</v>
      </c>
      <c r="D1091" s="527"/>
      <c r="E1091" s="536" t="s">
        <v>20</v>
      </c>
      <c r="F1091" s="527" t="s">
        <v>2304</v>
      </c>
      <c r="G1091" s="536" t="s">
        <v>184</v>
      </c>
      <c r="H1091" s="527">
        <v>156.73662999999999</v>
      </c>
      <c r="I1091" s="536">
        <v>1</v>
      </c>
      <c r="J1091" s="536">
        <v>156.73662999999999</v>
      </c>
      <c r="K1091" s="536">
        <v>156.73662999999999</v>
      </c>
      <c r="L1091" s="536">
        <v>1</v>
      </c>
      <c r="M1091" s="536">
        <v>156.73662999999999</v>
      </c>
      <c r="N1091" s="6" t="s">
        <v>2307</v>
      </c>
      <c r="O1091" s="537">
        <v>45833</v>
      </c>
      <c r="P1091" s="33" t="str">
        <f>HYPERLINK("https://my.zakupivli.pro/remote/dispatcher/state_purchase_view/60340885", "UA-2025-06-25-007384-a")</f>
        <v>UA-2025-06-25-007384-a</v>
      </c>
      <c r="Q1091" s="536">
        <v>156.73662999999999</v>
      </c>
      <c r="R1091" s="536">
        <v>1</v>
      </c>
      <c r="S1091" s="536">
        <v>156.73662999999999</v>
      </c>
      <c r="T1091" s="537">
        <v>45833</v>
      </c>
      <c r="U1091" s="527"/>
      <c r="V1091" s="536" t="s">
        <v>59</v>
      </c>
    </row>
    <row r="1092" spans="1:22" x14ac:dyDescent="0.3">
      <c r="A1092" s="527"/>
      <c r="B1092" s="527"/>
      <c r="C1092" s="527"/>
      <c r="D1092" s="527"/>
      <c r="E1092" s="527"/>
      <c r="F1092" s="527"/>
      <c r="G1092" s="527"/>
      <c r="H1092" s="527"/>
      <c r="I1092" s="527"/>
      <c r="J1092" s="527"/>
      <c r="K1092" s="527"/>
      <c r="L1092" s="527"/>
      <c r="M1092" s="527"/>
      <c r="N1092" s="527"/>
      <c r="O1092" s="537"/>
      <c r="P1092" s="536"/>
      <c r="Q1092" s="536"/>
      <c r="R1092" s="527"/>
      <c r="S1092" s="527"/>
      <c r="T1092" s="528"/>
      <c r="U1092" s="527"/>
      <c r="V1092" s="527"/>
    </row>
    <row r="1093" spans="1:22" x14ac:dyDescent="0.3">
      <c r="A1093" s="527"/>
      <c r="B1093" s="527"/>
      <c r="C1093" s="527"/>
      <c r="D1093" s="527"/>
      <c r="E1093" s="527"/>
      <c r="F1093" s="527"/>
      <c r="G1093" s="527"/>
      <c r="H1093" s="527"/>
      <c r="I1093" s="527"/>
      <c r="J1093" s="527"/>
      <c r="K1093" s="527"/>
      <c r="L1093" s="527"/>
      <c r="M1093" s="527"/>
      <c r="N1093" s="527"/>
      <c r="O1093" s="528"/>
      <c r="P1093" s="527"/>
      <c r="Q1093" s="527"/>
      <c r="R1093" s="527"/>
      <c r="S1093" s="527"/>
      <c r="T1093" s="528"/>
      <c r="U1093" s="527"/>
      <c r="V1093" s="527"/>
    </row>
    <row r="1094" spans="1:22" x14ac:dyDescent="0.3">
      <c r="A1094" s="527"/>
      <c r="B1094" s="527"/>
      <c r="C1094" s="527"/>
      <c r="D1094" s="527"/>
      <c r="E1094" s="527"/>
      <c r="F1094" s="527"/>
      <c r="G1094" s="527"/>
      <c r="H1094" s="527"/>
      <c r="I1094" s="527"/>
      <c r="J1094" s="527"/>
      <c r="K1094" s="527"/>
      <c r="L1094" s="527"/>
      <c r="M1094" s="527"/>
      <c r="N1094" s="527"/>
      <c r="O1094" s="528"/>
      <c r="P1094" s="527"/>
      <c r="Q1094" s="527"/>
      <c r="R1094" s="527"/>
      <c r="S1094" s="527"/>
      <c r="T1094" s="528"/>
      <c r="U1094" s="527"/>
      <c r="V1094" s="527"/>
    </row>
    <row r="1095" spans="1:22" x14ac:dyDescent="0.3">
      <c r="A1095" s="527"/>
      <c r="B1095" s="527"/>
      <c r="C1095" s="527"/>
      <c r="D1095" s="527"/>
      <c r="E1095" s="527"/>
      <c r="F1095" s="527"/>
      <c r="G1095" s="527"/>
      <c r="H1095" s="527"/>
      <c r="I1095" s="527"/>
      <c r="J1095" s="527"/>
      <c r="K1095" s="527"/>
      <c r="L1095" s="527"/>
      <c r="M1095" s="527"/>
      <c r="N1095" s="527"/>
      <c r="O1095" s="528"/>
      <c r="P1095" s="527"/>
      <c r="Q1095" s="527"/>
      <c r="R1095" s="527"/>
      <c r="S1095" s="527"/>
      <c r="T1095" s="528"/>
      <c r="U1095" s="527"/>
      <c r="V1095" s="527"/>
    </row>
    <row r="1096" spans="1:22" x14ac:dyDescent="0.3">
      <c r="A1096" s="527"/>
      <c r="B1096" s="527"/>
      <c r="C1096" s="527"/>
      <c r="D1096" s="527"/>
      <c r="E1096" s="527"/>
      <c r="F1096" s="527"/>
      <c r="G1096" s="527"/>
      <c r="H1096" s="527"/>
      <c r="I1096" s="527"/>
      <c r="J1096" s="527"/>
      <c r="K1096" s="527"/>
      <c r="L1096" s="527"/>
      <c r="M1096" s="527"/>
      <c r="N1096" s="527"/>
      <c r="O1096" s="528"/>
      <c r="P1096" s="527"/>
      <c r="Q1096" s="527"/>
      <c r="R1096" s="527"/>
      <c r="S1096" s="527"/>
      <c r="T1096" s="528"/>
      <c r="U1096" s="527"/>
      <c r="V1096" s="527"/>
    </row>
    <row r="1097" spans="1:22" x14ac:dyDescent="0.3">
      <c r="A1097" s="527"/>
      <c r="B1097" s="527"/>
      <c r="C1097" s="527"/>
      <c r="D1097" s="527"/>
      <c r="E1097" s="527"/>
      <c r="F1097" s="527"/>
      <c r="G1097" s="527"/>
      <c r="H1097" s="527"/>
      <c r="I1097" s="527"/>
      <c r="J1097" s="527"/>
      <c r="K1097" s="527"/>
      <c r="L1097" s="527"/>
      <c r="M1097" s="527"/>
      <c r="N1097" s="527"/>
      <c r="O1097" s="528"/>
      <c r="P1097" s="527"/>
      <c r="Q1097" s="527"/>
      <c r="R1097" s="527"/>
      <c r="S1097" s="527"/>
      <c r="T1097" s="528"/>
      <c r="U1097" s="527"/>
      <c r="V1097" s="527"/>
    </row>
    <row r="1098" spans="1:22" x14ac:dyDescent="0.3">
      <c r="A1098" s="527"/>
      <c r="B1098" s="527"/>
      <c r="C1098" s="527"/>
      <c r="D1098" s="527"/>
      <c r="E1098" s="527"/>
      <c r="F1098" s="527"/>
      <c r="G1098" s="527"/>
      <c r="H1098" s="527"/>
      <c r="I1098" s="527"/>
      <c r="J1098" s="527"/>
      <c r="K1098" s="527"/>
      <c r="L1098" s="527"/>
      <c r="M1098" s="527"/>
      <c r="N1098" s="527"/>
      <c r="O1098" s="528"/>
      <c r="P1098" s="527"/>
      <c r="Q1098" s="527"/>
      <c r="R1098" s="527"/>
      <c r="S1098" s="527"/>
      <c r="T1098" s="528"/>
      <c r="U1098" s="527"/>
      <c r="V1098" s="527"/>
    </row>
    <row r="1099" spans="1:22" x14ac:dyDescent="0.3">
      <c r="A1099" s="527"/>
      <c r="B1099" s="527"/>
      <c r="C1099" s="527"/>
      <c r="D1099" s="527"/>
      <c r="E1099" s="527"/>
      <c r="F1099" s="527"/>
      <c r="G1099" s="527"/>
      <c r="H1099" s="527"/>
      <c r="I1099" s="527"/>
      <c r="J1099" s="527"/>
      <c r="K1099" s="527"/>
      <c r="L1099" s="527"/>
      <c r="M1099" s="527"/>
      <c r="N1099" s="527"/>
      <c r="O1099" s="528"/>
      <c r="P1099" s="527"/>
      <c r="Q1099" s="527"/>
      <c r="R1099" s="527"/>
      <c r="S1099" s="527"/>
      <c r="T1099" s="528"/>
      <c r="U1099" s="527"/>
      <c r="V1099" s="527"/>
    </row>
    <row r="1100" spans="1:22" x14ac:dyDescent="0.3">
      <c r="A1100" s="527"/>
      <c r="B1100" s="527"/>
      <c r="C1100" s="527"/>
      <c r="D1100" s="527"/>
      <c r="E1100" s="527"/>
      <c r="F1100" s="527"/>
      <c r="G1100" s="527"/>
      <c r="H1100" s="527"/>
      <c r="I1100" s="527"/>
      <c r="J1100" s="527"/>
      <c r="K1100" s="527"/>
      <c r="L1100" s="527"/>
      <c r="M1100" s="527"/>
      <c r="N1100" s="527"/>
      <c r="O1100" s="528"/>
      <c r="P1100" s="527"/>
      <c r="Q1100" s="527"/>
      <c r="R1100" s="527"/>
      <c r="S1100" s="527"/>
      <c r="T1100" s="528"/>
      <c r="U1100" s="527"/>
      <c r="V1100" s="527"/>
    </row>
    <row r="1101" spans="1:22" x14ac:dyDescent="0.3">
      <c r="A1101" s="527"/>
      <c r="B1101" s="527"/>
      <c r="C1101" s="527"/>
      <c r="D1101" s="527"/>
      <c r="E1101" s="527"/>
      <c r="F1101" s="527"/>
      <c r="G1101" s="527"/>
      <c r="H1101" s="527"/>
      <c r="I1101" s="527"/>
      <c r="J1101" s="527"/>
      <c r="K1101" s="527"/>
      <c r="L1101" s="527"/>
      <c r="M1101" s="527"/>
      <c r="N1101" s="527"/>
      <c r="O1101" s="528"/>
      <c r="P1101" s="527"/>
      <c r="Q1101" s="527"/>
      <c r="R1101" s="527"/>
      <c r="S1101" s="527"/>
      <c r="T1101" s="528"/>
      <c r="U1101" s="527"/>
      <c r="V1101" s="527"/>
    </row>
    <row r="1102" spans="1:22" x14ac:dyDescent="0.3">
      <c r="A1102" s="527"/>
      <c r="B1102" s="527"/>
      <c r="C1102" s="527"/>
      <c r="D1102" s="527"/>
      <c r="E1102" s="527"/>
      <c r="F1102" s="527"/>
      <c r="G1102" s="527"/>
      <c r="H1102" s="527"/>
      <c r="I1102" s="527"/>
      <c r="J1102" s="527"/>
      <c r="K1102" s="527"/>
      <c r="L1102" s="527"/>
      <c r="M1102" s="527"/>
      <c r="N1102" s="527"/>
      <c r="O1102" s="528"/>
      <c r="P1102" s="527"/>
      <c r="Q1102" s="527"/>
      <c r="R1102" s="527"/>
      <c r="S1102" s="527"/>
      <c r="T1102" s="528"/>
      <c r="U1102" s="527"/>
      <c r="V1102" s="527"/>
    </row>
    <row r="1103" spans="1:22" x14ac:dyDescent="0.3">
      <c r="A1103" s="527"/>
      <c r="B1103" s="527"/>
      <c r="C1103" s="527"/>
      <c r="D1103" s="527"/>
      <c r="E1103" s="527"/>
      <c r="F1103" s="527"/>
      <c r="G1103" s="527"/>
      <c r="H1103" s="527"/>
      <c r="I1103" s="527"/>
      <c r="J1103" s="527"/>
      <c r="K1103" s="527"/>
      <c r="L1103" s="527"/>
      <c r="M1103" s="527"/>
      <c r="N1103" s="527"/>
      <c r="O1103" s="528"/>
      <c r="P1103" s="527"/>
      <c r="Q1103" s="527"/>
      <c r="R1103" s="527"/>
      <c r="S1103" s="527"/>
      <c r="T1103" s="528"/>
      <c r="U1103" s="527"/>
      <c r="V1103" s="527"/>
    </row>
    <row r="1104" spans="1:22" x14ac:dyDescent="0.3">
      <c r="A1104" s="527"/>
      <c r="B1104" s="527"/>
      <c r="C1104" s="527"/>
      <c r="D1104" s="527"/>
      <c r="E1104" s="527"/>
      <c r="F1104" s="527"/>
      <c r="G1104" s="527"/>
      <c r="H1104" s="527"/>
      <c r="I1104" s="527"/>
      <c r="J1104" s="527"/>
      <c r="K1104" s="527"/>
      <c r="L1104" s="527"/>
      <c r="M1104" s="527"/>
      <c r="N1104" s="527"/>
      <c r="O1104" s="528"/>
      <c r="P1104" s="527"/>
      <c r="Q1104" s="527"/>
      <c r="R1104" s="527"/>
      <c r="S1104" s="527"/>
      <c r="T1104" s="528"/>
      <c r="U1104" s="527"/>
      <c r="V1104" s="527"/>
    </row>
    <row r="1105" spans="1:22" x14ac:dyDescent="0.3">
      <c r="A1105" s="527"/>
      <c r="B1105" s="527"/>
      <c r="C1105" s="527"/>
      <c r="D1105" s="527"/>
      <c r="E1105" s="527"/>
      <c r="F1105" s="527"/>
      <c r="G1105" s="527"/>
      <c r="H1105" s="527"/>
      <c r="I1105" s="527"/>
      <c r="J1105" s="527"/>
      <c r="K1105" s="527"/>
      <c r="L1105" s="527"/>
      <c r="M1105" s="527"/>
      <c r="N1105" s="527"/>
      <c r="O1105" s="528"/>
      <c r="P1105" s="527"/>
      <c r="Q1105" s="527"/>
      <c r="R1105" s="527"/>
      <c r="S1105" s="527"/>
      <c r="T1105" s="528"/>
      <c r="U1105" s="527"/>
      <c r="V1105" s="527"/>
    </row>
    <row r="1106" spans="1:22" x14ac:dyDescent="0.3">
      <c r="A1106" s="527"/>
      <c r="B1106" s="527"/>
      <c r="C1106" s="527"/>
      <c r="D1106" s="527"/>
      <c r="E1106" s="527"/>
      <c r="F1106" s="527"/>
      <c r="G1106" s="527"/>
      <c r="H1106" s="527"/>
      <c r="I1106" s="527"/>
      <c r="J1106" s="527"/>
      <c r="K1106" s="527"/>
      <c r="L1106" s="527"/>
      <c r="M1106" s="527"/>
      <c r="N1106" s="527"/>
      <c r="O1106" s="528"/>
      <c r="P1106" s="527"/>
      <c r="Q1106" s="527"/>
      <c r="R1106" s="527"/>
      <c r="S1106" s="527"/>
      <c r="T1106" s="528"/>
      <c r="U1106" s="527"/>
      <c r="V1106" s="527"/>
    </row>
    <row r="1107" spans="1:22" x14ac:dyDescent="0.3">
      <c r="A1107" s="527"/>
      <c r="B1107" s="527"/>
      <c r="C1107" s="527"/>
      <c r="D1107" s="527"/>
      <c r="E1107" s="527"/>
      <c r="F1107" s="527"/>
      <c r="G1107" s="527"/>
      <c r="H1107" s="527"/>
      <c r="I1107" s="527"/>
      <c r="J1107" s="527"/>
      <c r="K1107" s="527"/>
      <c r="L1107" s="527"/>
      <c r="M1107" s="527"/>
      <c r="N1107" s="527"/>
      <c r="O1107" s="528"/>
      <c r="P1107" s="527"/>
      <c r="Q1107" s="527"/>
      <c r="R1107" s="527"/>
      <c r="S1107" s="527"/>
      <c r="T1107" s="528"/>
      <c r="U1107" s="527"/>
      <c r="V1107" s="527"/>
    </row>
    <row r="1108" spans="1:22" x14ac:dyDescent="0.3">
      <c r="A1108" s="527"/>
      <c r="B1108" s="527"/>
      <c r="C1108" s="527"/>
      <c r="D1108" s="527"/>
      <c r="E1108" s="527"/>
      <c r="F1108" s="527"/>
      <c r="G1108" s="527"/>
      <c r="H1108" s="527"/>
      <c r="I1108" s="527"/>
      <c r="J1108" s="527"/>
      <c r="K1108" s="527"/>
      <c r="L1108" s="527"/>
      <c r="M1108" s="527"/>
      <c r="N1108" s="527"/>
      <c r="O1108" s="528"/>
      <c r="P1108" s="527"/>
      <c r="Q1108" s="527"/>
      <c r="R1108" s="527"/>
      <c r="S1108" s="527"/>
      <c r="T1108" s="528"/>
      <c r="U1108" s="527"/>
      <c r="V1108" s="527"/>
    </row>
    <row r="1109" spans="1:22" x14ac:dyDescent="0.3">
      <c r="A1109" s="527"/>
      <c r="B1109" s="527"/>
      <c r="C1109" s="527"/>
      <c r="D1109" s="527"/>
      <c r="E1109" s="527"/>
      <c r="F1109" s="527"/>
      <c r="G1109" s="527"/>
      <c r="H1109" s="527"/>
      <c r="I1109" s="527"/>
      <c r="J1109" s="527"/>
      <c r="K1109" s="527"/>
      <c r="L1109" s="527"/>
      <c r="M1109" s="527"/>
      <c r="N1109" s="527"/>
      <c r="O1109" s="528"/>
      <c r="P1109" s="527"/>
      <c r="Q1109" s="527"/>
      <c r="R1109" s="527"/>
      <c r="S1109" s="527"/>
      <c r="T1109" s="528"/>
      <c r="U1109" s="527"/>
      <c r="V1109" s="527"/>
    </row>
    <row r="1110" spans="1:22" x14ac:dyDescent="0.3">
      <c r="A1110" s="527"/>
      <c r="B1110" s="527"/>
      <c r="C1110" s="527"/>
      <c r="D1110" s="527"/>
      <c r="E1110" s="527"/>
      <c r="F1110" s="527"/>
      <c r="G1110" s="527"/>
      <c r="H1110" s="527"/>
      <c r="I1110" s="527"/>
      <c r="J1110" s="527"/>
      <c r="K1110" s="527"/>
      <c r="L1110" s="527"/>
      <c r="M1110" s="527"/>
      <c r="N1110" s="527"/>
      <c r="O1110" s="528"/>
      <c r="P1110" s="527"/>
      <c r="Q1110" s="527"/>
      <c r="R1110" s="527"/>
      <c r="S1110" s="527"/>
      <c r="T1110" s="528"/>
      <c r="U1110" s="527"/>
      <c r="V1110" s="527"/>
    </row>
    <row r="1111" spans="1:22" x14ac:dyDescent="0.3">
      <c r="A1111" s="527"/>
      <c r="B1111" s="527"/>
      <c r="C1111" s="527"/>
      <c r="D1111" s="527"/>
      <c r="E1111" s="527"/>
      <c r="F1111" s="527"/>
      <c r="G1111" s="527"/>
      <c r="H1111" s="527"/>
      <c r="I1111" s="527"/>
      <c r="J1111" s="527"/>
      <c r="K1111" s="527"/>
      <c r="L1111" s="527"/>
      <c r="M1111" s="527"/>
      <c r="N1111" s="527"/>
      <c r="O1111" s="528"/>
      <c r="P1111" s="527"/>
      <c r="Q1111" s="527"/>
      <c r="R1111" s="527"/>
      <c r="S1111" s="527"/>
      <c r="T1111" s="528"/>
      <c r="U1111" s="527"/>
      <c r="V1111" s="527"/>
    </row>
    <row r="1112" spans="1:22" x14ac:dyDescent="0.3">
      <c r="A1112" s="527"/>
      <c r="B1112" s="527"/>
      <c r="C1112" s="527"/>
      <c r="D1112" s="527"/>
      <c r="E1112" s="527"/>
      <c r="F1112" s="527"/>
      <c r="G1112" s="527"/>
      <c r="H1112" s="527"/>
      <c r="I1112" s="527"/>
      <c r="J1112" s="527"/>
      <c r="K1112" s="527"/>
      <c r="L1112" s="527"/>
      <c r="M1112" s="527"/>
      <c r="N1112" s="527"/>
      <c r="O1112" s="528"/>
      <c r="P1112" s="527"/>
      <c r="Q1112" s="527"/>
      <c r="R1112" s="527"/>
      <c r="S1112" s="527"/>
      <c r="T1112" s="528"/>
      <c r="U1112" s="527"/>
      <c r="V1112" s="527"/>
    </row>
    <row r="1113" spans="1:22" x14ac:dyDescent="0.3">
      <c r="A1113" s="527"/>
      <c r="B1113" s="527"/>
      <c r="C1113" s="527"/>
      <c r="D1113" s="527"/>
      <c r="E1113" s="527"/>
      <c r="F1113" s="527"/>
      <c r="G1113" s="527"/>
      <c r="H1113" s="527"/>
      <c r="I1113" s="527"/>
      <c r="J1113" s="527"/>
      <c r="K1113" s="527"/>
      <c r="L1113" s="527"/>
      <c r="M1113" s="527"/>
      <c r="N1113" s="527"/>
      <c r="O1113" s="528"/>
      <c r="P1113" s="527"/>
      <c r="Q1113" s="527"/>
      <c r="R1113" s="527"/>
      <c r="S1113" s="527"/>
      <c r="T1113" s="528"/>
      <c r="U1113" s="527"/>
      <c r="V1113" s="527"/>
    </row>
    <row r="1114" spans="1:22" x14ac:dyDescent="0.3">
      <c r="A1114" s="527"/>
      <c r="B1114" s="527"/>
      <c r="C1114" s="527"/>
      <c r="D1114" s="527"/>
      <c r="E1114" s="527"/>
      <c r="F1114" s="527"/>
      <c r="G1114" s="527"/>
      <c r="H1114" s="527"/>
      <c r="I1114" s="527"/>
      <c r="J1114" s="527"/>
      <c r="K1114" s="527"/>
      <c r="L1114" s="527"/>
      <c r="M1114" s="527"/>
      <c r="N1114" s="527"/>
      <c r="O1114" s="528"/>
      <c r="P1114" s="527"/>
      <c r="Q1114" s="527"/>
      <c r="R1114" s="527"/>
      <c r="S1114" s="527"/>
      <c r="T1114" s="528"/>
      <c r="U1114" s="527"/>
      <c r="V1114" s="527"/>
    </row>
    <row r="1115" spans="1:22" x14ac:dyDescent="0.3">
      <c r="A1115" s="527"/>
      <c r="B1115" s="527"/>
      <c r="C1115" s="527"/>
      <c r="D1115" s="527"/>
      <c r="E1115" s="527"/>
      <c r="F1115" s="527"/>
      <c r="G1115" s="527"/>
      <c r="H1115" s="527"/>
      <c r="I1115" s="527"/>
      <c r="J1115" s="527"/>
      <c r="K1115" s="527"/>
      <c r="L1115" s="527"/>
      <c r="M1115" s="527"/>
      <c r="N1115" s="527"/>
      <c r="O1115" s="528"/>
      <c r="P1115" s="527"/>
      <c r="Q1115" s="527"/>
      <c r="R1115" s="527"/>
      <c r="S1115" s="527"/>
      <c r="T1115" s="528"/>
      <c r="U1115" s="527"/>
      <c r="V1115" s="527"/>
    </row>
    <row r="1116" spans="1:22" x14ac:dyDescent="0.3">
      <c r="A1116" s="527"/>
      <c r="B1116" s="527"/>
      <c r="C1116" s="527"/>
      <c r="D1116" s="527"/>
      <c r="E1116" s="527"/>
      <c r="F1116" s="527"/>
      <c r="G1116" s="527"/>
      <c r="H1116" s="527"/>
      <c r="I1116" s="527"/>
      <c r="J1116" s="527"/>
      <c r="K1116" s="527"/>
      <c r="L1116" s="527"/>
      <c r="M1116" s="527"/>
      <c r="N1116" s="527"/>
      <c r="O1116" s="528"/>
      <c r="P1116" s="527"/>
      <c r="Q1116" s="527"/>
      <c r="R1116" s="527"/>
      <c r="S1116" s="527"/>
      <c r="T1116" s="528"/>
      <c r="U1116" s="527"/>
      <c r="V1116" s="527"/>
    </row>
    <row r="1117" spans="1:22" x14ac:dyDescent="0.3">
      <c r="A1117" s="527"/>
      <c r="B1117" s="527"/>
      <c r="C1117" s="527"/>
      <c r="D1117" s="527"/>
      <c r="E1117" s="527"/>
      <c r="F1117" s="527"/>
      <c r="G1117" s="527"/>
      <c r="H1117" s="527"/>
      <c r="I1117" s="527"/>
      <c r="J1117" s="527"/>
      <c r="K1117" s="527"/>
      <c r="L1117" s="527"/>
      <c r="M1117" s="527"/>
      <c r="N1117" s="527"/>
      <c r="O1117" s="528"/>
      <c r="P1117" s="527"/>
      <c r="Q1117" s="527"/>
      <c r="R1117" s="527"/>
      <c r="S1117" s="527"/>
      <c r="T1117" s="528"/>
      <c r="U1117" s="527"/>
      <c r="V1117" s="527"/>
    </row>
    <row r="1118" spans="1:22" x14ac:dyDescent="0.3">
      <c r="A1118" s="527"/>
      <c r="B1118" s="527"/>
      <c r="C1118" s="527"/>
      <c r="D1118" s="527"/>
      <c r="E1118" s="527"/>
      <c r="F1118" s="527"/>
      <c r="G1118" s="527"/>
      <c r="H1118" s="527"/>
      <c r="I1118" s="527"/>
      <c r="J1118" s="527"/>
      <c r="K1118" s="527"/>
      <c r="L1118" s="527"/>
      <c r="M1118" s="527"/>
      <c r="N1118" s="527"/>
      <c r="O1118" s="528"/>
      <c r="P1118" s="527"/>
      <c r="Q1118" s="527"/>
      <c r="R1118" s="527"/>
      <c r="S1118" s="527"/>
      <c r="T1118" s="528"/>
      <c r="U1118" s="527"/>
      <c r="V1118" s="527"/>
    </row>
    <row r="1119" spans="1:22" x14ac:dyDescent="0.3">
      <c r="A1119" s="527"/>
      <c r="B1119" s="527"/>
      <c r="C1119" s="527"/>
      <c r="D1119" s="527"/>
      <c r="E1119" s="527"/>
      <c r="F1119" s="527"/>
      <c r="G1119" s="527"/>
      <c r="H1119" s="527"/>
      <c r="I1119" s="527"/>
      <c r="J1119" s="527"/>
      <c r="K1119" s="527"/>
      <c r="L1119" s="527"/>
      <c r="M1119" s="527"/>
      <c r="N1119" s="527"/>
      <c r="O1119" s="528"/>
      <c r="P1119" s="527"/>
      <c r="Q1119" s="527"/>
      <c r="R1119" s="527"/>
      <c r="S1119" s="527"/>
      <c r="T1119" s="528"/>
      <c r="U1119" s="527"/>
      <c r="V1119" s="527"/>
    </row>
    <row r="1120" spans="1:22" x14ac:dyDescent="0.3">
      <c r="A1120" s="527"/>
      <c r="B1120" s="527"/>
      <c r="C1120" s="527"/>
      <c r="D1120" s="527"/>
      <c r="E1120" s="527"/>
      <c r="F1120" s="527"/>
      <c r="G1120" s="527"/>
      <c r="H1120" s="527"/>
      <c r="I1120" s="527"/>
      <c r="J1120" s="527"/>
      <c r="K1120" s="527"/>
      <c r="L1120" s="527"/>
      <c r="M1120" s="527"/>
      <c r="N1120" s="527"/>
      <c r="O1120" s="528"/>
      <c r="P1120" s="527"/>
      <c r="Q1120" s="527"/>
      <c r="R1120" s="527"/>
      <c r="S1120" s="527"/>
      <c r="T1120" s="528"/>
      <c r="U1120" s="527"/>
      <c r="V1120" s="527"/>
    </row>
    <row r="1121" spans="1:22" x14ac:dyDescent="0.3">
      <c r="A1121" s="527"/>
      <c r="B1121" s="527"/>
      <c r="C1121" s="527"/>
      <c r="D1121" s="527"/>
      <c r="E1121" s="527"/>
      <c r="F1121" s="527"/>
      <c r="G1121" s="527"/>
      <c r="H1121" s="527"/>
      <c r="I1121" s="527"/>
      <c r="J1121" s="527"/>
      <c r="K1121" s="527"/>
      <c r="L1121" s="527"/>
      <c r="M1121" s="527"/>
      <c r="N1121" s="527"/>
      <c r="O1121" s="528"/>
      <c r="P1121" s="527"/>
      <c r="Q1121" s="527"/>
      <c r="R1121" s="527"/>
      <c r="S1121" s="527"/>
      <c r="T1121" s="528"/>
      <c r="U1121" s="527"/>
      <c r="V1121" s="527"/>
    </row>
    <row r="1122" spans="1:22" x14ac:dyDescent="0.3">
      <c r="A1122" s="527"/>
      <c r="B1122" s="527"/>
      <c r="C1122" s="527"/>
      <c r="D1122" s="527"/>
      <c r="E1122" s="527"/>
      <c r="F1122" s="527"/>
      <c r="G1122" s="527"/>
      <c r="H1122" s="527"/>
      <c r="I1122" s="527"/>
      <c r="J1122" s="527"/>
      <c r="K1122" s="527"/>
      <c r="L1122" s="527"/>
      <c r="M1122" s="527"/>
      <c r="N1122" s="527"/>
      <c r="O1122" s="528"/>
      <c r="P1122" s="527"/>
      <c r="Q1122" s="527"/>
      <c r="R1122" s="527"/>
      <c r="S1122" s="527"/>
      <c r="T1122" s="528"/>
      <c r="U1122" s="527"/>
      <c r="V1122" s="527"/>
    </row>
    <row r="1123" spans="1:22" x14ac:dyDescent="0.3">
      <c r="A1123" s="527"/>
      <c r="B1123" s="527"/>
      <c r="C1123" s="527"/>
      <c r="D1123" s="527"/>
      <c r="E1123" s="527"/>
      <c r="F1123" s="527"/>
      <c r="G1123" s="527"/>
      <c r="H1123" s="527"/>
      <c r="I1123" s="527"/>
      <c r="J1123" s="527"/>
      <c r="K1123" s="527"/>
      <c r="L1123" s="527"/>
      <c r="M1123" s="527"/>
      <c r="N1123" s="527"/>
      <c r="O1123" s="528"/>
      <c r="P1123" s="527"/>
      <c r="Q1123" s="527"/>
      <c r="R1123" s="527"/>
      <c r="S1123" s="527"/>
      <c r="T1123" s="528"/>
      <c r="U1123" s="527"/>
      <c r="V1123" s="527"/>
    </row>
    <row r="1124" spans="1:22" x14ac:dyDescent="0.3">
      <c r="A1124" s="527"/>
      <c r="B1124" s="527"/>
      <c r="C1124" s="527"/>
      <c r="D1124" s="527"/>
      <c r="E1124" s="527"/>
      <c r="F1124" s="527"/>
      <c r="G1124" s="527"/>
      <c r="H1124" s="527"/>
      <c r="I1124" s="527"/>
      <c r="J1124" s="527"/>
      <c r="K1124" s="527"/>
      <c r="L1124" s="527"/>
      <c r="M1124" s="527"/>
      <c r="N1124" s="527"/>
      <c r="O1124" s="528"/>
      <c r="P1124" s="527"/>
      <c r="Q1124" s="527"/>
      <c r="R1124" s="527"/>
      <c r="S1124" s="527"/>
      <c r="T1124" s="528"/>
      <c r="U1124" s="527"/>
      <c r="V1124" s="527"/>
    </row>
    <row r="1125" spans="1:22" x14ac:dyDescent="0.3">
      <c r="A1125" s="527"/>
      <c r="B1125" s="527"/>
      <c r="C1125" s="527"/>
      <c r="D1125" s="527"/>
      <c r="E1125" s="527"/>
      <c r="F1125" s="527"/>
      <c r="G1125" s="527"/>
      <c r="H1125" s="527"/>
      <c r="I1125" s="527"/>
      <c r="J1125" s="527"/>
      <c r="K1125" s="527"/>
      <c r="L1125" s="527"/>
      <c r="M1125" s="527"/>
      <c r="N1125" s="527"/>
      <c r="O1125" s="528"/>
      <c r="P1125" s="527"/>
      <c r="Q1125" s="527"/>
      <c r="R1125" s="527"/>
      <c r="S1125" s="527"/>
      <c r="T1125" s="528"/>
      <c r="U1125" s="527"/>
      <c r="V1125" s="527"/>
    </row>
    <row r="1126" spans="1:22" x14ac:dyDescent="0.3">
      <c r="A1126" s="527"/>
      <c r="B1126" s="527"/>
      <c r="C1126" s="527"/>
      <c r="D1126" s="527"/>
      <c r="E1126" s="527"/>
      <c r="F1126" s="527"/>
      <c r="G1126" s="527"/>
      <c r="H1126" s="527"/>
      <c r="I1126" s="527"/>
      <c r="J1126" s="527"/>
      <c r="K1126" s="527"/>
      <c r="L1126" s="527"/>
      <c r="M1126" s="527"/>
      <c r="N1126" s="527"/>
      <c r="O1126" s="528"/>
      <c r="P1126" s="527"/>
      <c r="Q1126" s="527"/>
      <c r="R1126" s="527"/>
      <c r="S1126" s="527"/>
      <c r="T1126" s="528"/>
      <c r="U1126" s="527"/>
      <c r="V1126" s="527"/>
    </row>
    <row r="1127" spans="1:22" x14ac:dyDescent="0.3">
      <c r="A1127" s="527"/>
      <c r="B1127" s="527"/>
      <c r="C1127" s="527"/>
      <c r="D1127" s="527"/>
      <c r="E1127" s="527"/>
      <c r="F1127" s="527"/>
      <c r="G1127" s="527"/>
      <c r="H1127" s="527"/>
      <c r="I1127" s="527"/>
      <c r="J1127" s="527"/>
      <c r="K1127" s="527"/>
      <c r="L1127" s="527"/>
      <c r="M1127" s="527"/>
      <c r="N1127" s="527"/>
      <c r="O1127" s="528"/>
      <c r="P1127" s="527"/>
      <c r="Q1127" s="527"/>
      <c r="R1127" s="527"/>
      <c r="S1127" s="527"/>
      <c r="T1127" s="528"/>
      <c r="U1127" s="527"/>
      <c r="V1127" s="527"/>
    </row>
    <row r="1128" spans="1:22" x14ac:dyDescent="0.3">
      <c r="A1128" s="527"/>
      <c r="B1128" s="527"/>
      <c r="C1128" s="527"/>
      <c r="D1128" s="527"/>
      <c r="E1128" s="527"/>
      <c r="F1128" s="527"/>
      <c r="G1128" s="527"/>
      <c r="H1128" s="527"/>
      <c r="I1128" s="527"/>
      <c r="J1128" s="527"/>
      <c r="K1128" s="527"/>
      <c r="L1128" s="527"/>
      <c r="M1128" s="527"/>
      <c r="N1128" s="527"/>
      <c r="O1128" s="528"/>
      <c r="P1128" s="527"/>
      <c r="Q1128" s="527"/>
      <c r="R1128" s="527"/>
      <c r="S1128" s="527"/>
      <c r="T1128" s="528"/>
      <c r="U1128" s="527"/>
      <c r="V1128" s="527"/>
    </row>
    <row r="1129" spans="1:22" x14ac:dyDescent="0.3">
      <c r="A1129" s="527"/>
      <c r="B1129" s="527"/>
      <c r="C1129" s="527"/>
      <c r="D1129" s="527"/>
      <c r="E1129" s="527"/>
      <c r="F1129" s="527"/>
      <c r="G1129" s="527"/>
      <c r="H1129" s="527"/>
      <c r="I1129" s="527"/>
      <c r="J1129" s="527"/>
      <c r="K1129" s="527"/>
      <c r="L1129" s="527"/>
      <c r="M1129" s="527"/>
      <c r="N1129" s="527"/>
      <c r="O1129" s="528"/>
      <c r="P1129" s="527"/>
      <c r="Q1129" s="527"/>
      <c r="R1129" s="527"/>
      <c r="S1129" s="527"/>
      <c r="T1129" s="528"/>
      <c r="U1129" s="527"/>
      <c r="V1129" s="527"/>
    </row>
    <row r="1130" spans="1:22" x14ac:dyDescent="0.3">
      <c r="A1130" s="527"/>
      <c r="B1130" s="527"/>
      <c r="C1130" s="527"/>
      <c r="D1130" s="527"/>
      <c r="E1130" s="527"/>
      <c r="F1130" s="527"/>
      <c r="G1130" s="527"/>
      <c r="H1130" s="527"/>
      <c r="I1130" s="527"/>
      <c r="J1130" s="527"/>
      <c r="K1130" s="527"/>
      <c r="L1130" s="527"/>
      <c r="M1130" s="527"/>
      <c r="N1130" s="527"/>
      <c r="O1130" s="528"/>
      <c r="P1130" s="527"/>
      <c r="Q1130" s="527"/>
      <c r="R1130" s="527"/>
      <c r="S1130" s="527"/>
      <c r="T1130" s="528"/>
      <c r="U1130" s="527"/>
      <c r="V1130" s="527"/>
    </row>
    <row r="1131" spans="1:22" x14ac:dyDescent="0.3">
      <c r="A1131" s="527"/>
      <c r="B1131" s="527"/>
      <c r="C1131" s="527"/>
      <c r="D1131" s="527"/>
      <c r="E1131" s="527"/>
      <c r="F1131" s="527"/>
      <c r="G1131" s="527"/>
      <c r="H1131" s="527"/>
      <c r="I1131" s="527"/>
      <c r="J1131" s="527"/>
      <c r="K1131" s="527"/>
      <c r="L1131" s="527"/>
      <c r="M1131" s="527"/>
      <c r="N1131" s="527"/>
      <c r="O1131" s="528"/>
      <c r="P1131" s="527"/>
      <c r="Q1131" s="527"/>
      <c r="R1131" s="527"/>
      <c r="S1131" s="527"/>
      <c r="T1131" s="528"/>
      <c r="U1131" s="527"/>
      <c r="V1131" s="527"/>
    </row>
    <row r="1132" spans="1:22" x14ac:dyDescent="0.3">
      <c r="A1132" s="527"/>
      <c r="B1132" s="527"/>
      <c r="C1132" s="527"/>
      <c r="D1132" s="527"/>
      <c r="E1132" s="527"/>
      <c r="F1132" s="527"/>
      <c r="G1132" s="527"/>
      <c r="H1132" s="527"/>
      <c r="I1132" s="527"/>
      <c r="J1132" s="527"/>
      <c r="K1132" s="527"/>
      <c r="L1132" s="527"/>
      <c r="M1132" s="527"/>
      <c r="N1132" s="527"/>
      <c r="O1132" s="528"/>
      <c r="P1132" s="527"/>
      <c r="Q1132" s="527"/>
      <c r="R1132" s="527"/>
      <c r="S1132" s="527"/>
      <c r="T1132" s="528"/>
      <c r="U1132" s="527"/>
      <c r="V1132" s="527"/>
    </row>
    <row r="1133" spans="1:22" x14ac:dyDescent="0.3">
      <c r="A1133" s="527"/>
      <c r="B1133" s="527"/>
      <c r="C1133" s="527"/>
      <c r="D1133" s="527"/>
      <c r="E1133" s="527"/>
      <c r="F1133" s="527"/>
      <c r="G1133" s="527"/>
      <c r="H1133" s="527"/>
      <c r="I1133" s="527"/>
      <c r="J1133" s="527"/>
      <c r="K1133" s="527"/>
      <c r="L1133" s="527"/>
      <c r="M1133" s="527"/>
      <c r="N1133" s="527"/>
      <c r="O1133" s="528"/>
      <c r="P1133" s="527"/>
      <c r="Q1133" s="527"/>
      <c r="R1133" s="527"/>
      <c r="S1133" s="527"/>
      <c r="T1133" s="528"/>
      <c r="U1133" s="527"/>
      <c r="V1133" s="527"/>
    </row>
    <row r="1134" spans="1:22" x14ac:dyDescent="0.3">
      <c r="A1134" s="527"/>
      <c r="B1134" s="527"/>
      <c r="C1134" s="527"/>
      <c r="D1134" s="527"/>
      <c r="E1134" s="527"/>
      <c r="F1134" s="527"/>
      <c r="G1134" s="527"/>
      <c r="H1134" s="527"/>
      <c r="I1134" s="527"/>
      <c r="J1134" s="527"/>
      <c r="K1134" s="527"/>
      <c r="L1134" s="527"/>
      <c r="M1134" s="527"/>
      <c r="N1134" s="527"/>
      <c r="O1134" s="528"/>
      <c r="P1134" s="527"/>
      <c r="Q1134" s="527"/>
      <c r="R1134" s="527"/>
      <c r="S1134" s="527"/>
      <c r="T1134" s="528"/>
      <c r="U1134" s="527"/>
      <c r="V1134" s="527"/>
    </row>
    <row r="1135" spans="1:22" x14ac:dyDescent="0.3">
      <c r="A1135" s="527"/>
      <c r="B1135" s="527"/>
      <c r="C1135" s="527"/>
      <c r="D1135" s="527"/>
      <c r="E1135" s="527"/>
      <c r="F1135" s="527"/>
      <c r="G1135" s="527"/>
      <c r="H1135" s="527"/>
      <c r="I1135" s="527"/>
      <c r="J1135" s="527"/>
      <c r="K1135" s="527"/>
      <c r="L1135" s="527"/>
      <c r="M1135" s="527"/>
      <c r="N1135" s="527"/>
      <c r="O1135" s="528"/>
      <c r="P1135" s="527"/>
      <c r="Q1135" s="527"/>
      <c r="R1135" s="527"/>
      <c r="S1135" s="527"/>
      <c r="T1135" s="528"/>
      <c r="U1135" s="527"/>
      <c r="V1135" s="527"/>
    </row>
    <row r="1136" spans="1:22" x14ac:dyDescent="0.3">
      <c r="A1136" s="527"/>
      <c r="B1136" s="527"/>
      <c r="C1136" s="527"/>
      <c r="D1136" s="527"/>
      <c r="E1136" s="527"/>
      <c r="F1136" s="527"/>
      <c r="G1136" s="527"/>
      <c r="H1136" s="527"/>
      <c r="I1136" s="527"/>
      <c r="J1136" s="527"/>
      <c r="K1136" s="527"/>
      <c r="L1136" s="527"/>
      <c r="M1136" s="527"/>
      <c r="N1136" s="527"/>
      <c r="O1136" s="528"/>
      <c r="P1136" s="527"/>
      <c r="Q1136" s="527"/>
      <c r="R1136" s="527"/>
      <c r="S1136" s="527"/>
      <c r="T1136" s="528"/>
      <c r="U1136" s="527"/>
      <c r="V1136" s="527"/>
    </row>
    <row r="1137" spans="1:22" x14ac:dyDescent="0.3">
      <c r="A1137" s="527"/>
      <c r="B1137" s="527"/>
      <c r="C1137" s="527"/>
      <c r="D1137" s="527"/>
      <c r="E1137" s="527"/>
      <c r="F1137" s="527"/>
      <c r="G1137" s="527"/>
      <c r="H1137" s="527"/>
      <c r="I1137" s="527"/>
      <c r="J1137" s="527"/>
      <c r="K1137" s="527"/>
      <c r="L1137" s="527"/>
      <c r="M1137" s="527"/>
      <c r="N1137" s="527"/>
      <c r="O1137" s="528"/>
      <c r="P1137" s="527"/>
      <c r="Q1137" s="527"/>
      <c r="R1137" s="527"/>
      <c r="S1137" s="527"/>
      <c r="T1137" s="528"/>
      <c r="U1137" s="527"/>
      <c r="V1137" s="527"/>
    </row>
    <row r="1138" spans="1:22" x14ac:dyDescent="0.3">
      <c r="A1138" s="527"/>
      <c r="B1138" s="527"/>
      <c r="C1138" s="527"/>
      <c r="D1138" s="527"/>
      <c r="E1138" s="527"/>
      <c r="F1138" s="527"/>
      <c r="G1138" s="527"/>
      <c r="H1138" s="527"/>
      <c r="I1138" s="527"/>
      <c r="J1138" s="527"/>
      <c r="K1138" s="527"/>
      <c r="L1138" s="527"/>
      <c r="M1138" s="527"/>
      <c r="N1138" s="527"/>
      <c r="O1138" s="528"/>
      <c r="P1138" s="527"/>
      <c r="Q1138" s="527"/>
      <c r="R1138" s="527"/>
      <c r="S1138" s="527"/>
      <c r="T1138" s="528"/>
      <c r="U1138" s="527"/>
      <c r="V1138" s="527"/>
    </row>
    <row r="1139" spans="1:22" x14ac:dyDescent="0.3">
      <c r="A1139" s="527"/>
      <c r="B1139" s="527"/>
      <c r="C1139" s="527"/>
      <c r="D1139" s="527"/>
      <c r="E1139" s="527"/>
      <c r="F1139" s="527"/>
      <c r="G1139" s="527"/>
      <c r="H1139" s="527"/>
      <c r="I1139" s="527"/>
      <c r="J1139" s="527"/>
      <c r="K1139" s="527"/>
      <c r="L1139" s="527"/>
      <c r="M1139" s="527"/>
      <c r="N1139" s="527"/>
      <c r="O1139" s="528"/>
      <c r="P1139" s="527"/>
      <c r="Q1139" s="527"/>
      <c r="R1139" s="527"/>
      <c r="S1139" s="527"/>
      <c r="T1139" s="528"/>
      <c r="U1139" s="527"/>
      <c r="V1139" s="527"/>
    </row>
    <row r="1140" spans="1:22" x14ac:dyDescent="0.3">
      <c r="A1140" s="527"/>
      <c r="B1140" s="527"/>
      <c r="C1140" s="527"/>
      <c r="D1140" s="527"/>
      <c r="E1140" s="527"/>
      <c r="F1140" s="527"/>
      <c r="G1140" s="527"/>
      <c r="H1140" s="527"/>
      <c r="I1140" s="527"/>
      <c r="J1140" s="527"/>
      <c r="K1140" s="527"/>
      <c r="L1140" s="527"/>
      <c r="M1140" s="527"/>
      <c r="N1140" s="527"/>
      <c r="O1140" s="528"/>
      <c r="P1140" s="527"/>
      <c r="Q1140" s="527"/>
      <c r="R1140" s="527"/>
      <c r="S1140" s="527"/>
      <c r="T1140" s="528"/>
      <c r="U1140" s="527"/>
      <c r="V1140" s="527"/>
    </row>
    <row r="1141" spans="1:22" x14ac:dyDescent="0.3">
      <c r="A1141" s="527"/>
      <c r="B1141" s="527"/>
      <c r="C1141" s="527"/>
      <c r="D1141" s="527"/>
      <c r="E1141" s="527"/>
      <c r="F1141" s="527"/>
      <c r="G1141" s="527"/>
      <c r="H1141" s="527"/>
      <c r="I1141" s="527"/>
      <c r="J1141" s="527"/>
      <c r="K1141" s="527"/>
      <c r="L1141" s="527"/>
      <c r="M1141" s="527"/>
      <c r="N1141" s="527"/>
      <c r="O1141" s="528"/>
      <c r="P1141" s="527"/>
      <c r="Q1141" s="527"/>
      <c r="R1141" s="527"/>
      <c r="S1141" s="527"/>
      <c r="T1141" s="528"/>
      <c r="U1141" s="527"/>
      <c r="V1141" s="527"/>
    </row>
    <row r="1142" spans="1:22" x14ac:dyDescent="0.3">
      <c r="A1142" s="527"/>
      <c r="B1142" s="527"/>
      <c r="C1142" s="527"/>
      <c r="D1142" s="527"/>
      <c r="E1142" s="527"/>
      <c r="F1142" s="527"/>
      <c r="G1142" s="527"/>
      <c r="H1142" s="527"/>
      <c r="I1142" s="527"/>
      <c r="J1142" s="527"/>
      <c r="K1142" s="527"/>
      <c r="L1142" s="527"/>
      <c r="M1142" s="527"/>
      <c r="N1142" s="527"/>
      <c r="O1142" s="528"/>
      <c r="P1142" s="527"/>
      <c r="Q1142" s="527"/>
      <c r="R1142" s="527"/>
      <c r="S1142" s="527"/>
      <c r="T1142" s="528"/>
      <c r="U1142" s="527"/>
      <c r="V1142" s="527"/>
    </row>
    <row r="1143" spans="1:22" x14ac:dyDescent="0.3">
      <c r="A1143" s="527"/>
      <c r="B1143" s="527"/>
      <c r="C1143" s="527"/>
      <c r="D1143" s="527"/>
      <c r="E1143" s="527"/>
      <c r="F1143" s="527"/>
      <c r="G1143" s="527"/>
      <c r="H1143" s="527"/>
      <c r="I1143" s="527"/>
      <c r="J1143" s="527"/>
      <c r="K1143" s="527"/>
      <c r="L1143" s="527"/>
      <c r="M1143" s="527"/>
      <c r="N1143" s="527"/>
      <c r="O1143" s="528"/>
      <c r="P1143" s="527"/>
      <c r="Q1143" s="527"/>
      <c r="R1143" s="527"/>
      <c r="S1143" s="527"/>
      <c r="T1143" s="528"/>
      <c r="U1143" s="527"/>
      <c r="V1143" s="527"/>
    </row>
    <row r="1144" spans="1:22" x14ac:dyDescent="0.3">
      <c r="A1144" s="527"/>
      <c r="B1144" s="527"/>
      <c r="C1144" s="527"/>
      <c r="D1144" s="527"/>
      <c r="E1144" s="527"/>
      <c r="F1144" s="527"/>
      <c r="G1144" s="527"/>
      <c r="H1144" s="527"/>
      <c r="I1144" s="527"/>
      <c r="J1144" s="527"/>
      <c r="K1144" s="527"/>
      <c r="L1144" s="527"/>
      <c r="M1144" s="527"/>
      <c r="N1144" s="527"/>
      <c r="O1144" s="528"/>
      <c r="P1144" s="527"/>
      <c r="Q1144" s="527"/>
      <c r="R1144" s="527"/>
      <c r="S1144" s="527"/>
      <c r="T1144" s="528"/>
      <c r="U1144" s="527"/>
      <c r="V1144" s="527"/>
    </row>
    <row r="1145" spans="1:22" x14ac:dyDescent="0.3">
      <c r="A1145" s="527"/>
      <c r="B1145" s="527"/>
      <c r="C1145" s="527"/>
      <c r="D1145" s="527"/>
      <c r="E1145" s="527"/>
      <c r="F1145" s="527"/>
      <c r="G1145" s="527"/>
      <c r="H1145" s="527"/>
      <c r="I1145" s="527"/>
      <c r="J1145" s="527"/>
      <c r="K1145" s="527"/>
      <c r="L1145" s="527"/>
      <c r="M1145" s="527"/>
      <c r="N1145" s="527"/>
      <c r="O1145" s="528"/>
      <c r="P1145" s="527"/>
      <c r="Q1145" s="527"/>
      <c r="R1145" s="527"/>
      <c r="S1145" s="527"/>
      <c r="T1145" s="528"/>
      <c r="U1145" s="527"/>
      <c r="V1145" s="527"/>
    </row>
    <row r="1146" spans="1:22" x14ac:dyDescent="0.3">
      <c r="A1146" s="527"/>
      <c r="B1146" s="527"/>
      <c r="C1146" s="527"/>
      <c r="D1146" s="527"/>
      <c r="E1146" s="527"/>
      <c r="F1146" s="527"/>
      <c r="G1146" s="527"/>
      <c r="H1146" s="527"/>
      <c r="I1146" s="527"/>
      <c r="J1146" s="527"/>
      <c r="K1146" s="527"/>
      <c r="L1146" s="527"/>
      <c r="M1146" s="527"/>
      <c r="N1146" s="527"/>
      <c r="O1146" s="528"/>
      <c r="P1146" s="527"/>
      <c r="Q1146" s="527"/>
      <c r="R1146" s="527"/>
      <c r="S1146" s="527"/>
      <c r="T1146" s="528"/>
      <c r="U1146" s="527"/>
      <c r="V1146" s="527"/>
    </row>
    <row r="1147" spans="1:22" x14ac:dyDescent="0.3">
      <c r="A1147" s="527"/>
      <c r="B1147" s="527"/>
      <c r="C1147" s="527"/>
      <c r="D1147" s="527"/>
      <c r="E1147" s="527"/>
      <c r="F1147" s="527"/>
      <c r="G1147" s="527"/>
      <c r="H1147" s="527"/>
      <c r="I1147" s="527"/>
      <c r="J1147" s="527"/>
      <c r="K1147" s="527"/>
      <c r="L1147" s="527"/>
      <c r="M1147" s="527"/>
      <c r="N1147" s="527"/>
      <c r="O1147" s="528"/>
      <c r="P1147" s="527"/>
      <c r="Q1147" s="527"/>
      <c r="R1147" s="527"/>
      <c r="S1147" s="527"/>
      <c r="T1147" s="528"/>
      <c r="U1147" s="527"/>
      <c r="V1147" s="527"/>
    </row>
    <row r="1148" spans="1:22" x14ac:dyDescent="0.3">
      <c r="A1148" s="527"/>
      <c r="B1148" s="527"/>
      <c r="C1148" s="527"/>
      <c r="D1148" s="527"/>
      <c r="E1148" s="527"/>
      <c r="F1148" s="527"/>
      <c r="G1148" s="527"/>
      <c r="H1148" s="527"/>
      <c r="I1148" s="527"/>
      <c r="J1148" s="527"/>
      <c r="K1148" s="527"/>
      <c r="L1148" s="527"/>
      <c r="M1148" s="527"/>
      <c r="N1148" s="527"/>
      <c r="O1148" s="528"/>
      <c r="P1148" s="527"/>
      <c r="Q1148" s="527"/>
      <c r="R1148" s="527"/>
      <c r="S1148" s="527"/>
      <c r="T1148" s="528"/>
      <c r="U1148" s="527"/>
      <c r="V1148" s="527"/>
    </row>
    <row r="1149" spans="1:22" x14ac:dyDescent="0.3">
      <c r="A1149" s="527"/>
      <c r="B1149" s="527"/>
      <c r="C1149" s="527"/>
      <c r="D1149" s="527"/>
      <c r="E1149" s="527"/>
      <c r="F1149" s="527"/>
      <c r="G1149" s="527"/>
      <c r="H1149" s="527"/>
      <c r="I1149" s="527"/>
      <c r="J1149" s="527"/>
      <c r="K1149" s="527"/>
      <c r="L1149" s="527"/>
      <c r="M1149" s="527"/>
      <c r="N1149" s="527"/>
      <c r="O1149" s="528"/>
      <c r="P1149" s="527"/>
      <c r="Q1149" s="527"/>
      <c r="R1149" s="527"/>
      <c r="S1149" s="527"/>
      <c r="T1149" s="528"/>
      <c r="U1149" s="527"/>
      <c r="V1149" s="527"/>
    </row>
    <row r="1150" spans="1:22" x14ac:dyDescent="0.3">
      <c r="A1150" s="527"/>
      <c r="B1150" s="527"/>
      <c r="C1150" s="527"/>
      <c r="D1150" s="527"/>
      <c r="E1150" s="527"/>
      <c r="F1150" s="527"/>
      <c r="G1150" s="527"/>
      <c r="H1150" s="527"/>
      <c r="I1150" s="527"/>
      <c r="J1150" s="527"/>
      <c r="K1150" s="527"/>
      <c r="L1150" s="527"/>
      <c r="M1150" s="527"/>
      <c r="N1150" s="527"/>
      <c r="O1150" s="528"/>
      <c r="P1150" s="527"/>
      <c r="Q1150" s="527"/>
      <c r="R1150" s="527"/>
      <c r="S1150" s="527"/>
      <c r="T1150" s="528"/>
      <c r="U1150" s="527"/>
      <c r="V1150" s="527"/>
    </row>
    <row r="1151" spans="1:22" x14ac:dyDescent="0.3">
      <c r="A1151" s="527"/>
      <c r="B1151" s="527"/>
      <c r="C1151" s="527"/>
      <c r="D1151" s="527"/>
      <c r="E1151" s="527"/>
      <c r="F1151" s="527"/>
      <c r="G1151" s="527"/>
      <c r="H1151" s="527"/>
      <c r="I1151" s="527"/>
      <c r="J1151" s="527"/>
      <c r="K1151" s="527"/>
      <c r="L1151" s="527"/>
      <c r="M1151" s="527"/>
      <c r="N1151" s="527"/>
      <c r="O1151" s="528"/>
      <c r="P1151" s="527"/>
      <c r="Q1151" s="527"/>
      <c r="R1151" s="527"/>
      <c r="S1151" s="527"/>
      <c r="T1151" s="528"/>
      <c r="U1151" s="527"/>
      <c r="V1151" s="527"/>
    </row>
    <row r="1152" spans="1:22" x14ac:dyDescent="0.3">
      <c r="A1152" s="527"/>
      <c r="B1152" s="527"/>
      <c r="C1152" s="527"/>
      <c r="D1152" s="527"/>
      <c r="E1152" s="527"/>
      <c r="F1152" s="527"/>
      <c r="G1152" s="527"/>
      <c r="H1152" s="527"/>
      <c r="I1152" s="527"/>
      <c r="J1152" s="527"/>
      <c r="K1152" s="527"/>
      <c r="L1152" s="527"/>
      <c r="M1152" s="527"/>
      <c r="N1152" s="527"/>
      <c r="O1152" s="528"/>
      <c r="P1152" s="527"/>
      <c r="Q1152" s="527"/>
      <c r="R1152" s="527"/>
      <c r="S1152" s="527"/>
      <c r="T1152" s="528"/>
      <c r="U1152" s="527"/>
      <c r="V1152" s="527"/>
    </row>
    <row r="1153" spans="1:22" x14ac:dyDescent="0.3">
      <c r="A1153" s="527"/>
      <c r="B1153" s="527"/>
      <c r="C1153" s="527"/>
      <c r="D1153" s="527"/>
      <c r="E1153" s="527"/>
      <c r="F1153" s="527"/>
      <c r="G1153" s="527"/>
      <c r="H1153" s="527"/>
      <c r="I1153" s="527"/>
      <c r="J1153" s="527"/>
      <c r="K1153" s="527"/>
      <c r="L1153" s="527"/>
      <c r="M1153" s="527"/>
      <c r="N1153" s="527"/>
      <c r="O1153" s="528"/>
      <c r="P1153" s="527"/>
      <c r="Q1153" s="527"/>
      <c r="R1153" s="527"/>
      <c r="S1153" s="527"/>
      <c r="T1153" s="528"/>
      <c r="U1153" s="527"/>
      <c r="V1153" s="527"/>
    </row>
    <row r="1154" spans="1:22" x14ac:dyDescent="0.3">
      <c r="A1154" s="527"/>
      <c r="B1154" s="527"/>
      <c r="C1154" s="527"/>
      <c r="D1154" s="527"/>
      <c r="E1154" s="527"/>
      <c r="F1154" s="527"/>
      <c r="G1154" s="527"/>
      <c r="H1154" s="527"/>
      <c r="I1154" s="527"/>
      <c r="J1154" s="527"/>
      <c r="K1154" s="527"/>
      <c r="L1154" s="527"/>
      <c r="M1154" s="527"/>
      <c r="N1154" s="527"/>
      <c r="O1154" s="528"/>
      <c r="P1154" s="527"/>
      <c r="Q1154" s="527"/>
      <c r="R1154" s="527"/>
      <c r="S1154" s="527"/>
      <c r="T1154" s="528"/>
      <c r="U1154" s="527"/>
      <c r="V1154" s="527"/>
    </row>
    <row r="1155" spans="1:22" x14ac:dyDescent="0.3">
      <c r="A1155" s="527"/>
      <c r="B1155" s="527"/>
      <c r="C1155" s="527"/>
      <c r="D1155" s="527"/>
      <c r="E1155" s="527"/>
      <c r="F1155" s="527"/>
      <c r="G1155" s="527"/>
      <c r="H1155" s="527"/>
      <c r="I1155" s="527"/>
      <c r="J1155" s="527"/>
      <c r="K1155" s="527"/>
      <c r="L1155" s="527"/>
      <c r="M1155" s="527"/>
      <c r="N1155" s="527"/>
      <c r="O1155" s="528"/>
      <c r="P1155" s="527"/>
      <c r="Q1155" s="527"/>
      <c r="R1155" s="527"/>
      <c r="S1155" s="527"/>
      <c r="T1155" s="528"/>
      <c r="U1155" s="527"/>
      <c r="V1155" s="527"/>
    </row>
    <row r="1156" spans="1:22" x14ac:dyDescent="0.3">
      <c r="A1156" s="527"/>
      <c r="B1156" s="527"/>
      <c r="C1156" s="527"/>
      <c r="D1156" s="527"/>
      <c r="E1156" s="527"/>
      <c r="F1156" s="527"/>
      <c r="G1156" s="527"/>
      <c r="H1156" s="527"/>
      <c r="I1156" s="527"/>
      <c r="J1156" s="527"/>
      <c r="K1156" s="527"/>
      <c r="L1156" s="527"/>
      <c r="M1156" s="527"/>
      <c r="N1156" s="527"/>
      <c r="O1156" s="528"/>
      <c r="P1156" s="527"/>
      <c r="Q1156" s="527"/>
      <c r="R1156" s="527"/>
      <c r="S1156" s="527"/>
      <c r="T1156" s="528"/>
      <c r="U1156" s="527"/>
      <c r="V1156" s="527"/>
    </row>
    <row r="1157" spans="1:22" x14ac:dyDescent="0.3">
      <c r="A1157" s="527"/>
      <c r="B1157" s="527"/>
      <c r="C1157" s="527"/>
      <c r="D1157" s="527"/>
      <c r="E1157" s="527"/>
      <c r="F1157" s="527"/>
      <c r="G1157" s="527"/>
      <c r="H1157" s="527"/>
      <c r="I1157" s="527"/>
      <c r="J1157" s="527"/>
      <c r="K1157" s="527"/>
      <c r="L1157" s="527"/>
      <c r="M1157" s="527"/>
      <c r="N1157" s="527"/>
      <c r="O1157" s="528"/>
      <c r="P1157" s="527"/>
      <c r="Q1157" s="527"/>
      <c r="R1157" s="527"/>
      <c r="S1157" s="527"/>
      <c r="T1157" s="528"/>
      <c r="U1157" s="527"/>
      <c r="V1157" s="527"/>
    </row>
    <row r="1158" spans="1:22" x14ac:dyDescent="0.3">
      <c r="A1158" s="527"/>
      <c r="B1158" s="527"/>
      <c r="C1158" s="527"/>
      <c r="D1158" s="527"/>
      <c r="E1158" s="527"/>
      <c r="F1158" s="527"/>
      <c r="G1158" s="527"/>
      <c r="H1158" s="527"/>
      <c r="I1158" s="527"/>
      <c r="J1158" s="527"/>
      <c r="K1158" s="527"/>
      <c r="L1158" s="527"/>
      <c r="M1158" s="527"/>
      <c r="N1158" s="527"/>
      <c r="O1158" s="528"/>
      <c r="P1158" s="527"/>
      <c r="Q1158" s="527"/>
      <c r="R1158" s="527"/>
      <c r="S1158" s="527"/>
      <c r="T1158" s="528"/>
      <c r="U1158" s="527"/>
      <c r="V1158" s="527"/>
    </row>
    <row r="1159" spans="1:22" x14ac:dyDescent="0.3">
      <c r="A1159" s="527"/>
      <c r="B1159" s="527"/>
      <c r="C1159" s="527"/>
      <c r="D1159" s="527"/>
      <c r="E1159" s="527"/>
      <c r="F1159" s="527"/>
      <c r="G1159" s="527"/>
      <c r="H1159" s="527"/>
      <c r="I1159" s="527"/>
      <c r="J1159" s="527"/>
      <c r="K1159" s="527"/>
      <c r="L1159" s="527"/>
      <c r="M1159" s="527"/>
      <c r="N1159" s="527"/>
      <c r="O1159" s="528"/>
      <c r="P1159" s="527"/>
      <c r="Q1159" s="527"/>
      <c r="R1159" s="527"/>
      <c r="S1159" s="527"/>
      <c r="T1159" s="528"/>
      <c r="U1159" s="527"/>
      <c r="V1159" s="527"/>
    </row>
    <row r="1160" spans="1:22" x14ac:dyDescent="0.3">
      <c r="A1160" s="527"/>
      <c r="B1160" s="527"/>
      <c r="C1160" s="527"/>
      <c r="D1160" s="527"/>
      <c r="E1160" s="527"/>
      <c r="F1160" s="527"/>
      <c r="G1160" s="527"/>
      <c r="H1160" s="527"/>
      <c r="I1160" s="527"/>
      <c r="J1160" s="527"/>
      <c r="K1160" s="527"/>
      <c r="L1160" s="527"/>
      <c r="M1160" s="527"/>
      <c r="N1160" s="527"/>
      <c r="O1160" s="528"/>
      <c r="P1160" s="527"/>
      <c r="Q1160" s="527"/>
      <c r="R1160" s="527"/>
      <c r="S1160" s="527"/>
      <c r="T1160" s="528"/>
      <c r="U1160" s="527"/>
      <c r="V1160" s="527"/>
    </row>
    <row r="1161" spans="1:22" x14ac:dyDescent="0.3">
      <c r="A1161" s="527"/>
      <c r="B1161" s="527"/>
      <c r="C1161" s="527"/>
      <c r="D1161" s="527"/>
      <c r="E1161" s="527"/>
      <c r="F1161" s="527"/>
      <c r="G1161" s="527"/>
      <c r="H1161" s="527"/>
      <c r="I1161" s="527"/>
      <c r="J1161" s="527"/>
      <c r="K1161" s="527"/>
      <c r="L1161" s="527"/>
      <c r="M1161" s="527"/>
      <c r="N1161" s="527"/>
      <c r="O1161" s="528"/>
      <c r="P1161" s="527"/>
      <c r="Q1161" s="527"/>
      <c r="R1161" s="527"/>
      <c r="S1161" s="527"/>
      <c r="T1161" s="528"/>
      <c r="U1161" s="527"/>
      <c r="V1161" s="527"/>
    </row>
    <row r="1162" spans="1:22" x14ac:dyDescent="0.3">
      <c r="A1162" s="527"/>
      <c r="B1162" s="527"/>
      <c r="C1162" s="527"/>
      <c r="D1162" s="527"/>
      <c r="E1162" s="527"/>
      <c r="F1162" s="527"/>
      <c r="G1162" s="527"/>
      <c r="H1162" s="527"/>
      <c r="I1162" s="527"/>
      <c r="J1162" s="527"/>
      <c r="K1162" s="527"/>
      <c r="L1162" s="527"/>
      <c r="M1162" s="527"/>
      <c r="N1162" s="527"/>
      <c r="O1162" s="528"/>
      <c r="P1162" s="527"/>
      <c r="Q1162" s="527"/>
      <c r="R1162" s="527"/>
      <c r="S1162" s="527"/>
      <c r="T1162" s="528"/>
      <c r="U1162" s="527"/>
      <c r="V1162" s="527"/>
    </row>
    <row r="1163" spans="1:22" x14ac:dyDescent="0.3">
      <c r="A1163" s="527"/>
      <c r="B1163" s="527"/>
      <c r="C1163" s="527"/>
      <c r="D1163" s="527"/>
      <c r="E1163" s="527"/>
      <c r="F1163" s="527"/>
      <c r="G1163" s="527"/>
      <c r="H1163" s="527"/>
      <c r="I1163" s="527"/>
      <c r="J1163" s="527"/>
      <c r="K1163" s="527"/>
      <c r="L1163" s="527"/>
      <c r="M1163" s="527"/>
      <c r="N1163" s="527"/>
      <c r="O1163" s="528"/>
      <c r="P1163" s="527"/>
      <c r="Q1163" s="527"/>
      <c r="R1163" s="527"/>
      <c r="S1163" s="527"/>
      <c r="T1163" s="528"/>
      <c r="U1163" s="527"/>
      <c r="V1163" s="527"/>
    </row>
    <row r="1164" spans="1:22" x14ac:dyDescent="0.3">
      <c r="A1164" s="527"/>
      <c r="B1164" s="527"/>
      <c r="C1164" s="527"/>
      <c r="D1164" s="527"/>
      <c r="E1164" s="527"/>
      <c r="F1164" s="527"/>
      <c r="G1164" s="527"/>
      <c r="H1164" s="527"/>
      <c r="I1164" s="527"/>
      <c r="J1164" s="527"/>
      <c r="K1164" s="527"/>
      <c r="L1164" s="527"/>
      <c r="M1164" s="527"/>
      <c r="N1164" s="527"/>
      <c r="O1164" s="528"/>
      <c r="P1164" s="527"/>
      <c r="Q1164" s="527"/>
      <c r="R1164" s="527"/>
      <c r="S1164" s="527"/>
      <c r="T1164" s="528"/>
      <c r="U1164" s="527"/>
      <c r="V1164" s="527"/>
    </row>
    <row r="1165" spans="1:22" x14ac:dyDescent="0.3">
      <c r="A1165" s="527"/>
      <c r="B1165" s="527"/>
      <c r="C1165" s="527"/>
      <c r="D1165" s="527"/>
      <c r="E1165" s="527"/>
      <c r="F1165" s="527"/>
      <c r="G1165" s="527"/>
      <c r="H1165" s="527"/>
      <c r="I1165" s="527"/>
      <c r="J1165" s="527"/>
      <c r="K1165" s="527"/>
      <c r="L1165" s="527"/>
      <c r="M1165" s="527"/>
      <c r="N1165" s="527"/>
      <c r="O1165" s="528"/>
      <c r="P1165" s="527"/>
      <c r="Q1165" s="527"/>
      <c r="R1165" s="527"/>
      <c r="S1165" s="527"/>
      <c r="T1165" s="528"/>
      <c r="U1165" s="527"/>
      <c r="V1165" s="527"/>
    </row>
    <row r="1166" spans="1:22" x14ac:dyDescent="0.3">
      <c r="A1166" s="527"/>
      <c r="B1166" s="527"/>
      <c r="C1166" s="527"/>
      <c r="D1166" s="527"/>
      <c r="E1166" s="527"/>
      <c r="F1166" s="527"/>
      <c r="G1166" s="527"/>
      <c r="H1166" s="527"/>
      <c r="I1166" s="527"/>
      <c r="J1166" s="527"/>
      <c r="K1166" s="527"/>
      <c r="L1166" s="527"/>
      <c r="M1166" s="527"/>
      <c r="N1166" s="527"/>
      <c r="O1166" s="528"/>
      <c r="P1166" s="527"/>
      <c r="Q1166" s="527"/>
      <c r="R1166" s="527"/>
      <c r="S1166" s="527"/>
      <c r="T1166" s="528"/>
      <c r="U1166" s="527"/>
      <c r="V1166" s="527"/>
    </row>
    <row r="1167" spans="1:22" x14ac:dyDescent="0.3">
      <c r="A1167" s="527"/>
      <c r="B1167" s="527"/>
      <c r="C1167" s="527"/>
      <c r="D1167" s="527"/>
      <c r="E1167" s="527"/>
      <c r="F1167" s="527"/>
      <c r="G1167" s="527"/>
      <c r="H1167" s="527"/>
      <c r="I1167" s="527"/>
      <c r="J1167" s="527"/>
      <c r="K1167" s="527"/>
      <c r="L1167" s="527"/>
      <c r="M1167" s="527"/>
      <c r="N1167" s="527"/>
      <c r="O1167" s="528"/>
      <c r="P1167" s="527"/>
      <c r="Q1167" s="527"/>
      <c r="R1167" s="527"/>
      <c r="S1167" s="527"/>
      <c r="T1167" s="528"/>
      <c r="U1167" s="527"/>
      <c r="V1167" s="527"/>
    </row>
    <row r="1168" spans="1:22" x14ac:dyDescent="0.3">
      <c r="A1168" s="527"/>
      <c r="B1168" s="527"/>
      <c r="C1168" s="527"/>
      <c r="D1168" s="527"/>
      <c r="E1168" s="527"/>
      <c r="F1168" s="527"/>
      <c r="G1168" s="527"/>
      <c r="H1168" s="527"/>
      <c r="I1168" s="527"/>
      <c r="J1168" s="527"/>
      <c r="K1168" s="527"/>
      <c r="L1168" s="527"/>
      <c r="M1168" s="527"/>
      <c r="N1168" s="527"/>
      <c r="O1168" s="528"/>
      <c r="P1168" s="527"/>
      <c r="Q1168" s="527"/>
      <c r="R1168" s="527"/>
      <c r="S1168" s="527"/>
      <c r="T1168" s="528"/>
      <c r="U1168" s="527"/>
      <c r="V1168" s="527"/>
    </row>
    <row r="1169" spans="1:22" x14ac:dyDescent="0.3">
      <c r="A1169" s="527"/>
      <c r="B1169" s="527"/>
      <c r="C1169" s="527"/>
      <c r="D1169" s="527"/>
      <c r="E1169" s="527"/>
      <c r="F1169" s="527"/>
      <c r="G1169" s="527"/>
      <c r="H1169" s="527"/>
      <c r="I1169" s="527"/>
      <c r="J1169" s="527"/>
      <c r="K1169" s="527"/>
      <c r="L1169" s="527"/>
      <c r="M1169" s="527"/>
      <c r="N1169" s="527"/>
      <c r="O1169" s="528"/>
      <c r="P1169" s="527"/>
      <c r="Q1169" s="527"/>
      <c r="R1169" s="527"/>
      <c r="S1169" s="527"/>
      <c r="T1169" s="528"/>
      <c r="U1169" s="527"/>
      <c r="V1169" s="527"/>
    </row>
    <row r="1170" spans="1:22" x14ac:dyDescent="0.3">
      <c r="A1170" s="527"/>
      <c r="B1170" s="527"/>
      <c r="C1170" s="527"/>
      <c r="D1170" s="527"/>
      <c r="E1170" s="527"/>
      <c r="F1170" s="527"/>
      <c r="G1170" s="527"/>
      <c r="H1170" s="527"/>
      <c r="I1170" s="527"/>
      <c r="J1170" s="527"/>
      <c r="K1170" s="527"/>
      <c r="L1170" s="527"/>
      <c r="M1170" s="527"/>
      <c r="N1170" s="527"/>
      <c r="O1170" s="528"/>
      <c r="P1170" s="527"/>
      <c r="Q1170" s="527"/>
      <c r="R1170" s="527"/>
      <c r="S1170" s="527"/>
      <c r="T1170" s="528"/>
      <c r="U1170" s="527"/>
      <c r="V1170" s="527"/>
    </row>
    <row r="1171" spans="1:22" x14ac:dyDescent="0.3">
      <c r="A1171" s="527"/>
      <c r="B1171" s="527"/>
      <c r="C1171" s="527"/>
      <c r="D1171" s="527"/>
      <c r="E1171" s="527"/>
      <c r="F1171" s="527"/>
      <c r="G1171" s="527"/>
      <c r="H1171" s="527"/>
      <c r="I1171" s="527"/>
      <c r="J1171" s="527"/>
      <c r="K1171" s="527"/>
      <c r="L1171" s="527"/>
      <c r="M1171" s="527"/>
      <c r="N1171" s="527"/>
      <c r="O1171" s="528"/>
      <c r="P1171" s="527"/>
      <c r="Q1171" s="527"/>
      <c r="R1171" s="527"/>
      <c r="S1171" s="527"/>
      <c r="T1171" s="528"/>
      <c r="U1171" s="527"/>
      <c r="V1171" s="527"/>
    </row>
    <row r="1172" spans="1:22" x14ac:dyDescent="0.3">
      <c r="A1172" s="527"/>
      <c r="B1172" s="527"/>
      <c r="C1172" s="527"/>
      <c r="D1172" s="527"/>
      <c r="E1172" s="527"/>
      <c r="F1172" s="527"/>
      <c r="G1172" s="527"/>
      <c r="H1172" s="527"/>
      <c r="I1172" s="527"/>
      <c r="J1172" s="527"/>
      <c r="K1172" s="527"/>
      <c r="L1172" s="527"/>
      <c r="M1172" s="527"/>
      <c r="N1172" s="527"/>
      <c r="O1172" s="528"/>
      <c r="P1172" s="527"/>
      <c r="Q1172" s="527"/>
      <c r="R1172" s="527"/>
      <c r="S1172" s="527"/>
      <c r="T1172" s="528"/>
      <c r="U1172" s="527"/>
      <c r="V1172" s="527"/>
    </row>
    <row r="1173" spans="1:22" x14ac:dyDescent="0.3">
      <c r="A1173" s="527"/>
      <c r="B1173" s="527"/>
      <c r="C1173" s="527"/>
      <c r="D1173" s="527"/>
      <c r="E1173" s="527"/>
      <c r="F1173" s="527"/>
      <c r="G1173" s="527"/>
      <c r="H1173" s="527"/>
      <c r="I1173" s="527"/>
      <c r="J1173" s="527"/>
      <c r="K1173" s="527"/>
      <c r="L1173" s="527"/>
      <c r="M1173" s="527"/>
      <c r="N1173" s="527"/>
      <c r="O1173" s="528"/>
      <c r="P1173" s="527"/>
      <c r="Q1173" s="527"/>
      <c r="R1173" s="527"/>
      <c r="S1173" s="527"/>
      <c r="T1173" s="528"/>
      <c r="U1173" s="527"/>
      <c r="V1173" s="527"/>
    </row>
    <row r="1174" spans="1:22" x14ac:dyDescent="0.3">
      <c r="A1174" s="527"/>
      <c r="B1174" s="527"/>
      <c r="C1174" s="527"/>
      <c r="D1174" s="527"/>
      <c r="E1174" s="527"/>
      <c r="F1174" s="527"/>
      <c r="G1174" s="527"/>
      <c r="H1174" s="527"/>
      <c r="I1174" s="527"/>
      <c r="J1174" s="527"/>
      <c r="K1174" s="527"/>
      <c r="L1174" s="527"/>
      <c r="M1174" s="527"/>
      <c r="N1174" s="527"/>
      <c r="O1174" s="528"/>
      <c r="P1174" s="527"/>
      <c r="Q1174" s="527"/>
      <c r="R1174" s="527"/>
      <c r="S1174" s="527"/>
      <c r="T1174" s="528"/>
      <c r="U1174" s="527"/>
      <c r="V1174" s="527"/>
    </row>
    <row r="1175" spans="1:22" x14ac:dyDescent="0.3">
      <c r="A1175" s="527"/>
      <c r="B1175" s="527"/>
      <c r="C1175" s="527"/>
      <c r="D1175" s="527"/>
      <c r="E1175" s="527"/>
      <c r="F1175" s="527"/>
      <c r="G1175" s="527"/>
      <c r="H1175" s="527"/>
      <c r="I1175" s="527"/>
      <c r="J1175" s="527"/>
      <c r="K1175" s="527"/>
      <c r="L1175" s="527"/>
      <c r="M1175" s="527"/>
      <c r="N1175" s="527"/>
      <c r="O1175" s="528"/>
      <c r="P1175" s="527"/>
      <c r="Q1175" s="527"/>
      <c r="R1175" s="527"/>
      <c r="S1175" s="527"/>
      <c r="T1175" s="528"/>
      <c r="U1175" s="527"/>
      <c r="V1175" s="527"/>
    </row>
    <row r="1176" spans="1:22" x14ac:dyDescent="0.3">
      <c r="A1176" s="527"/>
      <c r="B1176" s="527"/>
      <c r="C1176" s="527"/>
      <c r="D1176" s="527"/>
      <c r="E1176" s="527"/>
      <c r="F1176" s="527"/>
      <c r="G1176" s="527"/>
      <c r="H1176" s="527"/>
      <c r="I1176" s="527"/>
      <c r="J1176" s="527"/>
      <c r="K1176" s="527"/>
      <c r="L1176" s="527"/>
      <c r="M1176" s="527"/>
      <c r="N1176" s="527"/>
      <c r="O1176" s="528"/>
      <c r="P1176" s="527"/>
      <c r="Q1176" s="527"/>
      <c r="R1176" s="527"/>
      <c r="S1176" s="527"/>
      <c r="T1176" s="528"/>
      <c r="U1176" s="527"/>
      <c r="V1176" s="527"/>
    </row>
    <row r="1177" spans="1:22" x14ac:dyDescent="0.3">
      <c r="A1177" s="527"/>
      <c r="B1177" s="527"/>
      <c r="C1177" s="527"/>
      <c r="D1177" s="527"/>
      <c r="E1177" s="527"/>
      <c r="F1177" s="527"/>
      <c r="G1177" s="527"/>
      <c r="H1177" s="527"/>
      <c r="I1177" s="527"/>
      <c r="J1177" s="527"/>
      <c r="K1177" s="527"/>
      <c r="L1177" s="527"/>
      <c r="M1177" s="527"/>
      <c r="N1177" s="527"/>
      <c r="O1177" s="528"/>
      <c r="P1177" s="527"/>
      <c r="Q1177" s="527"/>
      <c r="R1177" s="527"/>
      <c r="S1177" s="527"/>
      <c r="T1177" s="528"/>
      <c r="U1177" s="527"/>
      <c r="V1177" s="527"/>
    </row>
    <row r="1178" spans="1:22" x14ac:dyDescent="0.3">
      <c r="A1178" s="527"/>
      <c r="B1178" s="527"/>
      <c r="C1178" s="527"/>
      <c r="D1178" s="527"/>
      <c r="E1178" s="527"/>
      <c r="F1178" s="527"/>
      <c r="G1178" s="527"/>
      <c r="H1178" s="527"/>
      <c r="I1178" s="527"/>
      <c r="J1178" s="527"/>
      <c r="K1178" s="527"/>
      <c r="L1178" s="527"/>
      <c r="M1178" s="527"/>
      <c r="N1178" s="527"/>
      <c r="O1178" s="528"/>
      <c r="P1178" s="527"/>
      <c r="Q1178" s="527"/>
      <c r="R1178" s="527"/>
      <c r="S1178" s="527"/>
      <c r="T1178" s="528"/>
      <c r="U1178" s="527"/>
      <c r="V1178" s="527"/>
    </row>
    <row r="1179" spans="1:22" x14ac:dyDescent="0.3">
      <c r="A1179" s="527"/>
      <c r="B1179" s="527"/>
      <c r="C1179" s="527"/>
      <c r="D1179" s="527"/>
      <c r="E1179" s="527"/>
      <c r="F1179" s="527"/>
      <c r="G1179" s="527"/>
      <c r="H1179" s="527"/>
      <c r="I1179" s="527"/>
      <c r="J1179" s="527"/>
      <c r="K1179" s="527"/>
      <c r="L1179" s="527"/>
      <c r="M1179" s="527"/>
      <c r="N1179" s="527"/>
      <c r="O1179" s="528"/>
      <c r="P1179" s="527"/>
      <c r="Q1179" s="527"/>
      <c r="R1179" s="527"/>
      <c r="S1179" s="527"/>
      <c r="T1179" s="528"/>
      <c r="U1179" s="527"/>
      <c r="V1179" s="527"/>
    </row>
    <row r="1180" spans="1:22" x14ac:dyDescent="0.3">
      <c r="A1180" s="527"/>
      <c r="B1180" s="527"/>
      <c r="C1180" s="527"/>
      <c r="D1180" s="527"/>
      <c r="E1180" s="527"/>
      <c r="F1180" s="527"/>
      <c r="G1180" s="527"/>
      <c r="H1180" s="527"/>
      <c r="I1180" s="527"/>
      <c r="J1180" s="527"/>
      <c r="K1180" s="527"/>
      <c r="L1180" s="527"/>
      <c r="M1180" s="527"/>
      <c r="N1180" s="527"/>
      <c r="O1180" s="528"/>
      <c r="P1180" s="527"/>
      <c r="Q1180" s="527"/>
      <c r="R1180" s="527"/>
      <c r="S1180" s="527"/>
      <c r="T1180" s="528"/>
      <c r="U1180" s="527"/>
      <c r="V1180" s="527"/>
    </row>
    <row r="1181" spans="1:22" x14ac:dyDescent="0.3">
      <c r="A1181" s="527"/>
      <c r="B1181" s="527"/>
      <c r="C1181" s="527"/>
      <c r="D1181" s="527"/>
      <c r="E1181" s="527"/>
      <c r="F1181" s="527"/>
      <c r="G1181" s="527"/>
      <c r="H1181" s="527"/>
      <c r="I1181" s="527"/>
      <c r="J1181" s="527"/>
      <c r="K1181" s="527"/>
      <c r="L1181" s="527"/>
      <c r="M1181" s="527"/>
      <c r="N1181" s="527"/>
      <c r="O1181" s="528"/>
      <c r="P1181" s="527"/>
      <c r="Q1181" s="527"/>
      <c r="R1181" s="527"/>
      <c r="S1181" s="527"/>
      <c r="T1181" s="528"/>
      <c r="U1181" s="527"/>
      <c r="V1181" s="527"/>
    </row>
    <row r="1182" spans="1:22" x14ac:dyDescent="0.3">
      <c r="A1182" s="527"/>
      <c r="B1182" s="527"/>
      <c r="C1182" s="527"/>
      <c r="D1182" s="527"/>
      <c r="E1182" s="527"/>
      <c r="F1182" s="527"/>
      <c r="G1182" s="527"/>
      <c r="H1182" s="527"/>
      <c r="I1182" s="527"/>
      <c r="J1182" s="527"/>
      <c r="K1182" s="527"/>
      <c r="L1182" s="527"/>
      <c r="M1182" s="527"/>
      <c r="N1182" s="527"/>
      <c r="O1182" s="528"/>
      <c r="P1182" s="527"/>
      <c r="Q1182" s="527"/>
      <c r="R1182" s="527"/>
      <c r="S1182" s="527"/>
      <c r="T1182" s="528"/>
      <c r="U1182" s="527"/>
      <c r="V1182" s="527"/>
    </row>
    <row r="1183" spans="1:22" x14ac:dyDescent="0.3">
      <c r="A1183" s="527"/>
      <c r="B1183" s="527"/>
      <c r="C1183" s="527"/>
      <c r="D1183" s="527"/>
      <c r="E1183" s="527"/>
      <c r="F1183" s="527"/>
      <c r="G1183" s="527"/>
      <c r="H1183" s="527"/>
      <c r="I1183" s="527"/>
      <c r="J1183" s="527"/>
      <c r="K1183" s="527"/>
      <c r="L1183" s="527"/>
      <c r="M1183" s="527"/>
      <c r="N1183" s="527"/>
      <c r="O1183" s="528"/>
      <c r="P1183" s="527"/>
      <c r="Q1183" s="527"/>
      <c r="R1183" s="527"/>
      <c r="S1183" s="527"/>
      <c r="T1183" s="528"/>
      <c r="U1183" s="527"/>
      <c r="V1183" s="527"/>
    </row>
    <row r="1184" spans="1:22" x14ac:dyDescent="0.3">
      <c r="A1184" s="527"/>
      <c r="B1184" s="527"/>
      <c r="C1184" s="527"/>
      <c r="D1184" s="527"/>
      <c r="E1184" s="527"/>
      <c r="F1184" s="527"/>
      <c r="G1184" s="527"/>
      <c r="H1184" s="527"/>
      <c r="I1184" s="527"/>
      <c r="J1184" s="527"/>
      <c r="K1184" s="527"/>
      <c r="L1184" s="527"/>
      <c r="M1184" s="527"/>
      <c r="N1184" s="527"/>
      <c r="O1184" s="528"/>
      <c r="P1184" s="527"/>
      <c r="Q1184" s="527"/>
      <c r="R1184" s="527"/>
      <c r="S1184" s="527"/>
      <c r="T1184" s="528"/>
      <c r="U1184" s="527"/>
      <c r="V1184" s="527"/>
    </row>
    <row r="1185" spans="1:22" x14ac:dyDescent="0.3">
      <c r="A1185" s="527"/>
      <c r="B1185" s="527"/>
      <c r="C1185" s="527"/>
      <c r="D1185" s="527"/>
      <c r="E1185" s="527"/>
      <c r="F1185" s="527"/>
      <c r="G1185" s="527"/>
      <c r="H1185" s="527"/>
      <c r="I1185" s="527"/>
      <c r="J1185" s="527"/>
      <c r="K1185" s="527"/>
      <c r="L1185" s="527"/>
      <c r="M1185" s="527"/>
      <c r="N1185" s="527"/>
      <c r="O1185" s="528"/>
      <c r="P1185" s="527"/>
      <c r="Q1185" s="527"/>
      <c r="R1185" s="527"/>
      <c r="S1185" s="527"/>
      <c r="T1185" s="528"/>
      <c r="U1185" s="527"/>
      <c r="V1185" s="527"/>
    </row>
    <row r="1186" spans="1:22" x14ac:dyDescent="0.3">
      <c r="A1186" s="527"/>
      <c r="B1186" s="527"/>
      <c r="C1186" s="527"/>
      <c r="D1186" s="527"/>
      <c r="E1186" s="527"/>
      <c r="F1186" s="527"/>
      <c r="G1186" s="527"/>
      <c r="H1186" s="527"/>
      <c r="I1186" s="527"/>
      <c r="J1186" s="527"/>
      <c r="K1186" s="527"/>
      <c r="L1186" s="527"/>
      <c r="M1186" s="527"/>
      <c r="N1186" s="527"/>
      <c r="O1186" s="528"/>
      <c r="P1186" s="527"/>
      <c r="Q1186" s="527"/>
      <c r="R1186" s="527"/>
      <c r="S1186" s="527"/>
      <c r="T1186" s="528"/>
      <c r="U1186" s="527"/>
      <c r="V1186" s="527"/>
    </row>
    <row r="1187" spans="1:22" x14ac:dyDescent="0.3">
      <c r="A1187" s="527"/>
      <c r="B1187" s="527"/>
      <c r="C1187" s="527"/>
      <c r="D1187" s="527"/>
      <c r="E1187" s="527"/>
      <c r="F1187" s="527"/>
      <c r="G1187" s="527"/>
      <c r="H1187" s="527"/>
      <c r="I1187" s="527"/>
      <c r="J1187" s="527"/>
      <c r="K1187" s="527"/>
      <c r="L1187" s="527"/>
      <c r="M1187" s="527"/>
      <c r="N1187" s="527"/>
      <c r="O1187" s="528"/>
      <c r="P1187" s="527"/>
      <c r="Q1187" s="527"/>
      <c r="R1187" s="527"/>
      <c r="S1187" s="527"/>
      <c r="T1187" s="528"/>
      <c r="U1187" s="527"/>
      <c r="V1187" s="527"/>
    </row>
    <row r="1188" spans="1:22" x14ac:dyDescent="0.3">
      <c r="A1188" s="527"/>
      <c r="B1188" s="527"/>
      <c r="C1188" s="527"/>
      <c r="D1188" s="527"/>
      <c r="E1188" s="527"/>
      <c r="F1188" s="527"/>
      <c r="G1188" s="527"/>
      <c r="H1188" s="527"/>
      <c r="I1188" s="527"/>
      <c r="J1188" s="527"/>
      <c r="K1188" s="527"/>
      <c r="L1188" s="527"/>
      <c r="M1188" s="527"/>
      <c r="N1188" s="527"/>
      <c r="O1188" s="528"/>
      <c r="P1188" s="527"/>
      <c r="Q1188" s="527"/>
      <c r="R1188" s="527"/>
      <c r="S1188" s="527"/>
      <c r="T1188" s="528"/>
      <c r="U1188" s="527"/>
      <c r="V1188" s="527"/>
    </row>
    <row r="1189" spans="1:22" x14ac:dyDescent="0.3">
      <c r="A1189" s="527"/>
      <c r="B1189" s="527"/>
      <c r="C1189" s="527"/>
      <c r="D1189" s="527"/>
      <c r="E1189" s="527"/>
      <c r="F1189" s="527"/>
      <c r="G1189" s="527"/>
      <c r="H1189" s="527"/>
      <c r="I1189" s="527"/>
      <c r="J1189" s="527"/>
      <c r="K1189" s="527"/>
      <c r="L1189" s="527"/>
      <c r="M1189" s="527"/>
      <c r="N1189" s="527"/>
      <c r="O1189" s="528"/>
      <c r="P1189" s="527"/>
      <c r="Q1189" s="527"/>
      <c r="R1189" s="527"/>
      <c r="S1189" s="527"/>
      <c r="T1189" s="528"/>
      <c r="U1189" s="527"/>
      <c r="V1189" s="527"/>
    </row>
    <row r="1190" spans="1:22" x14ac:dyDescent="0.3">
      <c r="A1190" s="527"/>
      <c r="B1190" s="527"/>
      <c r="C1190" s="527"/>
      <c r="D1190" s="527"/>
      <c r="E1190" s="527"/>
      <c r="F1190" s="527"/>
      <c r="G1190" s="527"/>
      <c r="H1190" s="527"/>
      <c r="I1190" s="527"/>
      <c r="J1190" s="527"/>
      <c r="K1190" s="527"/>
      <c r="L1190" s="527"/>
      <c r="M1190" s="527"/>
      <c r="N1190" s="527"/>
      <c r="O1190" s="528"/>
      <c r="P1190" s="527"/>
      <c r="Q1190" s="527"/>
      <c r="R1190" s="527"/>
      <c r="S1190" s="527"/>
      <c r="T1190" s="528"/>
      <c r="U1190" s="527"/>
      <c r="V1190" s="527"/>
    </row>
    <row r="1191" spans="1:22" x14ac:dyDescent="0.3">
      <c r="A1191" s="527"/>
      <c r="B1191" s="527"/>
      <c r="C1191" s="527"/>
      <c r="D1191" s="527"/>
      <c r="E1191" s="527"/>
      <c r="F1191" s="527"/>
      <c r="G1191" s="527"/>
      <c r="H1191" s="527"/>
      <c r="I1191" s="527"/>
      <c r="J1191" s="527"/>
      <c r="K1191" s="527"/>
      <c r="L1191" s="527"/>
      <c r="M1191" s="527"/>
      <c r="N1191" s="527"/>
      <c r="O1191" s="528"/>
      <c r="P1191" s="527"/>
      <c r="Q1191" s="527"/>
      <c r="R1191" s="527"/>
      <c r="S1191" s="527"/>
      <c r="T1191" s="528"/>
      <c r="U1191" s="527"/>
      <c r="V1191" s="527"/>
    </row>
    <row r="1192" spans="1:22" x14ac:dyDescent="0.3">
      <c r="A1192" s="527"/>
      <c r="B1192" s="527"/>
      <c r="C1192" s="527"/>
      <c r="D1192" s="527"/>
      <c r="E1192" s="527"/>
      <c r="F1192" s="527"/>
      <c r="G1192" s="527"/>
      <c r="H1192" s="527"/>
      <c r="I1192" s="527"/>
      <c r="J1192" s="527"/>
      <c r="K1192" s="527"/>
      <c r="L1192" s="527"/>
      <c r="M1192" s="527"/>
      <c r="N1192" s="527"/>
      <c r="O1192" s="528"/>
      <c r="P1192" s="527"/>
      <c r="Q1192" s="527"/>
      <c r="R1192" s="527"/>
      <c r="S1192" s="527"/>
      <c r="T1192" s="528"/>
      <c r="U1192" s="527"/>
      <c r="V1192" s="527"/>
    </row>
    <row r="1193" spans="1:22" x14ac:dyDescent="0.3">
      <c r="A1193" s="527"/>
      <c r="B1193" s="527"/>
      <c r="C1193" s="527"/>
      <c r="D1193" s="527"/>
      <c r="E1193" s="527"/>
      <c r="F1193" s="527"/>
      <c r="G1193" s="527"/>
      <c r="H1193" s="527"/>
      <c r="I1193" s="527"/>
      <c r="J1193" s="527"/>
      <c r="K1193" s="527"/>
      <c r="L1193" s="527"/>
      <c r="M1193" s="527"/>
      <c r="N1193" s="527"/>
      <c r="O1193" s="528"/>
      <c r="P1193" s="527"/>
      <c r="Q1193" s="527"/>
      <c r="R1193" s="527"/>
      <c r="S1193" s="527"/>
      <c r="T1193" s="528"/>
      <c r="U1193" s="527"/>
      <c r="V1193" s="527"/>
    </row>
    <row r="1194" spans="1:22" x14ac:dyDescent="0.3">
      <c r="A1194" s="527"/>
      <c r="B1194" s="527"/>
      <c r="C1194" s="527"/>
      <c r="D1194" s="527"/>
      <c r="E1194" s="527"/>
      <c r="F1194" s="527"/>
      <c r="G1194" s="527"/>
      <c r="H1194" s="527"/>
      <c r="I1194" s="527"/>
      <c r="J1194" s="527"/>
      <c r="K1194" s="527"/>
      <c r="L1194" s="527"/>
      <c r="M1194" s="527"/>
      <c r="N1194" s="527"/>
      <c r="O1194" s="528"/>
      <c r="P1194" s="527"/>
      <c r="Q1194" s="527"/>
      <c r="R1194" s="527"/>
      <c r="S1194" s="527"/>
      <c r="T1194" s="528"/>
      <c r="U1194" s="527"/>
      <c r="V1194" s="527"/>
    </row>
    <row r="1195" spans="1:22" x14ac:dyDescent="0.3">
      <c r="A1195" s="527"/>
      <c r="B1195" s="527"/>
      <c r="C1195" s="527"/>
      <c r="D1195" s="527"/>
      <c r="E1195" s="527"/>
      <c r="F1195" s="527"/>
      <c r="G1195" s="527"/>
      <c r="H1195" s="527"/>
      <c r="I1195" s="527"/>
      <c r="J1195" s="527"/>
      <c r="K1195" s="527"/>
      <c r="L1195" s="527"/>
      <c r="M1195" s="527"/>
      <c r="N1195" s="527"/>
      <c r="O1195" s="528"/>
      <c r="P1195" s="527"/>
      <c r="Q1195" s="527"/>
      <c r="R1195" s="527"/>
      <c r="S1195" s="527"/>
      <c r="T1195" s="528"/>
      <c r="U1195" s="527"/>
      <c r="V1195" s="527"/>
    </row>
    <row r="1196" spans="1:22" x14ac:dyDescent="0.3">
      <c r="A1196" s="527"/>
      <c r="B1196" s="527"/>
      <c r="C1196" s="527"/>
      <c r="D1196" s="527"/>
      <c r="E1196" s="527"/>
      <c r="F1196" s="527"/>
      <c r="G1196" s="527"/>
      <c r="H1196" s="527"/>
      <c r="I1196" s="527"/>
      <c r="J1196" s="527"/>
      <c r="K1196" s="527"/>
      <c r="L1196" s="527"/>
      <c r="M1196" s="527"/>
      <c r="N1196" s="527"/>
      <c r="O1196" s="528"/>
      <c r="P1196" s="527"/>
      <c r="Q1196" s="527"/>
      <c r="R1196" s="527"/>
      <c r="S1196" s="527"/>
      <c r="T1196" s="528"/>
      <c r="U1196" s="527"/>
      <c r="V1196" s="527"/>
    </row>
    <row r="1197" spans="1:22" x14ac:dyDescent="0.3">
      <c r="A1197" s="527"/>
      <c r="B1197" s="527"/>
      <c r="C1197" s="527"/>
      <c r="D1197" s="527"/>
      <c r="E1197" s="527"/>
      <c r="F1197" s="527"/>
      <c r="G1197" s="527"/>
      <c r="H1197" s="527"/>
      <c r="I1197" s="527"/>
      <c r="J1197" s="527"/>
      <c r="K1197" s="527"/>
      <c r="L1197" s="527"/>
      <c r="M1197" s="527"/>
      <c r="N1197" s="527"/>
      <c r="O1197" s="528"/>
      <c r="P1197" s="527"/>
      <c r="Q1197" s="527"/>
      <c r="R1197" s="527"/>
      <c r="S1197" s="527"/>
      <c r="T1197" s="528"/>
      <c r="U1197" s="527"/>
      <c r="V1197" s="527"/>
    </row>
    <row r="1198" spans="1:22" x14ac:dyDescent="0.3">
      <c r="A1198" s="527"/>
      <c r="B1198" s="527"/>
      <c r="C1198" s="527"/>
      <c r="D1198" s="527"/>
      <c r="E1198" s="527"/>
      <c r="F1198" s="527"/>
      <c r="G1198" s="527"/>
      <c r="H1198" s="527"/>
      <c r="I1198" s="527"/>
      <c r="J1198" s="527"/>
      <c r="K1198" s="527"/>
      <c r="L1198" s="527"/>
      <c r="M1198" s="527"/>
      <c r="N1198" s="527"/>
      <c r="O1198" s="528"/>
      <c r="P1198" s="527"/>
      <c r="Q1198" s="527"/>
      <c r="R1198" s="527"/>
      <c r="S1198" s="527"/>
      <c r="T1198" s="528"/>
      <c r="U1198" s="527"/>
      <c r="V1198" s="527"/>
    </row>
    <row r="1199" spans="1:22" x14ac:dyDescent="0.3">
      <c r="A1199" s="527"/>
      <c r="B1199" s="527"/>
      <c r="C1199" s="527"/>
      <c r="D1199" s="527"/>
      <c r="E1199" s="527"/>
      <c r="F1199" s="527"/>
      <c r="G1199" s="527"/>
      <c r="H1199" s="527"/>
      <c r="I1199" s="527"/>
      <c r="J1199" s="527"/>
      <c r="K1199" s="527"/>
      <c r="L1199" s="527"/>
      <c r="M1199" s="527"/>
      <c r="N1199" s="527"/>
      <c r="O1199" s="528"/>
      <c r="P1199" s="527"/>
      <c r="Q1199" s="527"/>
      <c r="R1199" s="527"/>
      <c r="S1199" s="527"/>
      <c r="T1199" s="528"/>
      <c r="U1199" s="527"/>
      <c r="V1199" s="527"/>
    </row>
    <row r="1200" spans="1:22" x14ac:dyDescent="0.3">
      <c r="A1200" s="527"/>
      <c r="B1200" s="527"/>
      <c r="C1200" s="527"/>
      <c r="D1200" s="527"/>
      <c r="E1200" s="527"/>
      <c r="F1200" s="527"/>
      <c r="G1200" s="527"/>
      <c r="H1200" s="527"/>
      <c r="I1200" s="527"/>
      <c r="J1200" s="527"/>
      <c r="K1200" s="527"/>
      <c r="L1200" s="527"/>
      <c r="M1200" s="527"/>
      <c r="N1200" s="527"/>
      <c r="O1200" s="528"/>
      <c r="P1200" s="527"/>
      <c r="Q1200" s="527"/>
      <c r="R1200" s="527"/>
      <c r="S1200" s="527"/>
      <c r="T1200" s="528"/>
      <c r="U1200" s="527"/>
      <c r="V1200" s="527"/>
    </row>
    <row r="1201" spans="1:22" x14ac:dyDescent="0.3">
      <c r="A1201" s="527"/>
      <c r="B1201" s="527"/>
      <c r="C1201" s="527"/>
      <c r="D1201" s="527"/>
      <c r="E1201" s="527"/>
      <c r="F1201" s="527"/>
      <c r="G1201" s="527"/>
      <c r="H1201" s="527"/>
      <c r="I1201" s="527"/>
      <c r="J1201" s="527"/>
      <c r="K1201" s="527"/>
      <c r="L1201" s="527"/>
      <c r="M1201" s="527"/>
      <c r="N1201" s="527"/>
      <c r="O1201" s="528"/>
      <c r="P1201" s="527"/>
      <c r="Q1201" s="527"/>
      <c r="R1201" s="527"/>
      <c r="S1201" s="527"/>
      <c r="T1201" s="528"/>
      <c r="U1201" s="527"/>
      <c r="V1201" s="527"/>
    </row>
    <row r="1202" spans="1:22" x14ac:dyDescent="0.3">
      <c r="A1202" s="527"/>
      <c r="B1202" s="527"/>
      <c r="C1202" s="527"/>
      <c r="D1202" s="527"/>
      <c r="E1202" s="527"/>
      <c r="F1202" s="527"/>
      <c r="G1202" s="527"/>
      <c r="H1202" s="527"/>
      <c r="I1202" s="527"/>
      <c r="J1202" s="527"/>
      <c r="K1202" s="527"/>
      <c r="L1202" s="527"/>
      <c r="M1202" s="527"/>
      <c r="N1202" s="527"/>
      <c r="O1202" s="528"/>
      <c r="P1202" s="527"/>
      <c r="Q1202" s="527"/>
      <c r="R1202" s="527"/>
      <c r="S1202" s="527"/>
      <c r="T1202" s="528"/>
      <c r="U1202" s="527"/>
      <c r="V1202" s="527"/>
    </row>
    <row r="1203" spans="1:22" x14ac:dyDescent="0.3">
      <c r="A1203" s="527"/>
      <c r="B1203" s="527"/>
      <c r="C1203" s="527"/>
      <c r="D1203" s="527"/>
      <c r="E1203" s="527"/>
      <c r="F1203" s="527"/>
      <c r="G1203" s="527"/>
      <c r="H1203" s="527"/>
      <c r="I1203" s="527"/>
      <c r="J1203" s="527"/>
      <c r="K1203" s="527"/>
      <c r="L1203" s="527"/>
      <c r="M1203" s="527"/>
      <c r="N1203" s="527"/>
      <c r="O1203" s="528"/>
      <c r="P1203" s="527"/>
      <c r="Q1203" s="527"/>
      <c r="R1203" s="527"/>
      <c r="S1203" s="527"/>
      <c r="T1203" s="528"/>
      <c r="U1203" s="527"/>
      <c r="V1203" s="527"/>
    </row>
    <row r="1204" spans="1:22" x14ac:dyDescent="0.3">
      <c r="A1204" s="527"/>
      <c r="B1204" s="527"/>
      <c r="C1204" s="527"/>
      <c r="D1204" s="527"/>
      <c r="E1204" s="527"/>
      <c r="F1204" s="527"/>
      <c r="G1204" s="527"/>
      <c r="H1204" s="527"/>
      <c r="I1204" s="527"/>
      <c r="J1204" s="527"/>
      <c r="K1204" s="527"/>
      <c r="L1204" s="527"/>
      <c r="M1204" s="527"/>
      <c r="N1204" s="527"/>
      <c r="O1204" s="528"/>
      <c r="P1204" s="527"/>
      <c r="Q1204" s="527"/>
      <c r="R1204" s="527"/>
      <c r="S1204" s="527"/>
      <c r="T1204" s="528"/>
      <c r="U1204" s="527"/>
      <c r="V1204" s="527"/>
    </row>
    <row r="1205" spans="1:22" x14ac:dyDescent="0.3">
      <c r="A1205" s="527"/>
      <c r="B1205" s="527"/>
      <c r="C1205" s="527"/>
      <c r="D1205" s="527"/>
      <c r="E1205" s="527"/>
      <c r="F1205" s="527"/>
      <c r="G1205" s="527"/>
      <c r="H1205" s="527"/>
      <c r="I1205" s="527"/>
      <c r="J1205" s="527"/>
      <c r="K1205" s="527"/>
      <c r="L1205" s="527"/>
      <c r="M1205" s="527"/>
      <c r="N1205" s="527"/>
      <c r="O1205" s="528"/>
      <c r="P1205" s="527"/>
      <c r="Q1205" s="527"/>
      <c r="R1205" s="527"/>
      <c r="S1205" s="527"/>
      <c r="T1205" s="528"/>
      <c r="U1205" s="527"/>
      <c r="V1205" s="527"/>
    </row>
    <row r="1206" spans="1:22" x14ac:dyDescent="0.3">
      <c r="A1206" s="527"/>
      <c r="B1206" s="527"/>
      <c r="C1206" s="527"/>
      <c r="D1206" s="527"/>
      <c r="E1206" s="527"/>
      <c r="F1206" s="527"/>
      <c r="G1206" s="527"/>
      <c r="H1206" s="527"/>
      <c r="I1206" s="527"/>
      <c r="J1206" s="527"/>
      <c r="K1206" s="527"/>
      <c r="L1206" s="527"/>
      <c r="M1206" s="527"/>
      <c r="N1206" s="527"/>
      <c r="O1206" s="528"/>
      <c r="P1206" s="527"/>
      <c r="Q1206" s="527"/>
      <c r="R1206" s="527"/>
      <c r="S1206" s="527"/>
      <c r="T1206" s="528"/>
      <c r="U1206" s="527"/>
      <c r="V1206" s="527"/>
    </row>
    <row r="1207" spans="1:22" x14ac:dyDescent="0.3">
      <c r="A1207" s="527"/>
      <c r="B1207" s="527"/>
      <c r="C1207" s="527"/>
      <c r="D1207" s="527"/>
      <c r="E1207" s="527"/>
      <c r="F1207" s="527"/>
      <c r="G1207" s="527"/>
      <c r="H1207" s="527"/>
      <c r="I1207" s="527"/>
      <c r="J1207" s="527"/>
      <c r="K1207" s="527"/>
      <c r="L1207" s="527"/>
      <c r="M1207" s="527"/>
      <c r="N1207" s="527"/>
      <c r="O1207" s="528"/>
      <c r="P1207" s="527"/>
      <c r="Q1207" s="527"/>
      <c r="R1207" s="527"/>
      <c r="S1207" s="527"/>
      <c r="T1207" s="528"/>
      <c r="U1207" s="527"/>
      <c r="V1207" s="527"/>
    </row>
    <row r="1208" spans="1:22" x14ac:dyDescent="0.3">
      <c r="A1208" s="527"/>
      <c r="B1208" s="527"/>
      <c r="C1208" s="527"/>
      <c r="D1208" s="527"/>
      <c r="E1208" s="527"/>
      <c r="F1208" s="527"/>
      <c r="G1208" s="527"/>
      <c r="H1208" s="527"/>
      <c r="I1208" s="527"/>
      <c r="J1208" s="527"/>
      <c r="K1208" s="527"/>
      <c r="L1208" s="527"/>
      <c r="M1208" s="527"/>
      <c r="N1208" s="527"/>
      <c r="O1208" s="528"/>
      <c r="P1208" s="527"/>
      <c r="Q1208" s="527"/>
      <c r="R1208" s="527"/>
      <c r="S1208" s="527"/>
      <c r="T1208" s="528"/>
      <c r="U1208" s="527"/>
      <c r="V1208" s="527"/>
    </row>
    <row r="1209" spans="1:22" x14ac:dyDescent="0.3">
      <c r="A1209" s="527"/>
      <c r="B1209" s="527"/>
      <c r="C1209" s="527"/>
      <c r="D1209" s="527"/>
      <c r="E1209" s="527"/>
      <c r="F1209" s="527"/>
      <c r="G1209" s="527"/>
      <c r="H1209" s="527"/>
      <c r="I1209" s="527"/>
      <c r="J1209" s="527"/>
      <c r="K1209" s="527"/>
      <c r="L1209" s="527"/>
      <c r="M1209" s="527"/>
      <c r="N1209" s="527"/>
      <c r="O1209" s="528"/>
      <c r="P1209" s="527"/>
      <c r="Q1209" s="527"/>
      <c r="R1209" s="527"/>
      <c r="S1209" s="527"/>
      <c r="T1209" s="528"/>
      <c r="U1209" s="527"/>
      <c r="V1209" s="527"/>
    </row>
    <row r="1210" spans="1:22" x14ac:dyDescent="0.3">
      <c r="A1210" s="527"/>
      <c r="B1210" s="527"/>
      <c r="C1210" s="527"/>
      <c r="D1210" s="527"/>
      <c r="E1210" s="527"/>
      <c r="F1210" s="527"/>
      <c r="G1210" s="527"/>
      <c r="H1210" s="527"/>
      <c r="I1210" s="527"/>
      <c r="J1210" s="527"/>
      <c r="K1210" s="527"/>
      <c r="L1210" s="527"/>
      <c r="M1210" s="527"/>
      <c r="N1210" s="527"/>
      <c r="O1210" s="528"/>
      <c r="P1210" s="527"/>
      <c r="Q1210" s="527"/>
      <c r="R1210" s="527"/>
      <c r="S1210" s="527"/>
      <c r="T1210" s="528"/>
      <c r="U1210" s="527"/>
      <c r="V1210" s="527"/>
    </row>
    <row r="1211" spans="1:22" x14ac:dyDescent="0.3">
      <c r="A1211" s="527"/>
      <c r="B1211" s="527"/>
      <c r="C1211" s="527"/>
      <c r="D1211" s="527"/>
      <c r="E1211" s="527"/>
      <c r="F1211" s="527"/>
      <c r="G1211" s="527"/>
      <c r="H1211" s="527"/>
      <c r="I1211" s="527"/>
      <c r="J1211" s="527"/>
      <c r="K1211" s="527"/>
      <c r="L1211" s="527"/>
      <c r="M1211" s="527"/>
      <c r="N1211" s="527"/>
      <c r="O1211" s="528"/>
      <c r="P1211" s="527"/>
      <c r="Q1211" s="527"/>
      <c r="R1211" s="527"/>
      <c r="S1211" s="527"/>
      <c r="T1211" s="528"/>
      <c r="U1211" s="527"/>
      <c r="V1211" s="527"/>
    </row>
    <row r="1212" spans="1:22" x14ac:dyDescent="0.3">
      <c r="A1212" s="527"/>
      <c r="B1212" s="527"/>
      <c r="C1212" s="527"/>
      <c r="D1212" s="527"/>
      <c r="E1212" s="527"/>
      <c r="F1212" s="527"/>
      <c r="G1212" s="527"/>
      <c r="H1212" s="527"/>
      <c r="I1212" s="527"/>
      <c r="J1212" s="527"/>
      <c r="K1212" s="527"/>
      <c r="L1212" s="527"/>
      <c r="M1212" s="527"/>
      <c r="N1212" s="527"/>
      <c r="O1212" s="528"/>
      <c r="P1212" s="527"/>
      <c r="Q1212" s="527"/>
      <c r="R1212" s="527"/>
      <c r="S1212" s="527"/>
      <c r="T1212" s="528"/>
      <c r="U1212" s="527"/>
      <c r="V1212" s="527"/>
    </row>
    <row r="1213" spans="1:22" x14ac:dyDescent="0.3">
      <c r="A1213" s="527"/>
      <c r="B1213" s="527"/>
      <c r="C1213" s="527"/>
      <c r="D1213" s="527"/>
      <c r="E1213" s="527"/>
      <c r="F1213" s="527"/>
      <c r="G1213" s="527"/>
      <c r="H1213" s="527"/>
      <c r="I1213" s="527"/>
      <c r="J1213" s="527"/>
      <c r="K1213" s="527"/>
      <c r="L1213" s="527"/>
      <c r="M1213" s="527"/>
      <c r="N1213" s="527"/>
      <c r="O1213" s="528"/>
      <c r="P1213" s="527"/>
      <c r="Q1213" s="527"/>
      <c r="R1213" s="527"/>
      <c r="S1213" s="527"/>
      <c r="T1213" s="528"/>
      <c r="U1213" s="527"/>
      <c r="V1213" s="527"/>
    </row>
    <row r="1214" spans="1:22" x14ac:dyDescent="0.3">
      <c r="A1214" s="527"/>
      <c r="B1214" s="527"/>
      <c r="C1214" s="527"/>
      <c r="D1214" s="527"/>
      <c r="E1214" s="527"/>
      <c r="F1214" s="527"/>
      <c r="G1214" s="527"/>
      <c r="H1214" s="527"/>
      <c r="I1214" s="527"/>
      <c r="J1214" s="527"/>
      <c r="K1214" s="527"/>
      <c r="L1214" s="527"/>
      <c r="M1214" s="527"/>
      <c r="N1214" s="527"/>
      <c r="O1214" s="528"/>
      <c r="P1214" s="527"/>
      <c r="Q1214" s="527"/>
      <c r="R1214" s="527"/>
      <c r="S1214" s="527"/>
      <c r="T1214" s="528"/>
      <c r="U1214" s="527"/>
      <c r="V1214" s="527"/>
    </row>
    <row r="1215" spans="1:22" x14ac:dyDescent="0.3">
      <c r="A1215" s="527"/>
      <c r="B1215" s="527"/>
      <c r="C1215" s="527"/>
      <c r="D1215" s="527"/>
      <c r="E1215" s="527"/>
      <c r="F1215" s="527"/>
      <c r="G1215" s="527"/>
      <c r="H1215" s="527"/>
      <c r="I1215" s="527"/>
      <c r="J1215" s="527"/>
      <c r="K1215" s="527"/>
      <c r="L1215" s="527"/>
      <c r="M1215" s="527"/>
      <c r="N1215" s="527"/>
      <c r="O1215" s="528"/>
      <c r="P1215" s="527"/>
      <c r="Q1215" s="527"/>
      <c r="R1215" s="527"/>
      <c r="S1215" s="527"/>
      <c r="T1215" s="528"/>
      <c r="U1215" s="527"/>
      <c r="V1215" s="527"/>
    </row>
    <row r="1216" spans="1:22" x14ac:dyDescent="0.3">
      <c r="A1216" s="527"/>
      <c r="B1216" s="527"/>
      <c r="C1216" s="527"/>
      <c r="D1216" s="527"/>
      <c r="E1216" s="527"/>
      <c r="F1216" s="527"/>
      <c r="G1216" s="527"/>
      <c r="H1216" s="527"/>
      <c r="I1216" s="527"/>
      <c r="J1216" s="527"/>
      <c r="K1216" s="527"/>
      <c r="L1216" s="527"/>
      <c r="M1216" s="527"/>
      <c r="N1216" s="527"/>
      <c r="O1216" s="528"/>
      <c r="P1216" s="527"/>
      <c r="Q1216" s="527"/>
      <c r="R1216" s="527"/>
      <c r="S1216" s="527"/>
      <c r="T1216" s="528"/>
      <c r="U1216" s="527"/>
      <c r="V1216" s="527"/>
    </row>
    <row r="1217" spans="1:22" x14ac:dyDescent="0.3">
      <c r="A1217" s="527"/>
      <c r="B1217" s="527"/>
      <c r="C1217" s="527"/>
      <c r="D1217" s="527"/>
      <c r="E1217" s="527"/>
      <c r="F1217" s="527"/>
      <c r="G1217" s="527"/>
      <c r="H1217" s="527"/>
      <c r="I1217" s="527"/>
      <c r="J1217" s="527"/>
      <c r="K1217" s="527"/>
      <c r="L1217" s="527"/>
      <c r="M1217" s="527"/>
      <c r="N1217" s="527"/>
      <c r="O1217" s="528"/>
      <c r="P1217" s="527"/>
      <c r="Q1217" s="527"/>
      <c r="R1217" s="527"/>
      <c r="S1217" s="527"/>
      <c r="T1217" s="528"/>
      <c r="U1217" s="527"/>
      <c r="V1217" s="527"/>
    </row>
    <row r="1218" spans="1:22" x14ac:dyDescent="0.3">
      <c r="A1218" s="527"/>
      <c r="B1218" s="527"/>
      <c r="C1218" s="527"/>
      <c r="D1218" s="527"/>
      <c r="E1218" s="527"/>
      <c r="F1218" s="527"/>
      <c r="G1218" s="527"/>
      <c r="H1218" s="527"/>
      <c r="I1218" s="527"/>
      <c r="J1218" s="527"/>
      <c r="K1218" s="527"/>
      <c r="L1218" s="527"/>
      <c r="M1218" s="527"/>
      <c r="N1218" s="527"/>
      <c r="O1218" s="528"/>
      <c r="P1218" s="527"/>
      <c r="Q1218" s="527"/>
      <c r="R1218" s="527"/>
      <c r="S1218" s="527"/>
      <c r="T1218" s="528"/>
      <c r="U1218" s="527"/>
      <c r="V1218" s="527"/>
    </row>
    <row r="1219" spans="1:22" x14ac:dyDescent="0.3">
      <c r="A1219" s="527"/>
      <c r="B1219" s="527"/>
      <c r="C1219" s="527"/>
      <c r="D1219" s="527"/>
      <c r="E1219" s="527"/>
      <c r="F1219" s="527"/>
      <c r="G1219" s="527"/>
      <c r="H1219" s="527"/>
      <c r="I1219" s="527"/>
      <c r="J1219" s="527"/>
      <c r="K1219" s="527"/>
      <c r="L1219" s="527"/>
      <c r="M1219" s="527"/>
      <c r="N1219" s="527"/>
      <c r="O1219" s="528"/>
      <c r="P1219" s="527"/>
      <c r="Q1219" s="527"/>
      <c r="R1219" s="527"/>
      <c r="S1219" s="527"/>
      <c r="T1219" s="528"/>
      <c r="U1219" s="527"/>
      <c r="V1219" s="527"/>
    </row>
    <row r="1220" spans="1:22" x14ac:dyDescent="0.3">
      <c r="A1220" s="527"/>
      <c r="B1220" s="527"/>
      <c r="C1220" s="527"/>
      <c r="D1220" s="527"/>
      <c r="E1220" s="527"/>
      <c r="F1220" s="527"/>
      <c r="G1220" s="527"/>
      <c r="H1220" s="527"/>
      <c r="I1220" s="527"/>
      <c r="J1220" s="527"/>
      <c r="K1220" s="527"/>
      <c r="L1220" s="527"/>
      <c r="M1220" s="527"/>
      <c r="N1220" s="527"/>
      <c r="O1220" s="528"/>
      <c r="P1220" s="527"/>
      <c r="Q1220" s="527"/>
      <c r="R1220" s="527"/>
      <c r="S1220" s="527"/>
      <c r="T1220" s="528"/>
      <c r="U1220" s="527"/>
      <c r="V1220" s="527"/>
    </row>
    <row r="1221" spans="1:22" x14ac:dyDescent="0.3">
      <c r="A1221" s="527"/>
      <c r="B1221" s="527"/>
      <c r="C1221" s="527"/>
      <c r="D1221" s="527"/>
      <c r="E1221" s="527"/>
      <c r="F1221" s="527"/>
      <c r="G1221" s="527"/>
      <c r="H1221" s="527"/>
      <c r="I1221" s="527"/>
      <c r="J1221" s="527"/>
      <c r="K1221" s="527"/>
      <c r="L1221" s="527"/>
      <c r="M1221" s="527"/>
      <c r="N1221" s="527"/>
      <c r="O1221" s="528"/>
      <c r="P1221" s="527"/>
      <c r="Q1221" s="527"/>
      <c r="R1221" s="527"/>
      <c r="S1221" s="527"/>
      <c r="T1221" s="528"/>
      <c r="U1221" s="527"/>
      <c r="V1221" s="527"/>
    </row>
    <row r="1222" spans="1:22" x14ac:dyDescent="0.3">
      <c r="A1222" s="527"/>
      <c r="B1222" s="527"/>
      <c r="C1222" s="527"/>
      <c r="D1222" s="527"/>
      <c r="E1222" s="527"/>
      <c r="F1222" s="527"/>
      <c r="G1222" s="527"/>
      <c r="H1222" s="527"/>
      <c r="I1222" s="527"/>
      <c r="J1222" s="527"/>
      <c r="K1222" s="527"/>
      <c r="L1222" s="527"/>
      <c r="M1222" s="527"/>
      <c r="N1222" s="527"/>
      <c r="O1222" s="528"/>
      <c r="P1222" s="527"/>
      <c r="Q1222" s="527"/>
      <c r="R1222" s="527"/>
      <c r="S1222" s="527"/>
      <c r="T1222" s="528"/>
      <c r="U1222" s="527"/>
      <c r="V1222" s="527"/>
    </row>
    <row r="1223" spans="1:22" x14ac:dyDescent="0.3">
      <c r="A1223" s="527"/>
      <c r="B1223" s="527"/>
      <c r="C1223" s="527"/>
      <c r="D1223" s="527"/>
      <c r="E1223" s="527"/>
      <c r="F1223" s="527"/>
      <c r="G1223" s="527"/>
      <c r="H1223" s="527"/>
      <c r="I1223" s="527"/>
      <c r="J1223" s="527"/>
      <c r="K1223" s="527"/>
      <c r="L1223" s="527"/>
      <c r="M1223" s="527"/>
      <c r="N1223" s="527"/>
      <c r="O1223" s="528"/>
      <c r="P1223" s="527"/>
      <c r="Q1223" s="527"/>
      <c r="R1223" s="527"/>
      <c r="S1223" s="527"/>
      <c r="T1223" s="528"/>
      <c r="U1223" s="527"/>
      <c r="V1223" s="527"/>
    </row>
    <row r="1224" spans="1:22" x14ac:dyDescent="0.3">
      <c r="A1224" s="527"/>
      <c r="B1224" s="527"/>
      <c r="C1224" s="527"/>
      <c r="D1224" s="527"/>
      <c r="E1224" s="527"/>
      <c r="F1224" s="527"/>
      <c r="G1224" s="527"/>
      <c r="H1224" s="527"/>
      <c r="I1224" s="527"/>
      <c r="J1224" s="527"/>
      <c r="K1224" s="527"/>
      <c r="L1224" s="527"/>
      <c r="M1224" s="527"/>
      <c r="N1224" s="527"/>
      <c r="O1224" s="528"/>
      <c r="P1224" s="527"/>
      <c r="Q1224" s="527"/>
      <c r="R1224" s="527"/>
      <c r="S1224" s="527"/>
      <c r="T1224" s="528"/>
      <c r="U1224" s="527"/>
      <c r="V1224" s="527"/>
    </row>
    <row r="1225" spans="1:22" x14ac:dyDescent="0.3">
      <c r="A1225" s="527"/>
      <c r="B1225" s="527"/>
      <c r="C1225" s="527"/>
      <c r="D1225" s="527"/>
      <c r="E1225" s="527"/>
      <c r="F1225" s="527"/>
      <c r="G1225" s="527"/>
      <c r="H1225" s="527"/>
      <c r="I1225" s="527"/>
      <c r="J1225" s="527"/>
      <c r="K1225" s="527"/>
      <c r="L1225" s="527"/>
      <c r="M1225" s="527"/>
      <c r="N1225" s="527"/>
      <c r="O1225" s="528"/>
      <c r="P1225" s="527"/>
      <c r="Q1225" s="527"/>
      <c r="R1225" s="527"/>
      <c r="S1225" s="527"/>
      <c r="T1225" s="528"/>
      <c r="U1225" s="527"/>
      <c r="V1225" s="527"/>
    </row>
    <row r="1226" spans="1:22" x14ac:dyDescent="0.3">
      <c r="A1226" s="527"/>
      <c r="B1226" s="527"/>
      <c r="C1226" s="527"/>
      <c r="D1226" s="527"/>
      <c r="E1226" s="527"/>
      <c r="F1226" s="527"/>
      <c r="G1226" s="527"/>
      <c r="H1226" s="527"/>
      <c r="I1226" s="527"/>
      <c r="J1226" s="527"/>
      <c r="K1226" s="527"/>
      <c r="L1226" s="527"/>
      <c r="M1226" s="527"/>
      <c r="N1226" s="527"/>
      <c r="O1226" s="528"/>
      <c r="P1226" s="527"/>
      <c r="Q1226" s="527"/>
      <c r="R1226" s="527"/>
      <c r="S1226" s="527"/>
      <c r="T1226" s="528"/>
      <c r="U1226" s="527"/>
      <c r="V1226" s="527"/>
    </row>
    <row r="1227" spans="1:22" x14ac:dyDescent="0.3">
      <c r="A1227" s="527"/>
      <c r="B1227" s="527"/>
      <c r="C1227" s="527"/>
      <c r="D1227" s="527"/>
      <c r="E1227" s="527"/>
      <c r="F1227" s="527"/>
      <c r="G1227" s="527"/>
      <c r="H1227" s="527"/>
      <c r="I1227" s="527"/>
      <c r="J1227" s="527"/>
      <c r="K1227" s="527"/>
      <c r="L1227" s="527"/>
      <c r="M1227" s="527"/>
      <c r="N1227" s="527"/>
      <c r="O1227" s="528"/>
      <c r="P1227" s="527"/>
      <c r="Q1227" s="527"/>
      <c r="R1227" s="527"/>
      <c r="S1227" s="527"/>
      <c r="T1227" s="528"/>
      <c r="U1227" s="527"/>
      <c r="V1227" s="527"/>
    </row>
    <row r="1228" spans="1:22" x14ac:dyDescent="0.3">
      <c r="A1228" s="527"/>
      <c r="B1228" s="527"/>
      <c r="C1228" s="527"/>
      <c r="D1228" s="527"/>
      <c r="E1228" s="527"/>
      <c r="F1228" s="527"/>
      <c r="G1228" s="527"/>
      <c r="H1228" s="527"/>
      <c r="I1228" s="527"/>
      <c r="J1228" s="527"/>
      <c r="K1228" s="527"/>
      <c r="L1228" s="527"/>
      <c r="M1228" s="527"/>
      <c r="N1228" s="527"/>
      <c r="O1228" s="528"/>
      <c r="P1228" s="527"/>
      <c r="Q1228" s="527"/>
      <c r="R1228" s="527"/>
      <c r="S1228" s="527"/>
      <c r="T1228" s="528"/>
      <c r="U1228" s="527"/>
      <c r="V1228" s="527"/>
    </row>
    <row r="1229" spans="1:22" x14ac:dyDescent="0.3">
      <c r="A1229" s="527"/>
      <c r="B1229" s="527"/>
      <c r="C1229" s="527"/>
      <c r="D1229" s="527"/>
      <c r="E1229" s="527"/>
      <c r="F1229" s="527"/>
      <c r="G1229" s="527"/>
      <c r="H1229" s="527"/>
      <c r="I1229" s="527"/>
      <c r="J1229" s="527"/>
      <c r="K1229" s="527"/>
      <c r="L1229" s="527"/>
      <c r="M1229" s="527"/>
      <c r="N1229" s="527"/>
      <c r="O1229" s="528"/>
      <c r="P1229" s="527"/>
      <c r="Q1229" s="527"/>
      <c r="R1229" s="527"/>
      <c r="S1229" s="527"/>
      <c r="T1229" s="528"/>
      <c r="U1229" s="527"/>
      <c r="V1229" s="527"/>
    </row>
    <row r="1230" spans="1:22" x14ac:dyDescent="0.3">
      <c r="A1230" s="527"/>
      <c r="B1230" s="527"/>
      <c r="C1230" s="527"/>
      <c r="D1230" s="527"/>
      <c r="E1230" s="527"/>
      <c r="F1230" s="527"/>
      <c r="G1230" s="527"/>
      <c r="H1230" s="527"/>
      <c r="I1230" s="527"/>
      <c r="J1230" s="527"/>
      <c r="K1230" s="527"/>
      <c r="L1230" s="527"/>
      <c r="M1230" s="527"/>
      <c r="N1230" s="527"/>
      <c r="O1230" s="528"/>
      <c r="P1230" s="527"/>
      <c r="Q1230" s="527"/>
      <c r="R1230" s="527"/>
      <c r="S1230" s="527"/>
      <c r="T1230" s="528"/>
      <c r="U1230" s="527"/>
      <c r="V1230" s="527"/>
    </row>
    <row r="1231" spans="1:22" x14ac:dyDescent="0.3">
      <c r="A1231" s="527"/>
      <c r="B1231" s="527"/>
      <c r="C1231" s="527"/>
      <c r="D1231" s="527"/>
      <c r="E1231" s="527"/>
      <c r="F1231" s="527"/>
      <c r="G1231" s="527"/>
      <c r="H1231" s="527"/>
      <c r="I1231" s="527"/>
      <c r="J1231" s="527"/>
      <c r="K1231" s="527"/>
      <c r="L1231" s="527"/>
      <c r="M1231" s="527"/>
      <c r="N1231" s="527"/>
      <c r="O1231" s="528"/>
      <c r="P1231" s="527"/>
      <c r="Q1231" s="527"/>
      <c r="R1231" s="527"/>
      <c r="S1231" s="527"/>
      <c r="T1231" s="528"/>
      <c r="U1231" s="527"/>
      <c r="V1231" s="527"/>
    </row>
    <row r="1232" spans="1:22" x14ac:dyDescent="0.3">
      <c r="A1232" s="527"/>
      <c r="B1232" s="527"/>
      <c r="C1232" s="527"/>
      <c r="D1232" s="527"/>
      <c r="E1232" s="527"/>
      <c r="F1232" s="527"/>
      <c r="G1232" s="527"/>
      <c r="H1232" s="527"/>
      <c r="I1232" s="527"/>
      <c r="J1232" s="527"/>
      <c r="K1232" s="527"/>
      <c r="L1232" s="527"/>
      <c r="M1232" s="527"/>
      <c r="N1232" s="527"/>
      <c r="O1232" s="528"/>
      <c r="P1232" s="527"/>
      <c r="Q1232" s="527"/>
      <c r="R1232" s="527"/>
      <c r="S1232" s="527"/>
      <c r="T1232" s="528"/>
      <c r="U1232" s="527"/>
      <c r="V1232" s="527"/>
    </row>
    <row r="1233" spans="1:22" x14ac:dyDescent="0.3">
      <c r="A1233" s="527"/>
      <c r="B1233" s="527"/>
      <c r="C1233" s="527"/>
      <c r="D1233" s="527"/>
      <c r="E1233" s="527"/>
      <c r="F1233" s="527"/>
      <c r="G1233" s="527"/>
      <c r="H1233" s="527"/>
      <c r="I1233" s="527"/>
      <c r="J1233" s="527"/>
      <c r="K1233" s="527"/>
      <c r="L1233" s="527"/>
      <c r="M1233" s="527"/>
      <c r="N1233" s="527"/>
      <c r="O1233" s="528"/>
      <c r="P1233" s="527"/>
      <c r="Q1233" s="527"/>
      <c r="R1233" s="527"/>
      <c r="S1233" s="527"/>
      <c r="T1233" s="528"/>
      <c r="U1233" s="527"/>
      <c r="V1233" s="527"/>
    </row>
    <row r="1234" spans="1:22" x14ac:dyDescent="0.3">
      <c r="A1234" s="527"/>
      <c r="B1234" s="527"/>
      <c r="C1234" s="527"/>
      <c r="D1234" s="527"/>
      <c r="E1234" s="527"/>
      <c r="F1234" s="527"/>
      <c r="G1234" s="527"/>
      <c r="H1234" s="527"/>
      <c r="I1234" s="527"/>
      <c r="J1234" s="527"/>
      <c r="K1234" s="527"/>
      <c r="L1234" s="527"/>
      <c r="M1234" s="527"/>
      <c r="N1234" s="527"/>
      <c r="O1234" s="528"/>
      <c r="P1234" s="527"/>
      <c r="Q1234" s="527"/>
      <c r="R1234" s="527"/>
      <c r="S1234" s="527"/>
      <c r="T1234" s="528"/>
      <c r="U1234" s="527"/>
      <c r="V1234" s="527"/>
    </row>
    <row r="1235" spans="1:22" x14ac:dyDescent="0.3">
      <c r="A1235" s="527"/>
      <c r="B1235" s="527"/>
      <c r="C1235" s="527"/>
      <c r="D1235" s="527"/>
      <c r="E1235" s="527"/>
      <c r="F1235" s="527"/>
      <c r="G1235" s="527"/>
      <c r="H1235" s="527"/>
      <c r="I1235" s="527"/>
      <c r="J1235" s="527"/>
      <c r="K1235" s="527"/>
      <c r="L1235" s="527"/>
      <c r="M1235" s="527"/>
      <c r="N1235" s="527"/>
      <c r="O1235" s="528"/>
      <c r="P1235" s="527"/>
      <c r="Q1235" s="527"/>
      <c r="R1235" s="527"/>
      <c r="S1235" s="527"/>
      <c r="T1235" s="528"/>
      <c r="U1235" s="527"/>
      <c r="V1235" s="527"/>
    </row>
    <row r="1236" spans="1:22" x14ac:dyDescent="0.3">
      <c r="A1236" s="527"/>
      <c r="B1236" s="527"/>
      <c r="C1236" s="527"/>
      <c r="D1236" s="527"/>
      <c r="E1236" s="527"/>
      <c r="F1236" s="527"/>
      <c r="G1236" s="527"/>
      <c r="H1236" s="527"/>
      <c r="I1236" s="527"/>
      <c r="J1236" s="527"/>
      <c r="K1236" s="527"/>
      <c r="L1236" s="527"/>
      <c r="M1236" s="527"/>
      <c r="N1236" s="527"/>
      <c r="O1236" s="528"/>
      <c r="P1236" s="527"/>
      <c r="Q1236" s="527"/>
      <c r="R1236" s="527"/>
      <c r="S1236" s="527"/>
      <c r="T1236" s="528"/>
      <c r="U1236" s="527"/>
      <c r="V1236" s="527"/>
    </row>
    <row r="1237" spans="1:22" x14ac:dyDescent="0.3">
      <c r="A1237" s="527"/>
      <c r="B1237" s="527"/>
      <c r="C1237" s="527"/>
      <c r="D1237" s="527"/>
      <c r="E1237" s="527"/>
      <c r="F1237" s="527"/>
      <c r="G1237" s="527"/>
      <c r="H1237" s="527"/>
      <c r="I1237" s="527"/>
      <c r="J1237" s="527"/>
      <c r="K1237" s="527"/>
      <c r="L1237" s="527"/>
      <c r="M1237" s="527"/>
      <c r="N1237" s="527"/>
      <c r="O1237" s="528"/>
      <c r="P1237" s="527"/>
      <c r="Q1237" s="527"/>
      <c r="R1237" s="527"/>
      <c r="S1237" s="527"/>
      <c r="T1237" s="528"/>
      <c r="U1237" s="527"/>
      <c r="V1237" s="527"/>
    </row>
    <row r="1238" spans="1:22" x14ac:dyDescent="0.3">
      <c r="A1238" s="527"/>
      <c r="B1238" s="527"/>
      <c r="C1238" s="527"/>
      <c r="D1238" s="527"/>
      <c r="E1238" s="527"/>
      <c r="F1238" s="527"/>
      <c r="G1238" s="527"/>
      <c r="H1238" s="527"/>
      <c r="I1238" s="527"/>
      <c r="J1238" s="527"/>
      <c r="K1238" s="527"/>
      <c r="L1238" s="527"/>
      <c r="M1238" s="527"/>
      <c r="N1238" s="527"/>
      <c r="O1238" s="528"/>
      <c r="P1238" s="527"/>
      <c r="Q1238" s="527"/>
      <c r="R1238" s="527"/>
      <c r="S1238" s="527"/>
      <c r="T1238" s="528"/>
      <c r="U1238" s="527"/>
      <c r="V1238" s="527"/>
    </row>
    <row r="1239" spans="1:22" x14ac:dyDescent="0.3">
      <c r="A1239" s="527"/>
      <c r="B1239" s="527"/>
      <c r="C1239" s="527"/>
      <c r="D1239" s="527"/>
      <c r="E1239" s="527"/>
      <c r="F1239" s="527"/>
      <c r="G1239" s="527"/>
      <c r="H1239" s="527"/>
      <c r="I1239" s="527"/>
      <c r="J1239" s="527"/>
      <c r="K1239" s="527"/>
      <c r="L1239" s="527"/>
      <c r="M1239" s="527"/>
      <c r="N1239" s="527"/>
      <c r="O1239" s="528"/>
      <c r="P1239" s="527"/>
      <c r="Q1239" s="527"/>
      <c r="R1239" s="527"/>
      <c r="S1239" s="527"/>
      <c r="T1239" s="528"/>
      <c r="U1239" s="527"/>
      <c r="V1239" s="527"/>
    </row>
    <row r="1240" spans="1:22" x14ac:dyDescent="0.3">
      <c r="A1240" s="527"/>
      <c r="B1240" s="527"/>
      <c r="C1240" s="527"/>
      <c r="D1240" s="527"/>
      <c r="E1240" s="527"/>
      <c r="F1240" s="527"/>
      <c r="G1240" s="527"/>
      <c r="H1240" s="527"/>
      <c r="I1240" s="527"/>
      <c r="J1240" s="527"/>
      <c r="K1240" s="527"/>
      <c r="L1240" s="527"/>
      <c r="M1240" s="527"/>
      <c r="N1240" s="527"/>
      <c r="O1240" s="528"/>
      <c r="P1240" s="527"/>
      <c r="Q1240" s="527"/>
      <c r="R1240" s="527"/>
      <c r="S1240" s="527"/>
      <c r="T1240" s="528"/>
      <c r="U1240" s="527"/>
      <c r="V1240" s="527"/>
    </row>
    <row r="1241" spans="1:22" x14ac:dyDescent="0.3">
      <c r="A1241" s="527"/>
      <c r="B1241" s="527"/>
      <c r="C1241" s="527"/>
      <c r="D1241" s="527"/>
      <c r="E1241" s="527"/>
      <c r="F1241" s="527"/>
      <c r="G1241" s="527"/>
      <c r="H1241" s="527"/>
      <c r="I1241" s="527"/>
      <c r="J1241" s="527"/>
      <c r="K1241" s="527"/>
      <c r="L1241" s="527"/>
      <c r="M1241" s="527"/>
      <c r="N1241" s="527"/>
      <c r="O1241" s="528"/>
      <c r="P1241" s="527"/>
      <c r="Q1241" s="527"/>
      <c r="R1241" s="527"/>
      <c r="S1241" s="527"/>
      <c r="T1241" s="528"/>
      <c r="U1241" s="527"/>
      <c r="V1241" s="527"/>
    </row>
    <row r="1242" spans="1:22" x14ac:dyDescent="0.3">
      <c r="A1242" s="527"/>
      <c r="B1242" s="527"/>
      <c r="C1242" s="527"/>
      <c r="D1242" s="527"/>
      <c r="E1242" s="527"/>
      <c r="F1242" s="527"/>
      <c r="G1242" s="527"/>
      <c r="H1242" s="527"/>
      <c r="I1242" s="527"/>
      <c r="J1242" s="527"/>
      <c r="K1242" s="527"/>
      <c r="L1242" s="527"/>
      <c r="M1242" s="527"/>
      <c r="N1242" s="527"/>
      <c r="O1242" s="528"/>
      <c r="P1242" s="527"/>
      <c r="Q1242" s="527"/>
      <c r="R1242" s="527"/>
      <c r="S1242" s="527"/>
      <c r="T1242" s="528"/>
      <c r="U1242" s="527"/>
      <c r="V1242" s="527"/>
    </row>
    <row r="1243" spans="1:22" x14ac:dyDescent="0.3">
      <c r="A1243" s="527"/>
      <c r="B1243" s="527"/>
      <c r="C1243" s="527"/>
      <c r="D1243" s="527"/>
      <c r="E1243" s="527"/>
      <c r="F1243" s="527"/>
      <c r="G1243" s="527"/>
      <c r="H1243" s="527"/>
      <c r="I1243" s="527"/>
      <c r="J1243" s="527"/>
      <c r="K1243" s="527"/>
      <c r="L1243" s="527"/>
      <c r="M1243" s="527"/>
      <c r="N1243" s="527"/>
      <c r="O1243" s="528"/>
      <c r="P1243" s="527"/>
      <c r="Q1243" s="527"/>
      <c r="R1243" s="527"/>
      <c r="S1243" s="527"/>
      <c r="T1243" s="528"/>
      <c r="U1243" s="527"/>
      <c r="V1243" s="527"/>
    </row>
    <row r="1244" spans="1:22" x14ac:dyDescent="0.3">
      <c r="A1244" s="527"/>
      <c r="B1244" s="527"/>
      <c r="C1244" s="527"/>
      <c r="D1244" s="527"/>
      <c r="E1244" s="527"/>
      <c r="F1244" s="527"/>
      <c r="G1244" s="527"/>
      <c r="H1244" s="527"/>
      <c r="I1244" s="527"/>
      <c r="J1244" s="527"/>
      <c r="K1244" s="527"/>
      <c r="L1244" s="527"/>
      <c r="M1244" s="527"/>
      <c r="N1244" s="527"/>
      <c r="O1244" s="528"/>
      <c r="P1244" s="527"/>
      <c r="Q1244" s="527"/>
      <c r="R1244" s="527"/>
      <c r="S1244" s="527"/>
      <c r="T1244" s="528"/>
      <c r="U1244" s="527"/>
      <c r="V1244" s="527"/>
    </row>
    <row r="1245" spans="1:22" x14ac:dyDescent="0.3">
      <c r="A1245" s="527"/>
      <c r="B1245" s="527"/>
      <c r="C1245" s="527"/>
      <c r="D1245" s="527"/>
      <c r="E1245" s="527"/>
      <c r="F1245" s="527"/>
      <c r="G1245" s="527"/>
      <c r="H1245" s="527"/>
      <c r="I1245" s="527"/>
      <c r="J1245" s="527"/>
      <c r="K1245" s="527"/>
      <c r="L1245" s="527"/>
      <c r="M1245" s="527"/>
      <c r="N1245" s="527"/>
      <c r="O1245" s="528"/>
      <c r="P1245" s="527"/>
      <c r="Q1245" s="527"/>
      <c r="R1245" s="527"/>
      <c r="S1245" s="527"/>
      <c r="T1245" s="528"/>
      <c r="U1245" s="527"/>
      <c r="V1245" s="527"/>
    </row>
    <row r="1246" spans="1:22" x14ac:dyDescent="0.3">
      <c r="A1246" s="527"/>
      <c r="B1246" s="527"/>
      <c r="C1246" s="527"/>
      <c r="D1246" s="527"/>
      <c r="E1246" s="527"/>
      <c r="F1246" s="527"/>
      <c r="G1246" s="527"/>
      <c r="H1246" s="527"/>
      <c r="I1246" s="527"/>
      <c r="J1246" s="527"/>
      <c r="K1246" s="527"/>
      <c r="L1246" s="527"/>
      <c r="M1246" s="527"/>
      <c r="N1246" s="527"/>
      <c r="O1246" s="528"/>
      <c r="P1246" s="527"/>
      <c r="Q1246" s="527"/>
      <c r="R1246" s="527"/>
      <c r="S1246" s="527"/>
      <c r="T1246" s="528"/>
      <c r="U1246" s="527"/>
      <c r="V1246" s="527"/>
    </row>
    <row r="1247" spans="1:22" x14ac:dyDescent="0.3">
      <c r="A1247" s="527"/>
      <c r="B1247" s="527"/>
      <c r="C1247" s="527"/>
      <c r="D1247" s="527"/>
      <c r="E1247" s="527"/>
      <c r="F1247" s="527"/>
      <c r="G1247" s="527"/>
      <c r="H1247" s="527"/>
      <c r="I1247" s="527"/>
      <c r="J1247" s="527"/>
      <c r="K1247" s="527"/>
      <c r="L1247" s="527"/>
      <c r="M1247" s="527"/>
      <c r="N1247" s="527"/>
      <c r="O1247" s="528"/>
      <c r="P1247" s="527"/>
      <c r="Q1247" s="527"/>
      <c r="R1247" s="527"/>
      <c r="S1247" s="527"/>
      <c r="T1247" s="528"/>
      <c r="U1247" s="527"/>
      <c r="V1247" s="527"/>
    </row>
    <row r="1248" spans="1:22" x14ac:dyDescent="0.3">
      <c r="A1248" s="527"/>
      <c r="B1248" s="527"/>
      <c r="C1248" s="527"/>
      <c r="D1248" s="527"/>
      <c r="E1248" s="527"/>
      <c r="F1248" s="527"/>
      <c r="G1248" s="527"/>
      <c r="H1248" s="527"/>
      <c r="I1248" s="527"/>
      <c r="J1248" s="527"/>
      <c r="K1248" s="527"/>
      <c r="L1248" s="527"/>
      <c r="M1248" s="527"/>
      <c r="N1248" s="527"/>
      <c r="O1248" s="528"/>
      <c r="P1248" s="527"/>
      <c r="Q1248" s="527"/>
      <c r="R1248" s="527"/>
      <c r="S1248" s="527"/>
      <c r="T1248" s="528"/>
      <c r="U1248" s="527"/>
      <c r="V1248" s="527"/>
    </row>
    <row r="1249" spans="1:22" x14ac:dyDescent="0.3">
      <c r="A1249" s="527"/>
      <c r="B1249" s="527"/>
      <c r="C1249" s="527"/>
      <c r="D1249" s="527"/>
      <c r="E1249" s="527"/>
      <c r="F1249" s="527"/>
      <c r="G1249" s="527"/>
      <c r="H1249" s="527"/>
      <c r="I1249" s="527"/>
      <c r="J1249" s="527"/>
      <c r="K1249" s="527"/>
      <c r="L1249" s="527"/>
      <c r="M1249" s="527"/>
      <c r="N1249" s="527"/>
      <c r="O1249" s="528"/>
      <c r="P1249" s="527"/>
      <c r="Q1249" s="527"/>
      <c r="R1249" s="527"/>
      <c r="S1249" s="527"/>
      <c r="T1249" s="528"/>
      <c r="U1249" s="527"/>
      <c r="V1249" s="527"/>
    </row>
    <row r="1250" spans="1:22" x14ac:dyDescent="0.3">
      <c r="A1250" s="527"/>
      <c r="B1250" s="527"/>
      <c r="C1250" s="527"/>
      <c r="D1250" s="527"/>
      <c r="E1250" s="527"/>
      <c r="F1250" s="527"/>
      <c r="G1250" s="527"/>
      <c r="H1250" s="527"/>
      <c r="I1250" s="527"/>
      <c r="J1250" s="527"/>
      <c r="K1250" s="527"/>
      <c r="L1250" s="527"/>
      <c r="M1250" s="527"/>
      <c r="N1250" s="527"/>
      <c r="O1250" s="528"/>
      <c r="P1250" s="527"/>
      <c r="Q1250" s="527"/>
      <c r="R1250" s="527"/>
      <c r="S1250" s="527"/>
      <c r="T1250" s="528"/>
      <c r="U1250" s="527"/>
      <c r="V1250" s="527"/>
    </row>
    <row r="1251" spans="1:22" x14ac:dyDescent="0.3">
      <c r="A1251" s="527"/>
      <c r="B1251" s="527"/>
      <c r="C1251" s="527"/>
      <c r="D1251" s="527"/>
      <c r="E1251" s="527"/>
      <c r="F1251" s="527"/>
      <c r="G1251" s="527"/>
      <c r="H1251" s="527"/>
      <c r="I1251" s="527"/>
      <c r="J1251" s="527"/>
      <c r="K1251" s="527"/>
      <c r="L1251" s="527"/>
      <c r="M1251" s="527"/>
      <c r="N1251" s="527"/>
      <c r="O1251" s="528"/>
      <c r="P1251" s="527"/>
      <c r="Q1251" s="527"/>
      <c r="R1251" s="527"/>
      <c r="S1251" s="527"/>
      <c r="T1251" s="528"/>
      <c r="U1251" s="527"/>
      <c r="V1251" s="527"/>
    </row>
    <row r="1252" spans="1:22" x14ac:dyDescent="0.3">
      <c r="A1252" s="527"/>
      <c r="B1252" s="527"/>
      <c r="C1252" s="527"/>
      <c r="D1252" s="527"/>
      <c r="E1252" s="527"/>
      <c r="F1252" s="527"/>
      <c r="G1252" s="527"/>
      <c r="H1252" s="527"/>
      <c r="I1252" s="527"/>
      <c r="J1252" s="527"/>
      <c r="K1252" s="527"/>
      <c r="L1252" s="527"/>
      <c r="M1252" s="527"/>
      <c r="N1252" s="527"/>
      <c r="O1252" s="528"/>
      <c r="P1252" s="527"/>
      <c r="Q1252" s="527"/>
      <c r="R1252" s="527"/>
      <c r="S1252" s="527"/>
      <c r="T1252" s="528"/>
      <c r="U1252" s="527"/>
      <c r="V1252" s="527"/>
    </row>
    <row r="1253" spans="1:22" x14ac:dyDescent="0.3">
      <c r="A1253" s="527"/>
      <c r="B1253" s="527"/>
      <c r="C1253" s="527"/>
      <c r="D1253" s="527"/>
      <c r="E1253" s="527"/>
      <c r="F1253" s="527"/>
      <c r="G1253" s="527"/>
      <c r="H1253" s="527"/>
      <c r="I1253" s="527"/>
      <c r="J1253" s="527"/>
      <c r="K1253" s="527"/>
      <c r="L1253" s="527"/>
      <c r="M1253" s="527"/>
      <c r="N1253" s="527"/>
      <c r="O1253" s="528"/>
      <c r="P1253" s="527"/>
      <c r="Q1253" s="527"/>
      <c r="R1253" s="527"/>
      <c r="S1253" s="527"/>
      <c r="T1253" s="528"/>
      <c r="U1253" s="527"/>
      <c r="V1253" s="527"/>
    </row>
    <row r="1254" spans="1:22" x14ac:dyDescent="0.3">
      <c r="A1254" s="527"/>
      <c r="B1254" s="527"/>
      <c r="C1254" s="527"/>
      <c r="D1254" s="527"/>
      <c r="E1254" s="527"/>
      <c r="F1254" s="527"/>
      <c r="G1254" s="527"/>
      <c r="H1254" s="527"/>
      <c r="I1254" s="527"/>
      <c r="J1254" s="527"/>
      <c r="K1254" s="527"/>
      <c r="L1254" s="527"/>
      <c r="M1254" s="527"/>
      <c r="N1254" s="527"/>
      <c r="O1254" s="528"/>
      <c r="P1254" s="527"/>
      <c r="Q1254" s="527"/>
      <c r="R1254" s="527"/>
      <c r="S1254" s="527"/>
      <c r="T1254" s="528"/>
      <c r="U1254" s="527"/>
      <c r="V1254" s="527"/>
    </row>
    <row r="1255" spans="1:22" x14ac:dyDescent="0.3">
      <c r="A1255" s="527"/>
      <c r="B1255" s="527"/>
      <c r="C1255" s="527"/>
      <c r="D1255" s="527"/>
      <c r="E1255" s="527"/>
      <c r="F1255" s="527"/>
      <c r="G1255" s="527"/>
      <c r="H1255" s="527"/>
      <c r="I1255" s="527"/>
      <c r="J1255" s="527"/>
      <c r="K1255" s="527"/>
      <c r="L1255" s="527"/>
      <c r="M1255" s="527"/>
      <c r="N1255" s="527"/>
      <c r="O1255" s="528"/>
      <c r="P1255" s="527"/>
      <c r="Q1255" s="527"/>
      <c r="R1255" s="527"/>
      <c r="S1255" s="527"/>
      <c r="T1255" s="528"/>
      <c r="U1255" s="527"/>
      <c r="V1255" s="527"/>
    </row>
    <row r="1256" spans="1:22" x14ac:dyDescent="0.3">
      <c r="A1256" s="527"/>
      <c r="B1256" s="527"/>
      <c r="C1256" s="527"/>
      <c r="D1256" s="527"/>
      <c r="E1256" s="527"/>
      <c r="F1256" s="527"/>
      <c r="G1256" s="527"/>
      <c r="H1256" s="527"/>
      <c r="I1256" s="527"/>
      <c r="J1256" s="527"/>
      <c r="K1256" s="527"/>
      <c r="L1256" s="527"/>
      <c r="M1256" s="527"/>
      <c r="N1256" s="527"/>
      <c r="O1256" s="528"/>
      <c r="P1256" s="527"/>
      <c r="Q1256" s="527"/>
      <c r="R1256" s="527"/>
      <c r="S1256" s="527"/>
      <c r="T1256" s="528"/>
      <c r="U1256" s="527"/>
      <c r="V1256" s="527"/>
    </row>
    <row r="1257" spans="1:22" x14ac:dyDescent="0.3">
      <c r="A1257" s="527"/>
      <c r="B1257" s="527"/>
      <c r="C1257" s="527"/>
      <c r="D1257" s="527"/>
      <c r="E1257" s="527"/>
      <c r="F1257" s="527"/>
      <c r="G1257" s="527"/>
      <c r="H1257" s="527"/>
      <c r="I1257" s="527"/>
      <c r="J1257" s="527"/>
      <c r="K1257" s="527"/>
      <c r="L1257" s="527"/>
      <c r="M1257" s="527"/>
      <c r="N1257" s="527"/>
      <c r="O1257" s="528"/>
      <c r="P1257" s="527"/>
      <c r="Q1257" s="527"/>
      <c r="R1257" s="527"/>
      <c r="S1257" s="527"/>
      <c r="T1257" s="528"/>
      <c r="U1257" s="527"/>
      <c r="V1257" s="527"/>
    </row>
    <row r="1258" spans="1:22" x14ac:dyDescent="0.3">
      <c r="A1258" s="527"/>
      <c r="B1258" s="527"/>
      <c r="C1258" s="527"/>
      <c r="D1258" s="527"/>
      <c r="E1258" s="527"/>
      <c r="F1258" s="527"/>
      <c r="G1258" s="527"/>
      <c r="H1258" s="527"/>
      <c r="I1258" s="527"/>
      <c r="J1258" s="527"/>
      <c r="K1258" s="527"/>
      <c r="L1258" s="527"/>
      <c r="M1258" s="527"/>
      <c r="N1258" s="527"/>
      <c r="O1258" s="528"/>
      <c r="P1258" s="527"/>
      <c r="Q1258" s="527"/>
      <c r="R1258" s="527"/>
      <c r="S1258" s="527"/>
      <c r="T1258" s="528"/>
      <c r="U1258" s="527"/>
      <c r="V1258" s="527"/>
    </row>
    <row r="1259" spans="1:22" x14ac:dyDescent="0.3">
      <c r="A1259" s="527"/>
      <c r="B1259" s="527"/>
      <c r="C1259" s="527"/>
      <c r="D1259" s="527"/>
      <c r="E1259" s="527"/>
      <c r="F1259" s="527"/>
      <c r="G1259" s="527"/>
      <c r="H1259" s="527"/>
      <c r="I1259" s="527"/>
      <c r="J1259" s="527"/>
      <c r="K1259" s="527"/>
      <c r="L1259" s="527"/>
      <c r="M1259" s="527"/>
      <c r="N1259" s="527"/>
      <c r="O1259" s="528"/>
      <c r="P1259" s="527"/>
      <c r="Q1259" s="527"/>
      <c r="R1259" s="527"/>
      <c r="S1259" s="527"/>
      <c r="T1259" s="528"/>
      <c r="U1259" s="527"/>
      <c r="V1259" s="527"/>
    </row>
    <row r="1260" spans="1:22" x14ac:dyDescent="0.3">
      <c r="A1260" s="527"/>
      <c r="B1260" s="527"/>
      <c r="C1260" s="527"/>
      <c r="D1260" s="527"/>
      <c r="E1260" s="527"/>
      <c r="F1260" s="527"/>
      <c r="G1260" s="527"/>
      <c r="H1260" s="527"/>
      <c r="I1260" s="527"/>
      <c r="J1260" s="527"/>
      <c r="K1260" s="527"/>
      <c r="L1260" s="527"/>
      <c r="M1260" s="527"/>
      <c r="N1260" s="527"/>
      <c r="O1260" s="528"/>
      <c r="P1260" s="527"/>
      <c r="Q1260" s="527"/>
      <c r="R1260" s="527"/>
      <c r="S1260" s="527"/>
      <c r="T1260" s="528"/>
      <c r="U1260" s="527"/>
      <c r="V1260" s="527"/>
    </row>
    <row r="1261" spans="1:22" x14ac:dyDescent="0.3">
      <c r="A1261" s="527"/>
      <c r="B1261" s="527"/>
      <c r="C1261" s="527"/>
      <c r="D1261" s="527"/>
      <c r="E1261" s="527"/>
      <c r="F1261" s="527"/>
      <c r="G1261" s="527"/>
      <c r="H1261" s="527"/>
      <c r="I1261" s="527"/>
      <c r="J1261" s="527"/>
      <c r="K1261" s="527"/>
      <c r="L1261" s="527"/>
      <c r="M1261" s="527"/>
      <c r="N1261" s="527"/>
      <c r="O1261" s="528"/>
      <c r="P1261" s="527"/>
      <c r="Q1261" s="527"/>
      <c r="R1261" s="527"/>
      <c r="S1261" s="527"/>
      <c r="T1261" s="528"/>
      <c r="U1261" s="527"/>
      <c r="V1261" s="527"/>
    </row>
    <row r="1262" spans="1:22" x14ac:dyDescent="0.3">
      <c r="A1262" s="527"/>
      <c r="B1262" s="527"/>
      <c r="C1262" s="527"/>
      <c r="D1262" s="527"/>
      <c r="E1262" s="527"/>
      <c r="F1262" s="527"/>
      <c r="G1262" s="527"/>
      <c r="H1262" s="527"/>
      <c r="I1262" s="527"/>
      <c r="J1262" s="527"/>
      <c r="K1262" s="527"/>
      <c r="L1262" s="527"/>
      <c r="M1262" s="527"/>
      <c r="N1262" s="527"/>
      <c r="O1262" s="528"/>
      <c r="P1262" s="527"/>
      <c r="Q1262" s="527"/>
      <c r="R1262" s="527"/>
      <c r="S1262" s="527"/>
      <c r="T1262" s="528"/>
      <c r="U1262" s="527"/>
      <c r="V1262" s="527"/>
    </row>
    <row r="1263" spans="1:22" x14ac:dyDescent="0.3">
      <c r="A1263" s="527"/>
      <c r="B1263" s="527"/>
      <c r="C1263" s="527"/>
      <c r="D1263" s="527"/>
      <c r="E1263" s="527"/>
      <c r="F1263" s="527"/>
      <c r="G1263" s="527"/>
      <c r="H1263" s="527"/>
      <c r="I1263" s="527"/>
      <c r="J1263" s="527"/>
      <c r="K1263" s="527"/>
      <c r="L1263" s="527"/>
      <c r="M1263" s="527"/>
      <c r="N1263" s="527"/>
      <c r="O1263" s="528"/>
      <c r="P1263" s="527"/>
      <c r="Q1263" s="527"/>
      <c r="R1263" s="527"/>
      <c r="S1263" s="527"/>
      <c r="T1263" s="528"/>
      <c r="U1263" s="527"/>
      <c r="V1263" s="527"/>
    </row>
    <row r="1264" spans="1:22" x14ac:dyDescent="0.3">
      <c r="A1264" s="527"/>
      <c r="B1264" s="527"/>
      <c r="C1264" s="527"/>
      <c r="D1264" s="527"/>
      <c r="E1264" s="527"/>
      <c r="F1264" s="527"/>
      <c r="G1264" s="527"/>
      <c r="H1264" s="527"/>
      <c r="I1264" s="527"/>
      <c r="J1264" s="527"/>
      <c r="K1264" s="527"/>
      <c r="L1264" s="527"/>
      <c r="M1264" s="527"/>
      <c r="N1264" s="527"/>
      <c r="O1264" s="528"/>
      <c r="P1264" s="527"/>
      <c r="Q1264" s="527"/>
      <c r="R1264" s="527"/>
      <c r="S1264" s="527"/>
      <c r="T1264" s="528"/>
      <c r="U1264" s="527"/>
      <c r="V1264" s="527"/>
    </row>
    <row r="1265" spans="1:22" x14ac:dyDescent="0.3">
      <c r="A1265" s="527"/>
      <c r="B1265" s="527"/>
      <c r="C1265" s="527"/>
      <c r="D1265" s="527"/>
      <c r="E1265" s="527"/>
      <c r="F1265" s="527"/>
      <c r="G1265" s="527"/>
      <c r="H1265" s="527"/>
      <c r="I1265" s="527"/>
      <c r="J1265" s="527"/>
      <c r="K1265" s="527"/>
      <c r="L1265" s="527"/>
      <c r="M1265" s="527"/>
      <c r="N1265" s="527"/>
      <c r="O1265" s="528"/>
      <c r="P1265" s="527"/>
      <c r="Q1265" s="527"/>
      <c r="R1265" s="527"/>
      <c r="S1265" s="527"/>
      <c r="T1265" s="528"/>
      <c r="U1265" s="527"/>
      <c r="V1265" s="527"/>
    </row>
    <row r="1266" spans="1:22" x14ac:dyDescent="0.3">
      <c r="A1266" s="527"/>
      <c r="B1266" s="527"/>
      <c r="C1266" s="527"/>
      <c r="D1266" s="527"/>
      <c r="E1266" s="527"/>
      <c r="F1266" s="527"/>
      <c r="G1266" s="527"/>
      <c r="H1266" s="527"/>
      <c r="I1266" s="527"/>
      <c r="J1266" s="527"/>
      <c r="K1266" s="527"/>
      <c r="L1266" s="527"/>
      <c r="M1266" s="527"/>
      <c r="N1266" s="527"/>
      <c r="O1266" s="528"/>
      <c r="P1266" s="527"/>
      <c r="Q1266" s="527"/>
      <c r="R1266" s="527"/>
      <c r="S1266" s="527"/>
      <c r="T1266" s="528"/>
      <c r="U1266" s="527"/>
      <c r="V1266" s="527"/>
    </row>
    <row r="1267" spans="1:22" x14ac:dyDescent="0.3">
      <c r="A1267" s="527"/>
      <c r="B1267" s="527"/>
      <c r="C1267" s="527"/>
      <c r="D1267" s="527"/>
      <c r="E1267" s="527"/>
      <c r="F1267" s="527"/>
      <c r="G1267" s="527"/>
      <c r="H1267" s="527"/>
      <c r="I1267" s="527"/>
      <c r="J1267" s="527"/>
      <c r="K1267" s="527"/>
      <c r="L1267" s="527"/>
      <c r="M1267" s="527"/>
      <c r="N1267" s="527"/>
      <c r="O1267" s="528"/>
      <c r="P1267" s="527"/>
      <c r="Q1267" s="527"/>
      <c r="R1267" s="527"/>
      <c r="S1267" s="527"/>
      <c r="T1267" s="528"/>
      <c r="U1267" s="527"/>
      <c r="V1267" s="527"/>
    </row>
    <row r="1268" spans="1:22" x14ac:dyDescent="0.3">
      <c r="A1268" s="527"/>
      <c r="B1268" s="527"/>
      <c r="C1268" s="527"/>
      <c r="D1268" s="527"/>
      <c r="E1268" s="527"/>
      <c r="F1268" s="527"/>
      <c r="G1268" s="527"/>
      <c r="H1268" s="527"/>
      <c r="I1268" s="527"/>
      <c r="J1268" s="527"/>
      <c r="K1268" s="527"/>
      <c r="L1268" s="527"/>
      <c r="M1268" s="527"/>
      <c r="N1268" s="527"/>
      <c r="O1268" s="528"/>
      <c r="P1268" s="527"/>
      <c r="Q1268" s="527"/>
      <c r="R1268" s="527"/>
      <c r="S1268" s="527"/>
      <c r="T1268" s="528"/>
      <c r="U1268" s="527"/>
      <c r="V1268" s="527"/>
    </row>
    <row r="1269" spans="1:22" x14ac:dyDescent="0.3">
      <c r="A1269" s="527"/>
      <c r="B1269" s="527"/>
      <c r="C1269" s="527"/>
      <c r="D1269" s="527"/>
      <c r="E1269" s="527"/>
      <c r="F1269" s="527"/>
      <c r="G1269" s="527"/>
      <c r="H1269" s="527"/>
      <c r="I1269" s="527"/>
      <c r="J1269" s="527"/>
      <c r="K1269" s="527"/>
      <c r="L1269" s="527"/>
      <c r="M1269" s="527"/>
      <c r="N1269" s="527"/>
      <c r="O1269" s="528"/>
      <c r="P1269" s="527"/>
      <c r="Q1269" s="527"/>
      <c r="R1269" s="527"/>
      <c r="S1269" s="527"/>
      <c r="T1269" s="528"/>
      <c r="U1269" s="527"/>
      <c r="V1269" s="527"/>
    </row>
    <row r="1270" spans="1:22" x14ac:dyDescent="0.3">
      <c r="A1270" s="527"/>
      <c r="B1270" s="527"/>
      <c r="C1270" s="527"/>
      <c r="D1270" s="527"/>
      <c r="E1270" s="527"/>
      <c r="F1270" s="527"/>
      <c r="G1270" s="527"/>
      <c r="H1270" s="527"/>
      <c r="I1270" s="527"/>
      <c r="J1270" s="527"/>
      <c r="K1270" s="527"/>
      <c r="L1270" s="527"/>
      <c r="M1270" s="527"/>
      <c r="N1270" s="527"/>
      <c r="O1270" s="528"/>
      <c r="P1270" s="527"/>
      <c r="Q1270" s="527"/>
      <c r="R1270" s="527"/>
      <c r="S1270" s="527"/>
      <c r="T1270" s="528"/>
      <c r="U1270" s="527"/>
      <c r="V1270" s="527"/>
    </row>
    <row r="1271" spans="1:22" x14ac:dyDescent="0.3">
      <c r="A1271" s="527"/>
      <c r="B1271" s="527"/>
      <c r="C1271" s="527"/>
      <c r="D1271" s="527"/>
      <c r="E1271" s="527"/>
      <c r="F1271" s="527"/>
      <c r="G1271" s="527"/>
      <c r="H1271" s="527"/>
      <c r="I1271" s="527"/>
      <c r="J1271" s="527"/>
      <c r="K1271" s="527"/>
      <c r="L1271" s="527"/>
      <c r="M1271" s="527"/>
      <c r="N1271" s="527"/>
      <c r="O1271" s="528"/>
      <c r="P1271" s="527"/>
      <c r="Q1271" s="527"/>
      <c r="R1271" s="527"/>
      <c r="S1271" s="527"/>
      <c r="T1271" s="528"/>
      <c r="U1271" s="527"/>
      <c r="V1271" s="527"/>
    </row>
    <row r="1272" spans="1:22" x14ac:dyDescent="0.3">
      <c r="A1272" s="527"/>
      <c r="B1272" s="527"/>
      <c r="C1272" s="527"/>
      <c r="D1272" s="527"/>
      <c r="E1272" s="527"/>
      <c r="F1272" s="527"/>
      <c r="G1272" s="527"/>
      <c r="H1272" s="527"/>
      <c r="I1272" s="527"/>
      <c r="J1272" s="527"/>
      <c r="K1272" s="527"/>
      <c r="L1272" s="527"/>
      <c r="M1272" s="527"/>
      <c r="N1272" s="527"/>
      <c r="O1272" s="528"/>
      <c r="P1272" s="527"/>
      <c r="Q1272" s="527"/>
      <c r="R1272" s="527"/>
      <c r="S1272" s="527"/>
      <c r="T1272" s="528"/>
      <c r="U1272" s="527"/>
      <c r="V1272" s="527"/>
    </row>
    <row r="1273" spans="1:22" x14ac:dyDescent="0.3">
      <c r="A1273" s="527"/>
      <c r="B1273" s="527"/>
      <c r="C1273" s="527"/>
      <c r="D1273" s="527"/>
      <c r="E1273" s="527"/>
      <c r="F1273" s="527"/>
      <c r="G1273" s="527"/>
      <c r="H1273" s="527"/>
      <c r="I1273" s="527"/>
      <c r="J1273" s="527"/>
      <c r="K1273" s="527"/>
      <c r="L1273" s="527"/>
      <c r="M1273" s="527"/>
      <c r="N1273" s="527"/>
      <c r="O1273" s="528"/>
      <c r="P1273" s="527"/>
      <c r="Q1273" s="527"/>
      <c r="R1273" s="527"/>
      <c r="S1273" s="527"/>
      <c r="T1273" s="528"/>
      <c r="U1273" s="527"/>
      <c r="V1273" s="527"/>
    </row>
    <row r="1274" spans="1:22" x14ac:dyDescent="0.3">
      <c r="A1274" s="527"/>
      <c r="B1274" s="527"/>
      <c r="C1274" s="527"/>
      <c r="D1274" s="527"/>
      <c r="E1274" s="527"/>
      <c r="F1274" s="527"/>
      <c r="G1274" s="527"/>
      <c r="H1274" s="527"/>
      <c r="I1274" s="527"/>
      <c r="J1274" s="527"/>
      <c r="K1274" s="527"/>
      <c r="L1274" s="527"/>
      <c r="M1274" s="527"/>
      <c r="N1274" s="527"/>
      <c r="O1274" s="528"/>
      <c r="P1274" s="527"/>
      <c r="Q1274" s="527"/>
      <c r="R1274" s="527"/>
      <c r="S1274" s="527"/>
      <c r="T1274" s="528"/>
      <c r="U1274" s="527"/>
      <c r="V1274" s="527"/>
    </row>
    <row r="1275" spans="1:22" x14ac:dyDescent="0.3">
      <c r="A1275" s="527"/>
      <c r="B1275" s="527"/>
      <c r="C1275" s="527"/>
      <c r="D1275" s="527"/>
      <c r="E1275" s="527"/>
      <c r="F1275" s="527"/>
      <c r="G1275" s="527"/>
      <c r="H1275" s="527"/>
      <c r="I1275" s="527"/>
      <c r="J1275" s="527"/>
      <c r="K1275" s="527"/>
      <c r="L1275" s="527"/>
      <c r="M1275" s="527"/>
      <c r="N1275" s="527"/>
      <c r="O1275" s="528"/>
      <c r="P1275" s="527"/>
      <c r="Q1275" s="527"/>
      <c r="R1275" s="527"/>
      <c r="S1275" s="527"/>
      <c r="T1275" s="528"/>
      <c r="U1275" s="527"/>
      <c r="V1275" s="527"/>
    </row>
    <row r="1276" spans="1:22" x14ac:dyDescent="0.3">
      <c r="A1276" s="527"/>
      <c r="B1276" s="527"/>
      <c r="C1276" s="527"/>
      <c r="D1276" s="527"/>
      <c r="E1276" s="527"/>
      <c r="F1276" s="527"/>
      <c r="G1276" s="527"/>
      <c r="H1276" s="527"/>
      <c r="I1276" s="527"/>
      <c r="J1276" s="527"/>
      <c r="K1276" s="527"/>
      <c r="L1276" s="527"/>
      <c r="M1276" s="527"/>
      <c r="N1276" s="527"/>
      <c r="O1276" s="528"/>
      <c r="P1276" s="527"/>
      <c r="Q1276" s="527"/>
      <c r="R1276" s="527"/>
      <c r="S1276" s="527"/>
      <c r="T1276" s="528"/>
      <c r="U1276" s="527"/>
      <c r="V1276" s="527"/>
    </row>
    <row r="1277" spans="1:22" x14ac:dyDescent="0.3">
      <c r="A1277" s="527"/>
      <c r="B1277" s="527"/>
      <c r="C1277" s="527"/>
      <c r="D1277" s="527"/>
      <c r="E1277" s="527"/>
      <c r="F1277" s="527"/>
      <c r="G1277" s="527"/>
      <c r="H1277" s="527"/>
      <c r="I1277" s="527"/>
      <c r="J1277" s="527"/>
      <c r="K1277" s="527"/>
      <c r="L1277" s="527"/>
      <c r="M1277" s="527"/>
      <c r="N1277" s="527"/>
      <c r="O1277" s="528"/>
      <c r="P1277" s="527"/>
      <c r="Q1277" s="527"/>
      <c r="R1277" s="527"/>
      <c r="S1277" s="527"/>
      <c r="T1277" s="528"/>
      <c r="U1277" s="527"/>
      <c r="V1277" s="527"/>
    </row>
    <row r="1278" spans="1:22" x14ac:dyDescent="0.3">
      <c r="A1278" s="527"/>
      <c r="B1278" s="527"/>
      <c r="C1278" s="527"/>
      <c r="D1278" s="527"/>
      <c r="E1278" s="527"/>
      <c r="F1278" s="527"/>
      <c r="G1278" s="527"/>
      <c r="H1278" s="527"/>
      <c r="I1278" s="527"/>
      <c r="J1278" s="527"/>
      <c r="K1278" s="527"/>
      <c r="L1278" s="527"/>
      <c r="M1278" s="527"/>
      <c r="N1278" s="527"/>
      <c r="O1278" s="528"/>
      <c r="P1278" s="527"/>
      <c r="Q1278" s="527"/>
      <c r="R1278" s="527"/>
      <c r="S1278" s="527"/>
      <c r="T1278" s="528"/>
      <c r="U1278" s="527"/>
      <c r="V1278" s="527"/>
    </row>
    <row r="1279" spans="1:22" x14ac:dyDescent="0.3">
      <c r="A1279" s="527"/>
      <c r="B1279" s="527"/>
      <c r="C1279" s="527"/>
      <c r="D1279" s="527"/>
      <c r="E1279" s="527"/>
      <c r="F1279" s="527"/>
      <c r="G1279" s="527"/>
      <c r="H1279" s="527"/>
      <c r="I1279" s="527"/>
      <c r="J1279" s="527"/>
      <c r="K1279" s="527"/>
      <c r="L1279" s="527"/>
      <c r="M1279" s="527"/>
      <c r="N1279" s="527"/>
      <c r="O1279" s="528"/>
      <c r="P1279" s="527"/>
      <c r="Q1279" s="527"/>
      <c r="R1279" s="527"/>
      <c r="S1279" s="527"/>
      <c r="T1279" s="528"/>
      <c r="U1279" s="527"/>
      <c r="V1279" s="527"/>
    </row>
    <row r="1280" spans="1:22" x14ac:dyDescent="0.3">
      <c r="A1280" s="527"/>
      <c r="B1280" s="527"/>
      <c r="C1280" s="527"/>
      <c r="D1280" s="527"/>
      <c r="E1280" s="527"/>
      <c r="F1280" s="527"/>
      <c r="G1280" s="527"/>
      <c r="H1280" s="527"/>
      <c r="I1280" s="527"/>
      <c r="J1280" s="527"/>
      <c r="K1280" s="527"/>
      <c r="L1280" s="527"/>
      <c r="M1280" s="527"/>
      <c r="N1280" s="527"/>
      <c r="O1280" s="528"/>
      <c r="P1280" s="527"/>
      <c r="Q1280" s="527"/>
      <c r="R1280" s="527"/>
      <c r="S1280" s="527"/>
      <c r="T1280" s="528"/>
      <c r="U1280" s="527"/>
      <c r="V1280" s="527"/>
    </row>
    <row r="1281" spans="1:22" x14ac:dyDescent="0.3">
      <c r="A1281" s="527"/>
      <c r="B1281" s="527"/>
      <c r="C1281" s="527"/>
      <c r="D1281" s="527"/>
      <c r="E1281" s="527"/>
      <c r="F1281" s="527"/>
      <c r="G1281" s="527"/>
      <c r="H1281" s="527"/>
      <c r="I1281" s="527"/>
      <c r="J1281" s="527"/>
      <c r="K1281" s="527"/>
      <c r="L1281" s="527"/>
      <c r="M1281" s="527"/>
      <c r="N1281" s="527"/>
      <c r="O1281" s="528"/>
      <c r="P1281" s="527"/>
      <c r="Q1281" s="527"/>
      <c r="R1281" s="527"/>
      <c r="S1281" s="527"/>
      <c r="T1281" s="528"/>
      <c r="U1281" s="527"/>
      <c r="V1281" s="527"/>
    </row>
    <row r="1282" spans="1:22" x14ac:dyDescent="0.3">
      <c r="A1282" s="527"/>
      <c r="B1282" s="527"/>
      <c r="C1282" s="527"/>
      <c r="D1282" s="527"/>
      <c r="E1282" s="527"/>
      <c r="F1282" s="527"/>
      <c r="G1282" s="527"/>
      <c r="H1282" s="527"/>
      <c r="I1282" s="527"/>
      <c r="J1282" s="527"/>
      <c r="K1282" s="527"/>
      <c r="L1282" s="527"/>
      <c r="M1282" s="527"/>
      <c r="N1282" s="527"/>
      <c r="O1282" s="528"/>
      <c r="P1282" s="527"/>
      <c r="Q1282" s="527"/>
      <c r="R1282" s="527"/>
      <c r="S1282" s="527"/>
      <c r="T1282" s="528"/>
      <c r="U1282" s="527"/>
      <c r="V1282" s="527"/>
    </row>
    <row r="1283" spans="1:22" x14ac:dyDescent="0.3">
      <c r="A1283" s="527"/>
      <c r="B1283" s="527"/>
      <c r="C1283" s="527"/>
      <c r="D1283" s="527"/>
      <c r="E1283" s="527"/>
      <c r="F1283" s="527"/>
      <c r="G1283" s="527"/>
      <c r="H1283" s="527"/>
      <c r="I1283" s="527"/>
      <c r="J1283" s="527"/>
      <c r="K1283" s="527"/>
      <c r="L1283" s="527"/>
      <c r="M1283" s="527"/>
      <c r="N1283" s="527"/>
      <c r="O1283" s="528"/>
      <c r="P1283" s="527"/>
      <c r="Q1283" s="527"/>
      <c r="R1283" s="527"/>
      <c r="S1283" s="527"/>
      <c r="T1283" s="528"/>
      <c r="U1283" s="527"/>
      <c r="V1283" s="527"/>
    </row>
    <row r="1284" spans="1:22" x14ac:dyDescent="0.3">
      <c r="A1284" s="527"/>
      <c r="B1284" s="527"/>
      <c r="C1284" s="527"/>
      <c r="D1284" s="527"/>
      <c r="E1284" s="527"/>
      <c r="F1284" s="527"/>
      <c r="G1284" s="527"/>
      <c r="H1284" s="527"/>
      <c r="I1284" s="527"/>
      <c r="J1284" s="527"/>
      <c r="K1284" s="527"/>
      <c r="L1284" s="527"/>
      <c r="M1284" s="527"/>
      <c r="N1284" s="527"/>
      <c r="O1284" s="528"/>
      <c r="P1284" s="527"/>
      <c r="Q1284" s="527"/>
      <c r="R1284" s="527"/>
      <c r="S1284" s="527"/>
      <c r="T1284" s="528"/>
      <c r="U1284" s="527"/>
      <c r="V1284" s="527"/>
    </row>
    <row r="1285" spans="1:22" x14ac:dyDescent="0.3">
      <c r="A1285" s="527"/>
      <c r="B1285" s="527"/>
      <c r="C1285" s="527"/>
      <c r="D1285" s="527"/>
      <c r="E1285" s="527"/>
      <c r="F1285" s="527"/>
      <c r="G1285" s="527"/>
      <c r="H1285" s="527"/>
      <c r="I1285" s="527"/>
      <c r="J1285" s="527"/>
      <c r="K1285" s="527"/>
      <c r="L1285" s="527"/>
      <c r="M1285" s="527"/>
      <c r="N1285" s="527"/>
      <c r="O1285" s="528"/>
      <c r="P1285" s="527"/>
      <c r="Q1285" s="527"/>
      <c r="R1285" s="527"/>
      <c r="S1285" s="527"/>
      <c r="T1285" s="528"/>
      <c r="U1285" s="527"/>
      <c r="V1285" s="527"/>
    </row>
    <row r="1286" spans="1:22" x14ac:dyDescent="0.3">
      <c r="A1286" s="527"/>
      <c r="B1286" s="527"/>
      <c r="C1286" s="527"/>
      <c r="D1286" s="527"/>
      <c r="E1286" s="527"/>
      <c r="F1286" s="527"/>
      <c r="G1286" s="527"/>
      <c r="H1286" s="527"/>
      <c r="I1286" s="527"/>
      <c r="J1286" s="527"/>
      <c r="K1286" s="527"/>
      <c r="L1286" s="527"/>
      <c r="M1286" s="527"/>
      <c r="N1286" s="527"/>
      <c r="O1286" s="528"/>
      <c r="P1286" s="527"/>
      <c r="Q1286" s="527"/>
      <c r="R1286" s="527"/>
      <c r="S1286" s="527"/>
      <c r="T1286" s="528"/>
      <c r="U1286" s="527"/>
      <c r="V1286" s="527"/>
    </row>
    <row r="1287" spans="1:22" x14ac:dyDescent="0.3">
      <c r="A1287" s="527"/>
      <c r="B1287" s="527"/>
      <c r="C1287" s="527"/>
      <c r="D1287" s="527"/>
      <c r="E1287" s="527"/>
      <c r="F1287" s="527"/>
      <c r="G1287" s="527"/>
      <c r="H1287" s="527"/>
      <c r="I1287" s="527"/>
      <c r="J1287" s="527"/>
      <c r="K1287" s="527"/>
      <c r="L1287" s="527"/>
      <c r="M1287" s="527"/>
      <c r="N1287" s="527"/>
      <c r="O1287" s="528"/>
      <c r="P1287" s="527"/>
      <c r="Q1287" s="527"/>
      <c r="R1287" s="527"/>
      <c r="S1287" s="527"/>
      <c r="T1287" s="528"/>
      <c r="U1287" s="527"/>
      <c r="V1287" s="527"/>
    </row>
    <row r="1288" spans="1:22" x14ac:dyDescent="0.3">
      <c r="A1288" s="527"/>
      <c r="B1288" s="527"/>
      <c r="C1288" s="527"/>
      <c r="D1288" s="527"/>
      <c r="E1288" s="527"/>
      <c r="F1288" s="527"/>
      <c r="G1288" s="527"/>
      <c r="H1288" s="527"/>
      <c r="I1288" s="527"/>
      <c r="J1288" s="527"/>
      <c r="K1288" s="527"/>
      <c r="L1288" s="527"/>
      <c r="M1288" s="527"/>
      <c r="N1288" s="527"/>
      <c r="O1288" s="528"/>
      <c r="P1288" s="527"/>
      <c r="Q1288" s="527"/>
      <c r="R1288" s="527"/>
      <c r="S1288" s="527"/>
      <c r="T1288" s="528"/>
      <c r="U1288" s="527"/>
      <c r="V1288" s="527"/>
    </row>
    <row r="1289" spans="1:22" x14ac:dyDescent="0.3">
      <c r="A1289" s="527"/>
      <c r="B1289" s="527"/>
      <c r="C1289" s="527"/>
      <c r="D1289" s="527"/>
      <c r="E1289" s="527"/>
      <c r="F1289" s="527"/>
      <c r="G1289" s="527"/>
      <c r="H1289" s="527"/>
      <c r="I1289" s="527"/>
      <c r="J1289" s="527"/>
      <c r="K1289" s="527"/>
      <c r="L1289" s="527"/>
      <c r="M1289" s="527"/>
      <c r="N1289" s="527"/>
      <c r="O1289" s="528"/>
      <c r="P1289" s="527"/>
      <c r="Q1289" s="527"/>
      <c r="R1289" s="527"/>
      <c r="S1289" s="527"/>
      <c r="T1289" s="528"/>
      <c r="U1289" s="527"/>
      <c r="V1289" s="527"/>
    </row>
    <row r="1290" spans="1:22" x14ac:dyDescent="0.3">
      <c r="A1290" s="527"/>
      <c r="B1290" s="527"/>
      <c r="C1290" s="527"/>
      <c r="D1290" s="527"/>
      <c r="E1290" s="527"/>
      <c r="F1290" s="527"/>
      <c r="G1290" s="527"/>
      <c r="H1290" s="527"/>
      <c r="I1290" s="527"/>
      <c r="J1290" s="527"/>
      <c r="K1290" s="527"/>
      <c r="L1290" s="527"/>
      <c r="M1290" s="527"/>
      <c r="N1290" s="527"/>
      <c r="O1290" s="528"/>
      <c r="P1290" s="527"/>
      <c r="Q1290" s="527"/>
      <c r="R1290" s="527"/>
      <c r="S1290" s="527"/>
      <c r="T1290" s="528"/>
      <c r="U1290" s="527"/>
      <c r="V1290" s="527"/>
    </row>
    <row r="1291" spans="1:22" x14ac:dyDescent="0.3">
      <c r="A1291" s="527"/>
      <c r="B1291" s="527"/>
      <c r="C1291" s="527"/>
      <c r="D1291" s="527"/>
      <c r="E1291" s="527"/>
      <c r="F1291" s="527"/>
      <c r="G1291" s="527"/>
      <c r="H1291" s="527"/>
      <c r="I1291" s="527"/>
      <c r="J1291" s="527"/>
      <c r="K1291" s="527"/>
      <c r="L1291" s="527"/>
      <c r="M1291" s="527"/>
      <c r="N1291" s="527"/>
      <c r="O1291" s="528"/>
      <c r="P1291" s="527"/>
      <c r="Q1291" s="527"/>
      <c r="R1291" s="527"/>
      <c r="S1291" s="527"/>
      <c r="T1291" s="528"/>
      <c r="U1291" s="527"/>
      <c r="V1291" s="527"/>
    </row>
    <row r="1292" spans="1:22" x14ac:dyDescent="0.3">
      <c r="A1292" s="527"/>
      <c r="B1292" s="527"/>
      <c r="C1292" s="527"/>
      <c r="D1292" s="527"/>
      <c r="E1292" s="527"/>
      <c r="F1292" s="527"/>
      <c r="G1292" s="527"/>
      <c r="H1292" s="527"/>
      <c r="I1292" s="527"/>
      <c r="J1292" s="527"/>
      <c r="K1292" s="527"/>
      <c r="L1292" s="527"/>
      <c r="M1292" s="527"/>
      <c r="N1292" s="527"/>
      <c r="O1292" s="528"/>
      <c r="P1292" s="527"/>
      <c r="Q1292" s="527"/>
      <c r="R1292" s="527"/>
      <c r="S1292" s="527"/>
      <c r="T1292" s="528"/>
      <c r="U1292" s="527"/>
      <c r="V1292" s="527"/>
    </row>
    <row r="1293" spans="1:22" x14ac:dyDescent="0.3">
      <c r="A1293" s="527"/>
      <c r="B1293" s="527"/>
      <c r="C1293" s="527"/>
      <c r="D1293" s="527"/>
      <c r="E1293" s="527"/>
      <c r="F1293" s="527"/>
      <c r="G1293" s="527"/>
      <c r="H1293" s="527"/>
      <c r="I1293" s="527"/>
      <c r="J1293" s="527"/>
      <c r="K1293" s="527"/>
      <c r="L1293" s="527"/>
      <c r="M1293" s="527"/>
      <c r="N1293" s="527"/>
      <c r="O1293" s="528"/>
      <c r="P1293" s="527"/>
      <c r="Q1293" s="527"/>
      <c r="R1293" s="527"/>
      <c r="S1293" s="527"/>
      <c r="T1293" s="528"/>
      <c r="U1293" s="527"/>
      <c r="V1293" s="527"/>
    </row>
    <row r="1294" spans="1:22" x14ac:dyDescent="0.3">
      <c r="A1294" s="527"/>
      <c r="B1294" s="527"/>
      <c r="C1294" s="527"/>
      <c r="D1294" s="527"/>
      <c r="E1294" s="527"/>
      <c r="F1294" s="527"/>
      <c r="G1294" s="527"/>
      <c r="H1294" s="527"/>
      <c r="I1294" s="527"/>
      <c r="J1294" s="527"/>
      <c r="K1294" s="527"/>
      <c r="L1294" s="527"/>
      <c r="M1294" s="527"/>
      <c r="N1294" s="527"/>
      <c r="O1294" s="528"/>
      <c r="P1294" s="527"/>
      <c r="Q1294" s="527"/>
      <c r="R1294" s="527"/>
      <c r="S1294" s="527"/>
      <c r="T1294" s="528"/>
      <c r="U1294" s="527"/>
      <c r="V1294" s="527"/>
    </row>
    <row r="1295" spans="1:22" x14ac:dyDescent="0.3">
      <c r="A1295" s="527"/>
      <c r="B1295" s="527"/>
      <c r="C1295" s="527"/>
      <c r="D1295" s="527"/>
      <c r="E1295" s="527"/>
      <c r="F1295" s="527"/>
      <c r="G1295" s="527"/>
      <c r="H1295" s="527"/>
      <c r="I1295" s="527"/>
      <c r="J1295" s="527"/>
      <c r="K1295" s="527"/>
      <c r="L1295" s="527"/>
      <c r="M1295" s="527"/>
      <c r="N1295" s="527"/>
      <c r="O1295" s="528"/>
      <c r="P1295" s="527"/>
      <c r="Q1295" s="527"/>
      <c r="R1295" s="527"/>
      <c r="S1295" s="527"/>
      <c r="T1295" s="528"/>
      <c r="U1295" s="527"/>
      <c r="V1295" s="527"/>
    </row>
    <row r="1296" spans="1:22" x14ac:dyDescent="0.3">
      <c r="A1296" s="527"/>
      <c r="B1296" s="527"/>
      <c r="C1296" s="527"/>
      <c r="D1296" s="527"/>
      <c r="E1296" s="527"/>
      <c r="F1296" s="527"/>
      <c r="G1296" s="527"/>
      <c r="H1296" s="527"/>
      <c r="I1296" s="527"/>
      <c r="J1296" s="527"/>
      <c r="K1296" s="527"/>
      <c r="L1296" s="527"/>
      <c r="M1296" s="527"/>
      <c r="N1296" s="527"/>
      <c r="O1296" s="528"/>
      <c r="P1296" s="527"/>
      <c r="Q1296" s="527"/>
      <c r="R1296" s="527"/>
      <c r="S1296" s="527"/>
      <c r="T1296" s="528"/>
      <c r="U1296" s="527"/>
      <c r="V1296" s="527"/>
    </row>
    <row r="1297" spans="1:22" x14ac:dyDescent="0.3">
      <c r="A1297" s="527"/>
      <c r="B1297" s="527"/>
      <c r="C1297" s="527"/>
      <c r="D1297" s="527"/>
      <c r="E1297" s="527"/>
      <c r="F1297" s="527"/>
      <c r="G1297" s="527"/>
      <c r="H1297" s="527"/>
      <c r="I1297" s="527"/>
      <c r="J1297" s="527"/>
      <c r="K1297" s="527"/>
      <c r="L1297" s="527"/>
      <c r="M1297" s="527"/>
      <c r="N1297" s="527"/>
      <c r="O1297" s="528"/>
      <c r="P1297" s="527"/>
      <c r="Q1297" s="527"/>
      <c r="R1297" s="527"/>
      <c r="S1297" s="527"/>
      <c r="T1297" s="528"/>
      <c r="U1297" s="527"/>
      <c r="V1297" s="527"/>
    </row>
    <row r="1298" spans="1:22" x14ac:dyDescent="0.3">
      <c r="A1298" s="527"/>
      <c r="B1298" s="527"/>
      <c r="C1298" s="527"/>
      <c r="D1298" s="527"/>
      <c r="E1298" s="527"/>
      <c r="F1298" s="527"/>
      <c r="G1298" s="527"/>
      <c r="H1298" s="527"/>
      <c r="I1298" s="527"/>
      <c r="J1298" s="527"/>
      <c r="K1298" s="527"/>
      <c r="L1298" s="527"/>
      <c r="M1298" s="527"/>
      <c r="N1298" s="527"/>
      <c r="O1298" s="528"/>
      <c r="P1298" s="527"/>
      <c r="Q1298" s="527"/>
      <c r="R1298" s="527"/>
      <c r="S1298" s="527"/>
      <c r="T1298" s="528"/>
      <c r="U1298" s="527"/>
      <c r="V1298" s="527"/>
    </row>
    <row r="1299" spans="1:22" x14ac:dyDescent="0.3">
      <c r="A1299" s="527"/>
      <c r="B1299" s="527"/>
      <c r="C1299" s="527"/>
      <c r="D1299" s="527"/>
      <c r="E1299" s="527"/>
      <c r="F1299" s="527"/>
      <c r="G1299" s="527"/>
      <c r="H1299" s="527"/>
      <c r="I1299" s="527"/>
      <c r="J1299" s="527"/>
      <c r="K1299" s="527"/>
      <c r="L1299" s="527"/>
      <c r="M1299" s="527"/>
      <c r="N1299" s="527"/>
      <c r="O1299" s="528"/>
      <c r="P1299" s="527"/>
      <c r="Q1299" s="527"/>
      <c r="R1299" s="527"/>
      <c r="S1299" s="527"/>
      <c r="T1299" s="528"/>
      <c r="U1299" s="527"/>
      <c r="V1299" s="527"/>
    </row>
    <row r="1300" spans="1:22" x14ac:dyDescent="0.3">
      <c r="A1300" s="527"/>
      <c r="B1300" s="527"/>
      <c r="C1300" s="527"/>
      <c r="D1300" s="527"/>
      <c r="E1300" s="527"/>
      <c r="F1300" s="527"/>
      <c r="G1300" s="527"/>
      <c r="H1300" s="527"/>
      <c r="I1300" s="527"/>
      <c r="J1300" s="527"/>
      <c r="K1300" s="527"/>
      <c r="L1300" s="527"/>
      <c r="M1300" s="527"/>
      <c r="N1300" s="527"/>
      <c r="O1300" s="528"/>
      <c r="P1300" s="527"/>
      <c r="Q1300" s="527"/>
      <c r="R1300" s="527"/>
      <c r="S1300" s="527"/>
      <c r="T1300" s="528"/>
      <c r="U1300" s="527"/>
      <c r="V1300" s="527"/>
    </row>
    <row r="1301" spans="1:22" x14ac:dyDescent="0.3">
      <c r="A1301" s="527"/>
      <c r="B1301" s="527"/>
      <c r="C1301" s="527"/>
      <c r="D1301" s="527"/>
      <c r="E1301" s="527"/>
      <c r="F1301" s="527"/>
      <c r="G1301" s="527"/>
      <c r="H1301" s="527"/>
      <c r="I1301" s="527"/>
      <c r="J1301" s="527"/>
      <c r="K1301" s="527"/>
      <c r="L1301" s="527"/>
      <c r="M1301" s="527"/>
      <c r="N1301" s="527"/>
      <c r="O1301" s="528"/>
      <c r="P1301" s="527"/>
      <c r="Q1301" s="527"/>
      <c r="R1301" s="527"/>
      <c r="S1301" s="527"/>
      <c r="T1301" s="528"/>
      <c r="U1301" s="527"/>
      <c r="V1301" s="527"/>
    </row>
    <row r="1302" spans="1:22" x14ac:dyDescent="0.3">
      <c r="A1302" s="527"/>
      <c r="B1302" s="527"/>
      <c r="C1302" s="527"/>
      <c r="D1302" s="527"/>
      <c r="E1302" s="527"/>
      <c r="F1302" s="527"/>
      <c r="G1302" s="527"/>
      <c r="H1302" s="527"/>
      <c r="I1302" s="527"/>
      <c r="J1302" s="527"/>
      <c r="K1302" s="527"/>
      <c r="L1302" s="527"/>
      <c r="M1302" s="527"/>
      <c r="N1302" s="527"/>
      <c r="O1302" s="528"/>
      <c r="P1302" s="527"/>
      <c r="Q1302" s="527"/>
      <c r="R1302" s="527"/>
      <c r="S1302" s="527"/>
      <c r="T1302" s="528"/>
      <c r="U1302" s="527"/>
      <c r="V1302" s="527"/>
    </row>
    <row r="1303" spans="1:22" x14ac:dyDescent="0.3">
      <c r="A1303" s="527"/>
      <c r="B1303" s="527"/>
      <c r="C1303" s="527"/>
      <c r="D1303" s="527"/>
      <c r="E1303" s="527"/>
      <c r="F1303" s="527"/>
      <c r="G1303" s="527"/>
      <c r="H1303" s="527"/>
      <c r="I1303" s="527"/>
      <c r="J1303" s="527"/>
      <c r="K1303" s="527"/>
      <c r="L1303" s="527"/>
      <c r="M1303" s="527"/>
      <c r="N1303" s="527"/>
      <c r="O1303" s="528"/>
      <c r="P1303" s="527"/>
      <c r="Q1303" s="527"/>
      <c r="R1303" s="527"/>
      <c r="S1303" s="527"/>
      <c r="T1303" s="528"/>
      <c r="U1303" s="527"/>
      <c r="V1303" s="527"/>
    </row>
    <row r="1304" spans="1:22" x14ac:dyDescent="0.3">
      <c r="A1304" s="527"/>
      <c r="B1304" s="527"/>
      <c r="C1304" s="527"/>
      <c r="D1304" s="527"/>
      <c r="E1304" s="527"/>
      <c r="F1304" s="527"/>
      <c r="G1304" s="527"/>
      <c r="H1304" s="527"/>
      <c r="I1304" s="527"/>
      <c r="J1304" s="527"/>
      <c r="K1304" s="527"/>
      <c r="L1304" s="527"/>
      <c r="M1304" s="527"/>
      <c r="N1304" s="527"/>
      <c r="O1304" s="528"/>
      <c r="P1304" s="527"/>
      <c r="Q1304" s="527"/>
      <c r="R1304" s="527"/>
      <c r="S1304" s="527"/>
      <c r="T1304" s="528"/>
      <c r="U1304" s="527"/>
      <c r="V1304" s="527"/>
    </row>
    <row r="1305" spans="1:22" x14ac:dyDescent="0.3">
      <c r="A1305" s="527"/>
      <c r="B1305" s="527"/>
      <c r="C1305" s="527"/>
      <c r="D1305" s="527"/>
      <c r="E1305" s="527"/>
      <c r="F1305" s="527"/>
      <c r="G1305" s="527"/>
      <c r="H1305" s="527"/>
      <c r="I1305" s="527"/>
      <c r="J1305" s="527"/>
      <c r="K1305" s="527"/>
      <c r="L1305" s="527"/>
      <c r="M1305" s="527"/>
      <c r="N1305" s="527"/>
      <c r="O1305" s="528"/>
      <c r="P1305" s="527"/>
      <c r="Q1305" s="527"/>
      <c r="R1305" s="527"/>
      <c r="S1305" s="527"/>
      <c r="T1305" s="528"/>
      <c r="U1305" s="527"/>
      <c r="V1305" s="527"/>
    </row>
    <row r="1306" spans="1:22" x14ac:dyDescent="0.3">
      <c r="A1306" s="527"/>
      <c r="B1306" s="527"/>
      <c r="C1306" s="527"/>
      <c r="D1306" s="527"/>
      <c r="E1306" s="527"/>
      <c r="F1306" s="527"/>
      <c r="G1306" s="527"/>
      <c r="H1306" s="527"/>
      <c r="I1306" s="527"/>
      <c r="J1306" s="527"/>
      <c r="K1306" s="527"/>
      <c r="L1306" s="527"/>
      <c r="M1306" s="527"/>
      <c r="N1306" s="527"/>
      <c r="O1306" s="528"/>
      <c r="P1306" s="527"/>
      <c r="Q1306" s="527"/>
      <c r="R1306" s="527"/>
      <c r="S1306" s="527"/>
      <c r="T1306" s="528"/>
      <c r="U1306" s="527"/>
      <c r="V1306" s="527"/>
    </row>
    <row r="1307" spans="1:22" x14ac:dyDescent="0.3">
      <c r="A1307" s="527"/>
      <c r="B1307" s="527"/>
      <c r="C1307" s="527"/>
      <c r="D1307" s="527"/>
      <c r="E1307" s="527"/>
      <c r="F1307" s="527"/>
      <c r="G1307" s="527"/>
      <c r="H1307" s="527"/>
      <c r="I1307" s="527"/>
      <c r="J1307" s="527"/>
      <c r="K1307" s="527"/>
      <c r="L1307" s="527"/>
      <c r="M1307" s="527"/>
      <c r="N1307" s="527"/>
      <c r="O1307" s="528"/>
      <c r="P1307" s="527"/>
      <c r="Q1307" s="527"/>
      <c r="R1307" s="527"/>
      <c r="S1307" s="527"/>
      <c r="T1307" s="528"/>
      <c r="U1307" s="527"/>
      <c r="V1307" s="527"/>
    </row>
    <row r="1308" spans="1:22" x14ac:dyDescent="0.3">
      <c r="A1308" s="527"/>
      <c r="B1308" s="527"/>
      <c r="C1308" s="527"/>
      <c r="D1308" s="527"/>
      <c r="E1308" s="527"/>
      <c r="F1308" s="527"/>
      <c r="G1308" s="527"/>
      <c r="H1308" s="527"/>
      <c r="I1308" s="527"/>
      <c r="J1308" s="527"/>
      <c r="K1308" s="527"/>
      <c r="L1308" s="527"/>
      <c r="M1308" s="527"/>
      <c r="N1308" s="527"/>
      <c r="O1308" s="528"/>
      <c r="P1308" s="527"/>
      <c r="Q1308" s="527"/>
      <c r="R1308" s="527"/>
      <c r="S1308" s="527"/>
      <c r="T1308" s="528"/>
      <c r="U1308" s="527"/>
      <c r="V1308" s="527"/>
    </row>
    <row r="1309" spans="1:22" x14ac:dyDescent="0.3">
      <c r="A1309" s="527"/>
      <c r="B1309" s="527"/>
      <c r="C1309" s="527"/>
      <c r="D1309" s="527"/>
      <c r="E1309" s="527"/>
      <c r="F1309" s="527"/>
      <c r="G1309" s="527"/>
      <c r="H1309" s="527"/>
      <c r="I1309" s="527"/>
      <c r="J1309" s="527"/>
      <c r="K1309" s="527"/>
      <c r="L1309" s="527"/>
      <c r="M1309" s="527"/>
      <c r="N1309" s="527"/>
      <c r="O1309" s="528"/>
      <c r="P1309" s="527"/>
      <c r="Q1309" s="527"/>
      <c r="R1309" s="527"/>
      <c r="S1309" s="527"/>
      <c r="T1309" s="528"/>
      <c r="U1309" s="527"/>
      <c r="V1309" s="527"/>
    </row>
    <row r="1310" spans="1:22" x14ac:dyDescent="0.3">
      <c r="A1310" s="527"/>
      <c r="B1310" s="527"/>
      <c r="C1310" s="527"/>
      <c r="D1310" s="527"/>
      <c r="E1310" s="527"/>
      <c r="F1310" s="527"/>
      <c r="G1310" s="527"/>
      <c r="H1310" s="527"/>
      <c r="I1310" s="527"/>
      <c r="J1310" s="527"/>
      <c r="K1310" s="527"/>
      <c r="L1310" s="527"/>
      <c r="M1310" s="527"/>
      <c r="N1310" s="527"/>
      <c r="O1310" s="528"/>
      <c r="P1310" s="527"/>
      <c r="Q1310" s="527"/>
      <c r="R1310" s="527"/>
      <c r="S1310" s="527"/>
      <c r="T1310" s="528"/>
      <c r="U1310" s="527"/>
      <c r="V1310" s="527"/>
    </row>
    <row r="1311" spans="1:22" x14ac:dyDescent="0.3">
      <c r="A1311" s="527"/>
      <c r="B1311" s="527"/>
      <c r="C1311" s="527"/>
      <c r="D1311" s="527"/>
      <c r="E1311" s="527"/>
      <c r="F1311" s="527"/>
      <c r="G1311" s="527"/>
      <c r="H1311" s="527"/>
      <c r="I1311" s="527"/>
      <c r="J1311" s="527"/>
      <c r="K1311" s="527"/>
      <c r="L1311" s="527"/>
      <c r="M1311" s="527"/>
      <c r="N1311" s="527"/>
      <c r="O1311" s="528"/>
      <c r="P1311" s="527"/>
      <c r="Q1311" s="527"/>
      <c r="R1311" s="527"/>
      <c r="S1311" s="527"/>
      <c r="T1311" s="528"/>
      <c r="U1311" s="527"/>
      <c r="V1311" s="527"/>
    </row>
    <row r="1312" spans="1:22" x14ac:dyDescent="0.3">
      <c r="A1312" s="527"/>
      <c r="B1312" s="527"/>
      <c r="C1312" s="527"/>
      <c r="D1312" s="527"/>
      <c r="E1312" s="527"/>
      <c r="F1312" s="527"/>
      <c r="G1312" s="527"/>
      <c r="H1312" s="527"/>
      <c r="I1312" s="527"/>
      <c r="J1312" s="527"/>
      <c r="K1312" s="527"/>
      <c r="L1312" s="527"/>
      <c r="M1312" s="527"/>
      <c r="N1312" s="527"/>
      <c r="O1312" s="528"/>
      <c r="P1312" s="527"/>
      <c r="Q1312" s="527"/>
      <c r="R1312" s="527"/>
      <c r="S1312" s="527"/>
      <c r="T1312" s="528"/>
      <c r="U1312" s="527"/>
      <c r="V1312" s="527"/>
    </row>
    <row r="1313" spans="1:22" x14ac:dyDescent="0.3">
      <c r="A1313" s="527"/>
      <c r="B1313" s="527"/>
      <c r="C1313" s="527"/>
      <c r="D1313" s="527"/>
      <c r="E1313" s="527"/>
      <c r="F1313" s="527"/>
      <c r="G1313" s="527"/>
      <c r="H1313" s="527"/>
      <c r="I1313" s="527"/>
      <c r="J1313" s="527"/>
      <c r="K1313" s="527"/>
      <c r="L1313" s="527"/>
      <c r="M1313" s="527"/>
      <c r="N1313" s="527"/>
      <c r="O1313" s="528"/>
      <c r="P1313" s="527"/>
      <c r="Q1313" s="527"/>
      <c r="R1313" s="527"/>
      <c r="S1313" s="527"/>
      <c r="T1313" s="528"/>
      <c r="U1313" s="527"/>
      <c r="V1313" s="527"/>
    </row>
    <row r="1314" spans="1:22" x14ac:dyDescent="0.3">
      <c r="A1314" s="527"/>
      <c r="B1314" s="527"/>
      <c r="C1314" s="527"/>
      <c r="D1314" s="527"/>
      <c r="E1314" s="527"/>
      <c r="F1314" s="527"/>
      <c r="G1314" s="527"/>
      <c r="H1314" s="527"/>
      <c r="I1314" s="527"/>
      <c r="J1314" s="527"/>
      <c r="K1314" s="527"/>
      <c r="L1314" s="527"/>
      <c r="M1314" s="527"/>
      <c r="N1314" s="527"/>
      <c r="O1314" s="528"/>
      <c r="P1314" s="527"/>
      <c r="Q1314" s="527"/>
      <c r="R1314" s="527"/>
      <c r="S1314" s="527"/>
      <c r="T1314" s="528"/>
      <c r="U1314" s="527"/>
      <c r="V1314" s="527"/>
    </row>
    <row r="1315" spans="1:22" x14ac:dyDescent="0.3">
      <c r="A1315" s="527"/>
      <c r="B1315" s="527"/>
      <c r="C1315" s="527"/>
      <c r="D1315" s="527"/>
      <c r="E1315" s="527"/>
      <c r="F1315" s="527"/>
      <c r="G1315" s="527"/>
      <c r="H1315" s="527"/>
      <c r="I1315" s="527"/>
      <c r="J1315" s="527"/>
      <c r="K1315" s="527"/>
      <c r="L1315" s="527"/>
      <c r="M1315" s="527"/>
      <c r="N1315" s="527"/>
      <c r="O1315" s="528"/>
      <c r="P1315" s="527"/>
      <c r="Q1315" s="527"/>
      <c r="R1315" s="527"/>
      <c r="S1315" s="527"/>
      <c r="T1315" s="528"/>
      <c r="U1315" s="527"/>
      <c r="V1315" s="527"/>
    </row>
    <row r="1316" spans="1:22" x14ac:dyDescent="0.3">
      <c r="A1316" s="527"/>
      <c r="B1316" s="527"/>
      <c r="C1316" s="527"/>
      <c r="D1316" s="527"/>
      <c r="E1316" s="527"/>
      <c r="F1316" s="527"/>
      <c r="G1316" s="527"/>
      <c r="H1316" s="527"/>
      <c r="I1316" s="527"/>
      <c r="J1316" s="527"/>
      <c r="K1316" s="527"/>
      <c r="L1316" s="527"/>
      <c r="M1316" s="527"/>
      <c r="N1316" s="527"/>
      <c r="O1316" s="528"/>
      <c r="P1316" s="527"/>
      <c r="Q1316" s="527"/>
      <c r="R1316" s="527"/>
      <c r="S1316" s="527"/>
      <c r="T1316" s="528"/>
      <c r="U1316" s="527"/>
      <c r="V1316" s="527"/>
    </row>
    <row r="1317" spans="1:22" x14ac:dyDescent="0.3">
      <c r="A1317" s="527"/>
      <c r="B1317" s="527"/>
      <c r="C1317" s="527"/>
      <c r="D1317" s="527"/>
      <c r="E1317" s="527"/>
      <c r="F1317" s="527"/>
      <c r="G1317" s="527"/>
      <c r="H1317" s="527"/>
      <c r="I1317" s="527"/>
      <c r="J1317" s="527"/>
      <c r="K1317" s="527"/>
      <c r="L1317" s="527"/>
      <c r="M1317" s="527"/>
      <c r="N1317" s="527"/>
      <c r="O1317" s="528"/>
      <c r="P1317" s="527"/>
      <c r="Q1317" s="527"/>
      <c r="R1317" s="527"/>
      <c r="S1317" s="527"/>
      <c r="T1317" s="528"/>
      <c r="U1317" s="527"/>
      <c r="V1317" s="527"/>
    </row>
    <row r="1318" spans="1:22" x14ac:dyDescent="0.3">
      <c r="A1318" s="527"/>
      <c r="B1318" s="527"/>
      <c r="C1318" s="527"/>
      <c r="D1318" s="527"/>
      <c r="E1318" s="527"/>
      <c r="F1318" s="527"/>
      <c r="G1318" s="527"/>
      <c r="H1318" s="527"/>
      <c r="I1318" s="527"/>
      <c r="J1318" s="527"/>
      <c r="K1318" s="527"/>
      <c r="L1318" s="527"/>
      <c r="M1318" s="527"/>
      <c r="N1318" s="527"/>
      <c r="O1318" s="528"/>
      <c r="P1318" s="527"/>
      <c r="Q1318" s="527"/>
      <c r="R1318" s="527"/>
      <c r="S1318" s="527"/>
      <c r="T1318" s="528"/>
      <c r="U1318" s="527"/>
      <c r="V1318" s="527"/>
    </row>
    <row r="1319" spans="1:22" x14ac:dyDescent="0.3">
      <c r="A1319" s="527"/>
      <c r="B1319" s="527"/>
      <c r="C1319" s="527"/>
      <c r="D1319" s="527"/>
      <c r="E1319" s="527"/>
      <c r="F1319" s="527"/>
      <c r="G1319" s="527"/>
      <c r="H1319" s="527"/>
      <c r="I1319" s="527"/>
      <c r="J1319" s="527"/>
      <c r="K1319" s="527"/>
      <c r="L1319" s="527"/>
      <c r="M1319" s="527"/>
      <c r="N1319" s="527"/>
      <c r="O1319" s="528"/>
      <c r="P1319" s="527"/>
      <c r="Q1319" s="527"/>
      <c r="R1319" s="527"/>
      <c r="S1319" s="527"/>
      <c r="T1319" s="528"/>
      <c r="U1319" s="527"/>
      <c r="V1319" s="527"/>
    </row>
    <row r="1320" spans="1:22" x14ac:dyDescent="0.3">
      <c r="A1320" s="527"/>
      <c r="B1320" s="527"/>
      <c r="C1320" s="527"/>
      <c r="D1320" s="527"/>
      <c r="E1320" s="527"/>
      <c r="F1320" s="527"/>
      <c r="G1320" s="527"/>
      <c r="H1320" s="527"/>
      <c r="I1320" s="527"/>
      <c r="J1320" s="527"/>
      <c r="K1320" s="527"/>
      <c r="L1320" s="527"/>
      <c r="M1320" s="527"/>
      <c r="N1320" s="527"/>
      <c r="O1320" s="528"/>
      <c r="P1320" s="527"/>
      <c r="Q1320" s="527"/>
      <c r="R1320" s="527"/>
      <c r="S1320" s="527"/>
      <c r="T1320" s="528"/>
      <c r="U1320" s="527"/>
      <c r="V1320" s="527"/>
    </row>
    <row r="1321" spans="1:22" x14ac:dyDescent="0.3">
      <c r="A1321" s="527"/>
      <c r="B1321" s="527"/>
      <c r="C1321" s="527"/>
      <c r="D1321" s="527"/>
      <c r="E1321" s="527"/>
      <c r="F1321" s="527"/>
      <c r="G1321" s="527"/>
      <c r="H1321" s="527"/>
      <c r="I1321" s="527"/>
      <c r="J1321" s="527"/>
      <c r="K1321" s="527"/>
      <c r="L1321" s="527"/>
      <c r="M1321" s="527"/>
      <c r="N1321" s="527"/>
      <c r="O1321" s="528"/>
      <c r="P1321" s="527"/>
      <c r="Q1321" s="527"/>
      <c r="R1321" s="527"/>
      <c r="S1321" s="527"/>
      <c r="T1321" s="528"/>
      <c r="U1321" s="527"/>
      <c r="V1321" s="527"/>
    </row>
    <row r="1322" spans="1:22" x14ac:dyDescent="0.3">
      <c r="A1322" s="527"/>
      <c r="B1322" s="527"/>
      <c r="C1322" s="527"/>
      <c r="D1322" s="527"/>
      <c r="E1322" s="527"/>
      <c r="F1322" s="527"/>
      <c r="G1322" s="527"/>
      <c r="H1322" s="527"/>
      <c r="I1322" s="527"/>
      <c r="J1322" s="527"/>
      <c r="K1322" s="527"/>
      <c r="L1322" s="527"/>
      <c r="M1322" s="527"/>
      <c r="N1322" s="527"/>
      <c r="O1322" s="528"/>
      <c r="P1322" s="527"/>
      <c r="Q1322" s="527"/>
      <c r="R1322" s="527"/>
      <c r="S1322" s="527"/>
      <c r="T1322" s="528"/>
      <c r="U1322" s="527"/>
      <c r="V1322" s="527"/>
    </row>
    <row r="1323" spans="1:22" x14ac:dyDescent="0.3">
      <c r="A1323" s="527"/>
      <c r="B1323" s="527"/>
      <c r="C1323" s="527"/>
      <c r="D1323" s="527"/>
      <c r="E1323" s="527"/>
      <c r="F1323" s="527"/>
      <c r="G1323" s="527"/>
      <c r="H1323" s="527"/>
      <c r="I1323" s="527"/>
      <c r="J1323" s="527"/>
      <c r="K1323" s="527"/>
      <c r="L1323" s="527"/>
      <c r="M1323" s="527"/>
      <c r="N1323" s="527"/>
      <c r="O1323" s="528"/>
      <c r="P1323" s="527"/>
      <c r="Q1323" s="527"/>
      <c r="R1323" s="527"/>
      <c r="S1323" s="527"/>
      <c r="T1323" s="528"/>
      <c r="U1323" s="527"/>
      <c r="V1323" s="527"/>
    </row>
    <row r="1324" spans="1:22" x14ac:dyDescent="0.3">
      <c r="A1324" s="527"/>
      <c r="B1324" s="527"/>
      <c r="C1324" s="527"/>
      <c r="D1324" s="527"/>
      <c r="E1324" s="527"/>
      <c r="F1324" s="527"/>
      <c r="G1324" s="527"/>
      <c r="H1324" s="527"/>
      <c r="I1324" s="527"/>
      <c r="J1324" s="527"/>
      <c r="K1324" s="527"/>
      <c r="L1324" s="527"/>
      <c r="M1324" s="527"/>
      <c r="N1324" s="527"/>
      <c r="O1324" s="528"/>
      <c r="P1324" s="527"/>
      <c r="Q1324" s="527"/>
      <c r="R1324" s="527"/>
      <c r="S1324" s="527"/>
      <c r="T1324" s="528"/>
      <c r="U1324" s="527"/>
      <c r="V1324" s="527"/>
    </row>
    <row r="1325" spans="1:22" x14ac:dyDescent="0.3">
      <c r="A1325" s="527"/>
      <c r="B1325" s="527"/>
      <c r="C1325" s="527"/>
      <c r="D1325" s="527"/>
      <c r="E1325" s="527"/>
      <c r="F1325" s="527"/>
      <c r="G1325" s="527"/>
      <c r="H1325" s="527"/>
      <c r="I1325" s="527"/>
      <c r="J1325" s="527"/>
      <c r="K1325" s="527"/>
      <c r="L1325" s="527"/>
      <c r="M1325" s="527"/>
      <c r="N1325" s="527"/>
      <c r="O1325" s="528"/>
      <c r="P1325" s="527"/>
      <c r="Q1325" s="527"/>
      <c r="R1325" s="527"/>
      <c r="S1325" s="527"/>
      <c r="T1325" s="528"/>
      <c r="U1325" s="527"/>
      <c r="V1325" s="527"/>
    </row>
    <row r="1326" spans="1:22" x14ac:dyDescent="0.3">
      <c r="A1326" s="527"/>
      <c r="B1326" s="527"/>
      <c r="C1326" s="527"/>
      <c r="D1326" s="527"/>
      <c r="E1326" s="527"/>
      <c r="F1326" s="527"/>
      <c r="G1326" s="527"/>
      <c r="H1326" s="527"/>
      <c r="I1326" s="527"/>
      <c r="J1326" s="527"/>
      <c r="K1326" s="527"/>
      <c r="L1326" s="527"/>
      <c r="M1326" s="527"/>
      <c r="N1326" s="527"/>
      <c r="O1326" s="528"/>
      <c r="P1326" s="527"/>
      <c r="Q1326" s="527"/>
      <c r="R1326" s="527"/>
      <c r="S1326" s="527"/>
      <c r="T1326" s="528"/>
      <c r="U1326" s="527"/>
      <c r="V1326" s="527"/>
    </row>
    <row r="1327" spans="1:22" x14ac:dyDescent="0.3">
      <c r="A1327" s="527"/>
      <c r="B1327" s="527"/>
      <c r="C1327" s="527"/>
      <c r="D1327" s="527"/>
      <c r="E1327" s="527"/>
      <c r="F1327" s="527"/>
      <c r="G1327" s="527"/>
      <c r="H1327" s="527"/>
      <c r="I1327" s="527"/>
      <c r="J1327" s="527"/>
      <c r="K1327" s="527"/>
      <c r="L1327" s="527"/>
      <c r="M1327" s="527"/>
      <c r="N1327" s="527"/>
      <c r="O1327" s="528"/>
      <c r="P1327" s="527"/>
      <c r="Q1327" s="527"/>
      <c r="R1327" s="527"/>
      <c r="S1327" s="527"/>
      <c r="T1327" s="528"/>
      <c r="U1327" s="527"/>
      <c r="V1327" s="527"/>
    </row>
    <row r="1328" spans="1:22" x14ac:dyDescent="0.3">
      <c r="A1328" s="527"/>
      <c r="B1328" s="527"/>
      <c r="C1328" s="527"/>
      <c r="D1328" s="527"/>
      <c r="E1328" s="527"/>
      <c r="F1328" s="527"/>
      <c r="G1328" s="527"/>
      <c r="H1328" s="527"/>
      <c r="I1328" s="527"/>
      <c r="J1328" s="527"/>
      <c r="K1328" s="527"/>
      <c r="L1328" s="527"/>
      <c r="M1328" s="527"/>
      <c r="N1328" s="527"/>
      <c r="O1328" s="528"/>
      <c r="P1328" s="527"/>
      <c r="Q1328" s="527"/>
      <c r="R1328" s="527"/>
      <c r="S1328" s="527"/>
      <c r="T1328" s="528"/>
      <c r="U1328" s="527"/>
      <c r="V1328" s="527"/>
    </row>
    <row r="1329" spans="1:22" x14ac:dyDescent="0.3">
      <c r="A1329" s="527"/>
      <c r="B1329" s="527"/>
      <c r="C1329" s="527"/>
      <c r="D1329" s="527"/>
      <c r="E1329" s="527"/>
      <c r="F1329" s="527"/>
      <c r="G1329" s="527"/>
      <c r="H1329" s="527"/>
      <c r="I1329" s="527"/>
      <c r="J1329" s="527"/>
      <c r="K1329" s="527"/>
      <c r="L1329" s="527"/>
      <c r="M1329" s="527"/>
      <c r="N1329" s="527"/>
      <c r="O1329" s="528"/>
      <c r="P1329" s="527"/>
      <c r="Q1329" s="527"/>
      <c r="R1329" s="527"/>
      <c r="S1329" s="527"/>
      <c r="T1329" s="528"/>
      <c r="U1329" s="527"/>
      <c r="V1329" s="527"/>
    </row>
    <row r="1330" spans="1:22" x14ac:dyDescent="0.3">
      <c r="A1330" s="527"/>
      <c r="B1330" s="527"/>
      <c r="C1330" s="527"/>
      <c r="D1330" s="527"/>
      <c r="E1330" s="527"/>
      <c r="F1330" s="527"/>
      <c r="G1330" s="527"/>
      <c r="H1330" s="527"/>
      <c r="I1330" s="527"/>
      <c r="J1330" s="527"/>
      <c r="K1330" s="527"/>
      <c r="L1330" s="527"/>
      <c r="M1330" s="527"/>
      <c r="N1330" s="527"/>
      <c r="O1330" s="528"/>
      <c r="P1330" s="527"/>
      <c r="Q1330" s="527"/>
      <c r="R1330" s="527"/>
      <c r="S1330" s="527"/>
      <c r="T1330" s="528"/>
      <c r="U1330" s="527"/>
      <c r="V1330" s="527"/>
    </row>
    <row r="1331" spans="1:22" x14ac:dyDescent="0.3">
      <c r="A1331" s="527"/>
      <c r="B1331" s="527"/>
      <c r="C1331" s="527"/>
      <c r="D1331" s="527"/>
      <c r="E1331" s="527"/>
      <c r="F1331" s="527"/>
      <c r="G1331" s="527"/>
      <c r="H1331" s="527"/>
      <c r="I1331" s="527"/>
      <c r="J1331" s="527"/>
      <c r="K1331" s="527"/>
      <c r="L1331" s="527"/>
      <c r="M1331" s="527"/>
      <c r="N1331" s="527"/>
      <c r="O1331" s="528"/>
      <c r="P1331" s="527"/>
      <c r="Q1331" s="527"/>
      <c r="R1331" s="527"/>
      <c r="S1331" s="527"/>
      <c r="T1331" s="528"/>
      <c r="U1331" s="527"/>
      <c r="V1331" s="527"/>
    </row>
    <row r="1332" spans="1:22" x14ac:dyDescent="0.3">
      <c r="A1332" s="527"/>
      <c r="B1332" s="527"/>
      <c r="C1332" s="527"/>
      <c r="D1332" s="527"/>
      <c r="E1332" s="527"/>
      <c r="F1332" s="527"/>
      <c r="G1332" s="527"/>
      <c r="H1332" s="527"/>
      <c r="I1332" s="527"/>
      <c r="J1332" s="527"/>
      <c r="K1332" s="527"/>
      <c r="L1332" s="527"/>
      <c r="M1332" s="527"/>
      <c r="N1332" s="527"/>
      <c r="O1332" s="528"/>
      <c r="P1332" s="527"/>
      <c r="Q1332" s="527"/>
      <c r="R1332" s="527"/>
      <c r="S1332" s="527"/>
      <c r="T1332" s="528"/>
      <c r="U1332" s="527"/>
      <c r="V1332" s="527"/>
    </row>
    <row r="1333" spans="1:22" x14ac:dyDescent="0.3">
      <c r="A1333" s="527"/>
      <c r="B1333" s="527"/>
      <c r="C1333" s="527"/>
      <c r="D1333" s="527"/>
      <c r="E1333" s="527"/>
      <c r="F1333" s="527"/>
      <c r="G1333" s="527"/>
      <c r="H1333" s="527"/>
      <c r="I1333" s="527"/>
      <c r="J1333" s="527"/>
      <c r="K1333" s="527"/>
      <c r="L1333" s="527"/>
      <c r="M1333" s="527"/>
      <c r="N1333" s="527"/>
      <c r="O1333" s="528"/>
      <c r="P1333" s="527"/>
      <c r="Q1333" s="527"/>
      <c r="R1333" s="527"/>
      <c r="S1333" s="527"/>
      <c r="T1333" s="528"/>
      <c r="U1333" s="527"/>
      <c r="V1333" s="527"/>
    </row>
    <row r="1334" spans="1:22" x14ac:dyDescent="0.3">
      <c r="A1334" s="527"/>
      <c r="B1334" s="527"/>
      <c r="C1334" s="527"/>
      <c r="D1334" s="527"/>
      <c r="E1334" s="527"/>
      <c r="F1334" s="527"/>
      <c r="G1334" s="527"/>
      <c r="H1334" s="527"/>
      <c r="I1334" s="527"/>
      <c r="J1334" s="527"/>
      <c r="K1334" s="527"/>
      <c r="L1334" s="527"/>
      <c r="M1334" s="527"/>
      <c r="N1334" s="527"/>
      <c r="O1334" s="528"/>
      <c r="P1334" s="527"/>
      <c r="Q1334" s="527"/>
      <c r="R1334" s="527"/>
      <c r="S1334" s="527"/>
      <c r="T1334" s="528"/>
      <c r="U1334" s="527"/>
      <c r="V1334" s="527"/>
    </row>
    <row r="1335" spans="1:22" x14ac:dyDescent="0.3">
      <c r="A1335" s="527"/>
      <c r="B1335" s="527"/>
      <c r="C1335" s="527"/>
      <c r="D1335" s="527"/>
      <c r="E1335" s="527"/>
      <c r="F1335" s="527"/>
      <c r="G1335" s="527"/>
      <c r="H1335" s="527"/>
      <c r="I1335" s="527"/>
      <c r="J1335" s="527"/>
      <c r="K1335" s="527"/>
      <c r="L1335" s="527"/>
      <c r="M1335" s="527"/>
      <c r="N1335" s="527"/>
      <c r="O1335" s="528"/>
      <c r="P1335" s="527"/>
      <c r="Q1335" s="527"/>
      <c r="R1335" s="527"/>
      <c r="S1335" s="527"/>
      <c r="T1335" s="528"/>
      <c r="U1335" s="527"/>
      <c r="V1335" s="527"/>
    </row>
    <row r="1336" spans="1:22" x14ac:dyDescent="0.3">
      <c r="A1336" s="527"/>
      <c r="B1336" s="527"/>
      <c r="C1336" s="527"/>
      <c r="D1336" s="527"/>
      <c r="E1336" s="527"/>
      <c r="F1336" s="527"/>
      <c r="G1336" s="527"/>
      <c r="H1336" s="527"/>
      <c r="I1336" s="527"/>
      <c r="J1336" s="527"/>
      <c r="K1336" s="527"/>
      <c r="L1336" s="527"/>
      <c r="M1336" s="527"/>
      <c r="N1336" s="527"/>
      <c r="O1336" s="528"/>
      <c r="P1336" s="527"/>
      <c r="Q1336" s="527"/>
      <c r="R1336" s="527"/>
      <c r="S1336" s="527"/>
      <c r="T1336" s="528"/>
      <c r="U1336" s="527"/>
      <c r="V1336" s="527"/>
    </row>
    <row r="1337" spans="1:22" x14ac:dyDescent="0.3">
      <c r="A1337" s="527"/>
      <c r="B1337" s="527"/>
      <c r="C1337" s="527"/>
      <c r="D1337" s="527"/>
      <c r="E1337" s="527"/>
      <c r="F1337" s="527"/>
      <c r="G1337" s="527"/>
      <c r="H1337" s="527"/>
      <c r="I1337" s="527"/>
      <c r="J1337" s="527"/>
      <c r="K1337" s="527"/>
      <c r="L1337" s="527"/>
      <c r="M1337" s="527"/>
      <c r="N1337" s="527"/>
      <c r="O1337" s="528"/>
      <c r="P1337" s="527"/>
      <c r="Q1337" s="527"/>
      <c r="R1337" s="527"/>
      <c r="S1337" s="527"/>
      <c r="T1337" s="528"/>
      <c r="U1337" s="527"/>
      <c r="V1337" s="527"/>
    </row>
    <row r="1338" spans="1:22" x14ac:dyDescent="0.3">
      <c r="A1338" s="527"/>
      <c r="B1338" s="527"/>
      <c r="C1338" s="527"/>
      <c r="D1338" s="527"/>
      <c r="E1338" s="527"/>
      <c r="F1338" s="527"/>
      <c r="G1338" s="527"/>
      <c r="H1338" s="527"/>
      <c r="I1338" s="527"/>
      <c r="J1338" s="527"/>
      <c r="K1338" s="527"/>
      <c r="L1338" s="527"/>
      <c r="M1338" s="527"/>
      <c r="N1338" s="527"/>
      <c r="O1338" s="528"/>
      <c r="P1338" s="527"/>
      <c r="Q1338" s="527"/>
      <c r="R1338" s="527"/>
      <c r="S1338" s="527"/>
      <c r="T1338" s="528"/>
      <c r="U1338" s="527"/>
      <c r="V1338" s="527"/>
    </row>
    <row r="1339" spans="1:22" x14ac:dyDescent="0.3">
      <c r="A1339" s="527"/>
      <c r="B1339" s="527"/>
      <c r="C1339" s="527"/>
      <c r="D1339" s="527"/>
      <c r="E1339" s="527"/>
      <c r="F1339" s="527"/>
      <c r="G1339" s="527"/>
      <c r="H1339" s="527"/>
      <c r="I1339" s="527"/>
      <c r="J1339" s="527"/>
      <c r="K1339" s="527"/>
      <c r="L1339" s="527"/>
      <c r="M1339" s="527"/>
      <c r="N1339" s="527"/>
      <c r="O1339" s="528"/>
      <c r="P1339" s="527"/>
      <c r="Q1339" s="527"/>
      <c r="R1339" s="527"/>
      <c r="S1339" s="527"/>
      <c r="T1339" s="528"/>
      <c r="U1339" s="527"/>
      <c r="V1339" s="527"/>
    </row>
    <row r="1340" spans="1:22" x14ac:dyDescent="0.3">
      <c r="A1340" s="527"/>
      <c r="B1340" s="527"/>
      <c r="C1340" s="527"/>
      <c r="D1340" s="527"/>
      <c r="E1340" s="527"/>
      <c r="F1340" s="527"/>
      <c r="G1340" s="527"/>
      <c r="H1340" s="527"/>
      <c r="I1340" s="527"/>
      <c r="J1340" s="527"/>
      <c r="K1340" s="527"/>
      <c r="L1340" s="527"/>
      <c r="M1340" s="527"/>
      <c r="N1340" s="527"/>
      <c r="O1340" s="528"/>
      <c r="P1340" s="527"/>
      <c r="Q1340" s="527"/>
      <c r="R1340" s="527"/>
      <c r="S1340" s="527"/>
      <c r="T1340" s="528"/>
      <c r="U1340" s="527"/>
      <c r="V1340" s="527"/>
    </row>
    <row r="1341" spans="1:22" x14ac:dyDescent="0.3">
      <c r="A1341" s="527"/>
      <c r="B1341" s="527"/>
      <c r="C1341" s="527"/>
      <c r="D1341" s="527"/>
      <c r="E1341" s="527"/>
      <c r="F1341" s="527"/>
      <c r="G1341" s="527"/>
      <c r="H1341" s="527"/>
      <c r="I1341" s="527"/>
      <c r="J1341" s="527"/>
      <c r="K1341" s="527"/>
      <c r="L1341" s="527"/>
      <c r="M1341" s="527"/>
      <c r="N1341" s="527"/>
      <c r="O1341" s="528"/>
      <c r="P1341" s="527"/>
      <c r="Q1341" s="527"/>
      <c r="R1341" s="527"/>
      <c r="S1341" s="527"/>
      <c r="T1341" s="528"/>
      <c r="U1341" s="527"/>
      <c r="V1341" s="527"/>
    </row>
    <row r="1342" spans="1:22" x14ac:dyDescent="0.3">
      <c r="A1342" s="527"/>
      <c r="B1342" s="527"/>
      <c r="C1342" s="527"/>
      <c r="D1342" s="527"/>
      <c r="E1342" s="527"/>
      <c r="F1342" s="527"/>
      <c r="G1342" s="527"/>
      <c r="H1342" s="527"/>
      <c r="I1342" s="527"/>
      <c r="J1342" s="527"/>
      <c r="K1342" s="527"/>
      <c r="L1342" s="527"/>
      <c r="M1342" s="527"/>
      <c r="N1342" s="527"/>
      <c r="O1342" s="528"/>
      <c r="P1342" s="527"/>
      <c r="Q1342" s="527"/>
      <c r="R1342" s="527"/>
      <c r="S1342" s="527"/>
      <c r="T1342" s="528"/>
      <c r="U1342" s="527"/>
      <c r="V1342" s="527"/>
    </row>
    <row r="1343" spans="1:22" x14ac:dyDescent="0.3">
      <c r="A1343" s="527"/>
      <c r="B1343" s="527"/>
      <c r="C1343" s="527"/>
      <c r="D1343" s="527"/>
      <c r="E1343" s="527"/>
      <c r="F1343" s="527"/>
      <c r="G1343" s="527"/>
      <c r="H1343" s="527"/>
      <c r="I1343" s="527"/>
      <c r="J1343" s="527"/>
      <c r="K1343" s="527"/>
      <c r="L1343" s="527"/>
      <c r="M1343" s="527"/>
      <c r="N1343" s="527"/>
      <c r="O1343" s="528"/>
      <c r="P1343" s="527"/>
      <c r="Q1343" s="527"/>
      <c r="R1343" s="527"/>
      <c r="S1343" s="527"/>
      <c r="T1343" s="528"/>
      <c r="U1343" s="527"/>
      <c r="V1343" s="527"/>
    </row>
    <row r="1344" spans="1:22" x14ac:dyDescent="0.3">
      <c r="A1344" s="527"/>
      <c r="B1344" s="527"/>
      <c r="C1344" s="527"/>
      <c r="D1344" s="527"/>
      <c r="E1344" s="527"/>
      <c r="F1344" s="527"/>
      <c r="G1344" s="527"/>
      <c r="H1344" s="527"/>
      <c r="I1344" s="527"/>
      <c r="J1344" s="527"/>
      <c r="K1344" s="527"/>
      <c r="L1344" s="527"/>
      <c r="M1344" s="527"/>
      <c r="N1344" s="527"/>
      <c r="O1344" s="528"/>
      <c r="P1344" s="527"/>
      <c r="Q1344" s="527"/>
      <c r="R1344" s="527"/>
      <c r="S1344" s="527"/>
      <c r="T1344" s="528"/>
      <c r="U1344" s="527"/>
      <c r="V1344" s="527"/>
    </row>
    <row r="1345" spans="1:22" x14ac:dyDescent="0.3">
      <c r="A1345" s="527"/>
      <c r="B1345" s="527"/>
      <c r="C1345" s="527"/>
      <c r="D1345" s="527"/>
      <c r="E1345" s="527"/>
      <c r="F1345" s="527"/>
      <c r="G1345" s="527"/>
      <c r="H1345" s="527"/>
      <c r="I1345" s="527"/>
      <c r="J1345" s="527"/>
      <c r="K1345" s="527"/>
      <c r="L1345" s="527"/>
      <c r="M1345" s="527"/>
      <c r="N1345" s="527"/>
      <c r="O1345" s="528"/>
      <c r="P1345" s="527"/>
      <c r="Q1345" s="527"/>
      <c r="R1345" s="527"/>
      <c r="S1345" s="527"/>
      <c r="T1345" s="528"/>
      <c r="U1345" s="527"/>
      <c r="V1345" s="527"/>
    </row>
    <row r="1346" spans="1:22" x14ac:dyDescent="0.3">
      <c r="A1346" s="527"/>
      <c r="B1346" s="527"/>
      <c r="C1346" s="527"/>
      <c r="D1346" s="527"/>
      <c r="E1346" s="527"/>
      <c r="F1346" s="527"/>
      <c r="G1346" s="527"/>
      <c r="H1346" s="527"/>
      <c r="I1346" s="527"/>
      <c r="J1346" s="527"/>
      <c r="K1346" s="527"/>
      <c r="L1346" s="527"/>
      <c r="M1346" s="527"/>
      <c r="N1346" s="527"/>
      <c r="O1346" s="528"/>
      <c r="P1346" s="527"/>
      <c r="Q1346" s="527"/>
      <c r="R1346" s="527"/>
      <c r="S1346" s="527"/>
      <c r="T1346" s="528"/>
      <c r="U1346" s="527"/>
      <c r="V1346" s="527"/>
    </row>
    <row r="1347" spans="1:22" x14ac:dyDescent="0.3">
      <c r="A1347" s="527"/>
      <c r="B1347" s="527"/>
      <c r="C1347" s="527"/>
      <c r="D1347" s="527"/>
      <c r="E1347" s="527"/>
      <c r="F1347" s="527"/>
      <c r="G1347" s="527"/>
      <c r="H1347" s="527"/>
      <c r="I1347" s="527"/>
      <c r="J1347" s="527"/>
      <c r="K1347" s="527"/>
      <c r="L1347" s="527"/>
      <c r="M1347" s="527"/>
      <c r="N1347" s="527"/>
      <c r="O1347" s="528"/>
      <c r="P1347" s="527"/>
      <c r="Q1347" s="527"/>
      <c r="R1347" s="527"/>
      <c r="S1347" s="527"/>
      <c r="T1347" s="528"/>
      <c r="U1347" s="527"/>
      <c r="V1347" s="527"/>
    </row>
  </sheetData>
  <sortState ref="A5:V204">
    <sortCondition ref="O4"/>
  </sortState>
  <mergeCells count="17"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  <hyperlink ref="P1065" r:id="rId2097" display="https://my.zakupivli.pro/remote/dispatcher/state_purchase_view/60193887" xr:uid="{88DF3559-A186-45C9-8C52-FD5AD4FAB459}"/>
    <hyperlink ref="P1066" r:id="rId2098" display="https://my.zakupivli.pro/remote/dispatcher/state_purchase_view/60193349" xr:uid="{67B8390F-CF82-4769-88D5-AD644BF060E9}"/>
    <hyperlink ref="P1067" r:id="rId2099" display="https://my.zakupivli.pro/remote/dispatcher/state_purchase_view/60193024" xr:uid="{AE66D6FF-3027-4DBD-90D7-D73172549EAB}"/>
    <hyperlink ref="P1068" r:id="rId2100" display="https://my.zakupivli.pro/remote/dispatcher/state_purchase_view/60168545" xr:uid="{0472C5BB-EF4E-47FA-AB2A-FDF28FC7697C}"/>
    <hyperlink ref="N1065" r:id="rId2101" xr:uid="{4CBBBDC6-5F9E-45F3-B34E-F61E3CC04E92}"/>
    <hyperlink ref="N1066" r:id="rId2102" xr:uid="{A2B10D18-5B08-444E-A96F-5B1DB7604591}"/>
    <hyperlink ref="N1067" r:id="rId2103" xr:uid="{6692C7AA-702B-40EF-957E-B0A16E4DE3EA}"/>
    <hyperlink ref="N1068" r:id="rId2104" xr:uid="{D25F2348-9F1D-4626-AD1F-867606D1BD44}"/>
    <hyperlink ref="P1069" r:id="rId2105" display="https://my.zakupivli.pro/remote/dispatcher/state_purchase_view/60216674" xr:uid="{08138C68-C3F8-4A0D-823A-2EB54A0F7185}"/>
    <hyperlink ref="P1070" r:id="rId2106" display="https://my.zakupivli.pro/remote/dispatcher/state_purchase_view/60216127" xr:uid="{ECA70A7A-7EEA-47BF-96D2-757DD27B39E4}"/>
    <hyperlink ref="P1071" r:id="rId2107" display="https://my.zakupivli.pro/remote/dispatcher/state_purchase_view/60215788" xr:uid="{1FFE6DC7-45B0-41D9-B364-AD7F4D1C8B81}"/>
    <hyperlink ref="P1072" r:id="rId2108" display="https://my.zakupivli.pro/remote/dispatcher/state_purchase_view/60215677" xr:uid="{1C3D697F-BEAA-4646-810F-479AB3F61A93}"/>
    <hyperlink ref="P1073" r:id="rId2109" display="https://my.zakupivli.pro/remote/dispatcher/state_purchase_view/60215472" xr:uid="{B6FACFDC-5634-4A4A-9DF8-C8E03920AE7E}"/>
    <hyperlink ref="P1074" r:id="rId2110" display="https://my.zakupivli.pro/remote/dispatcher/state_purchase_view/60215368" xr:uid="{5AF32B3E-727A-4861-A0D1-1B7A38E5F585}"/>
    <hyperlink ref="P1075" r:id="rId2111" display="https://my.zakupivli.pro/remote/dispatcher/state_purchase_view/60215232" xr:uid="{ACFB2F19-600C-4ABF-9A15-D0949BE8C5CA}"/>
    <hyperlink ref="N1069" r:id="rId2112" xr:uid="{B3E86E93-32BB-4AF8-BF30-373EB44E0FEF}"/>
    <hyperlink ref="N1070" r:id="rId2113" xr:uid="{CDBAAE52-139F-4272-8DF8-9AC171E0455D}"/>
    <hyperlink ref="N1071" r:id="rId2114" xr:uid="{B3B7DFFE-7626-444D-89FE-49BAD607711E}"/>
    <hyperlink ref="N1072" r:id="rId2115" xr:uid="{1A3E92C1-87CE-4191-9808-98C705048BFF}"/>
    <hyperlink ref="N1073" r:id="rId2116" xr:uid="{E19541D3-0297-45C2-9764-320FB4CE4954}"/>
    <hyperlink ref="N1074" r:id="rId2117" xr:uid="{BE74488E-CFE7-4AA7-822E-A72CD8A264B9}"/>
    <hyperlink ref="N1075" r:id="rId2118" xr:uid="{DD1D0A86-992A-4B85-B843-E5A9F615ED8A}"/>
    <hyperlink ref="P1076" r:id="rId2119" display="https://my.zakupivli.pro/remote/dispatcher/state_purchase_view/60238175" xr:uid="{D880D30B-82C3-47B8-98C3-ACC344EF1FAF}"/>
    <hyperlink ref="P1077" r:id="rId2120" display="https://my.zakupivli.pro/remote/dispatcher/state_purchase_view/60237997" xr:uid="{8C953132-58C7-4E1B-8F20-3F95595FB332}"/>
    <hyperlink ref="P1078" r:id="rId2121" display="https://my.zakupivli.pro/remote/dispatcher/state_purchase_view/60237708" xr:uid="{8D597DE9-4BAB-408C-84A0-099D800F4C50}"/>
    <hyperlink ref="P1079" r:id="rId2122" display="https://my.zakupivli.pro/remote/dispatcher/state_purchase_view/60237438" xr:uid="{ADE3681B-85FF-4263-BD28-917C017D2091}"/>
    <hyperlink ref="P1080" r:id="rId2123" display="https://my.zakupivli.pro/remote/dispatcher/state_purchase_view/60237216" xr:uid="{8A2ABA63-8BFB-4F5C-A608-B11933D87B51}"/>
    <hyperlink ref="N1076" r:id="rId2124" xr:uid="{CF68A155-27DD-4BBC-8B3F-CC8536226363}"/>
    <hyperlink ref="N1077" r:id="rId2125" xr:uid="{A03E9B72-92D6-48FF-8E8C-A1F9E9725A83}"/>
    <hyperlink ref="N1078" r:id="rId2126" xr:uid="{CB9CBA9B-45ED-405C-96FF-344E572E9F26}"/>
    <hyperlink ref="N1079" r:id="rId2127" xr:uid="{0D456215-54B7-4EE3-9375-344A2C3ED17F}"/>
    <hyperlink ref="N1080" r:id="rId2128" xr:uid="{0E52CF2E-112D-4AB7-B2A4-177ABB047C23}"/>
    <hyperlink ref="P1081" r:id="rId2129" display="https://my.zakupivli.pro/remote/dispatcher/state_purchase_view/60270749" xr:uid="{4BC0A4E2-BE36-4137-AE03-C90CDC023FA3}"/>
    <hyperlink ref="P1082" r:id="rId2130" display="https://my.zakupivli.pro/remote/dispatcher/state_purchase_view/60265394" xr:uid="{DFD0C527-8043-49B3-BCB2-EBEAA54E695F}"/>
    <hyperlink ref="P1083" r:id="rId2131" display="https://my.zakupivli.pro/remote/dispatcher/state_purchase_view/60263803" xr:uid="{D460BBC7-709C-4763-B556-6550EDF1BDBC}"/>
    <hyperlink ref="N1081" r:id="rId2132" xr:uid="{AD2679CC-F66C-4803-AAE2-3075DD4A0469}"/>
    <hyperlink ref="N1082" r:id="rId2133" xr:uid="{D067FC5F-BD94-42A4-AD6E-59049C1F7138}"/>
    <hyperlink ref="N1083" r:id="rId2134" xr:uid="{54119B9A-BCE9-4C81-9E28-A308D3B86587}"/>
    <hyperlink ref="P1084" r:id="rId2135" display="https://my.zakupivli.pro/remote/dispatcher/state_purchase_view/60294015" xr:uid="{442BFB73-D7D7-487C-AAF7-3F0A8BE6903D}"/>
    <hyperlink ref="P1085" r:id="rId2136" display="https://my.zakupivli.pro/remote/dispatcher/state_purchase_view/60293760" xr:uid="{84B52C2D-7C9B-4320-85B6-25A3FCD496B6}"/>
    <hyperlink ref="P1086" r:id="rId2137" display="https://my.zakupivli.pro/remote/dispatcher/state_purchase_view/60293316" xr:uid="{3C77B3BD-07B2-48BB-BB14-A52047E9FC71}"/>
    <hyperlink ref="P1087" r:id="rId2138" display="https://my.zakupivli.pro/remote/dispatcher/state_purchase_view/60293182" xr:uid="{D3DBD320-8618-4D3A-834F-B36AF01DD98F}"/>
    <hyperlink ref="P1088" r:id="rId2139" display="https://my.zakupivli.pro/remote/dispatcher/state_purchase_view/60292907" xr:uid="{53003FB4-7CF9-4943-8364-4D681CFB6D51}"/>
    <hyperlink ref="N1084" r:id="rId2140" xr:uid="{E2E8854F-C018-4214-967C-EEF2CA3D9633}"/>
    <hyperlink ref="N1085" r:id="rId2141" xr:uid="{DF83ECE9-FFA3-43D3-B2B2-CFDD68476DE7}"/>
    <hyperlink ref="N1086" r:id="rId2142" xr:uid="{52EEBD45-1D2F-472C-8C40-21D2614777EC}"/>
    <hyperlink ref="N1087" r:id="rId2143" xr:uid="{FEB45850-0DFE-4804-BB91-F4DB5F0AD82F}"/>
    <hyperlink ref="N1088" r:id="rId2144" xr:uid="{CA3FC48E-69FF-439B-B2E9-C2C24F3FEE76}"/>
    <hyperlink ref="P1089" r:id="rId2145" display="https://my.zakupivli.pro/remote/dispatcher/state_purchase_view/60342656" xr:uid="{40FB0B63-6DDC-45DD-A3FC-5615BF4D5E62}"/>
    <hyperlink ref="P1090" r:id="rId2146" display="https://my.zakupivli.pro/remote/dispatcher/state_purchase_view/60341421" xr:uid="{74B65979-C96B-439B-85E7-6C7F11FCCC73}"/>
    <hyperlink ref="P1091" r:id="rId2147" display="https://my.zakupivli.pro/remote/dispatcher/state_purchase_view/60340885" xr:uid="{6511EB41-AE6C-4BA2-801A-B7EBED80F75E}"/>
    <hyperlink ref="N1089" r:id="rId2148" xr:uid="{207F2E7C-91EF-425C-8CDD-577E1960D87B}"/>
    <hyperlink ref="N1090" r:id="rId2149" xr:uid="{F6D7C1D0-01DA-4C99-B382-B4390164F304}"/>
    <hyperlink ref="N1091" r:id="rId2150" xr:uid="{0E8F54C9-3E64-413D-B2D7-80782323EE04}"/>
  </hyperlinks>
  <pageMargins left="0.7" right="0.7" top="0.75" bottom="0.75" header="0.3" footer="0.3"/>
  <pageSetup paperSize="9" scale="34" orientation="landscape" r:id="rId21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2025-06-25T13:16:22Z</dcterms:modified>
</cp:coreProperties>
</file>