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showInkAnnotation="0" defaultThemeVersion="124226"/>
  <xr:revisionPtr revIDLastSave="0" documentId="13_ncr:1_{99EDEFA1-2164-4FF3-840D-7FE3853844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Лист1!$A$4:$V$106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710" i="1" l="1"/>
  <c r="P709" i="1" l="1"/>
  <c r="P708" i="1"/>
  <c r="P707" i="1"/>
  <c r="P706" i="1"/>
  <c r="P705" i="1" l="1"/>
  <c r="P704" i="1" l="1"/>
  <c r="P703" i="1"/>
  <c r="P702" i="1" l="1"/>
  <c r="P701" i="1" l="1"/>
  <c r="P700" i="1"/>
  <c r="P699" i="1" l="1"/>
  <c r="P698" i="1"/>
  <c r="P697" i="1" l="1"/>
  <c r="P696" i="1"/>
  <c r="P695" i="1"/>
  <c r="P694" i="1"/>
  <c r="P693" i="1"/>
  <c r="P692" i="1"/>
  <c r="P691" i="1" l="1"/>
  <c r="P690" i="1"/>
  <c r="P689" i="1"/>
  <c r="P688" i="1"/>
  <c r="P687" i="1"/>
  <c r="P686" i="1" l="1"/>
  <c r="P685" i="1"/>
  <c r="P684" i="1" l="1"/>
  <c r="P683" i="1"/>
  <c r="P682" i="1"/>
  <c r="P681" i="1"/>
  <c r="P680" i="1" l="1"/>
  <c r="P679" i="1"/>
  <c r="P678" i="1" l="1"/>
  <c r="P677" i="1" l="1"/>
  <c r="P676" i="1" l="1"/>
  <c r="P675" i="1"/>
  <c r="P674" i="1" l="1"/>
  <c r="P673" i="1" l="1"/>
  <c r="P672" i="1" l="1"/>
  <c r="P671" i="1"/>
  <c r="P670" i="1" l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 l="1"/>
  <c r="P649" i="1"/>
  <c r="P648" i="1"/>
  <c r="P647" i="1"/>
  <c r="P646" i="1" l="1"/>
  <c r="P645" i="1"/>
  <c r="P644" i="1"/>
  <c r="P643" i="1" l="1"/>
  <c r="P642" i="1"/>
  <c r="P641" i="1"/>
  <c r="P640" i="1"/>
  <c r="P639" i="1" l="1"/>
  <c r="P638" i="1" l="1"/>
  <c r="P637" i="1" l="1"/>
  <c r="P636" i="1"/>
  <c r="P635" i="1"/>
  <c r="P634" i="1"/>
  <c r="P633" i="1"/>
  <c r="P632" i="1" l="1"/>
  <c r="P631" i="1"/>
  <c r="P630" i="1"/>
  <c r="P629" i="1"/>
  <c r="P628" i="1" l="1"/>
  <c r="P627" i="1"/>
  <c r="P626" i="1" l="1"/>
  <c r="P625" i="1"/>
  <c r="P624" i="1"/>
  <c r="P623" i="1"/>
  <c r="P622" i="1"/>
  <c r="P621" i="1" l="1"/>
  <c r="P620" i="1"/>
  <c r="P619" i="1" l="1"/>
  <c r="P618" i="1" l="1"/>
  <c r="P617" i="1"/>
  <c r="P616" i="1"/>
  <c r="P615" i="1" l="1"/>
  <c r="P614" i="1" l="1"/>
  <c r="P613" i="1"/>
  <c r="P612" i="1" l="1"/>
  <c r="P611" i="1"/>
  <c r="P610" i="1" l="1"/>
  <c r="P609" i="1" l="1"/>
  <c r="P608" i="1" l="1"/>
  <c r="P607" i="1" l="1"/>
  <c r="P606" i="1"/>
  <c r="P605" i="1"/>
  <c r="P604" i="1"/>
  <c r="P603" i="1"/>
  <c r="P602" i="1"/>
  <c r="P601" i="1"/>
  <c r="P600" i="1"/>
  <c r="P599" i="1" l="1"/>
  <c r="P598" i="1"/>
  <c r="P597" i="1"/>
  <c r="P596" i="1" l="1"/>
  <c r="P595" i="1" l="1"/>
  <c r="P594" i="1"/>
  <c r="P593" i="1" l="1"/>
  <c r="P592" i="1" l="1"/>
  <c r="P591" i="1"/>
  <c r="P590" i="1" l="1"/>
  <c r="P589" i="1" l="1"/>
  <c r="P588" i="1"/>
  <c r="P587" i="1" l="1"/>
  <c r="P586" i="1" l="1"/>
  <c r="P585" i="1" l="1"/>
  <c r="P584" i="1"/>
  <c r="P583" i="1" l="1"/>
  <c r="P582" i="1"/>
  <c r="P581" i="1" l="1"/>
  <c r="P580" i="1"/>
  <c r="P579" i="1"/>
  <c r="P578" i="1"/>
  <c r="P577" i="1"/>
  <c r="P576" i="1"/>
  <c r="P575" i="1"/>
  <c r="P574" i="1" l="1"/>
  <c r="P573" i="1"/>
  <c r="P572" i="1"/>
  <c r="P571" i="1" l="1"/>
  <c r="P570" i="1" l="1"/>
  <c r="P569" i="1" l="1"/>
  <c r="P568" i="1" l="1"/>
  <c r="P567" i="1" l="1"/>
  <c r="P566" i="1" l="1"/>
  <c r="P565" i="1" l="1"/>
  <c r="P564" i="1"/>
  <c r="P563" i="1"/>
  <c r="P562" i="1"/>
  <c r="P561" i="1"/>
  <c r="P560" i="1" l="1"/>
  <c r="P559" i="1"/>
  <c r="P558" i="1" l="1"/>
  <c r="P557" i="1"/>
  <c r="P556" i="1" l="1"/>
  <c r="P555" i="1" l="1"/>
  <c r="P554" i="1" l="1"/>
  <c r="P553" i="1"/>
  <c r="P552" i="1"/>
  <c r="P551" i="1" l="1"/>
  <c r="P549" i="1" l="1"/>
  <c r="P548" i="1" l="1"/>
  <c r="P547" i="1"/>
  <c r="P546" i="1"/>
  <c r="P545" i="1" l="1"/>
  <c r="P544" i="1" l="1"/>
  <c r="P543" i="1" l="1"/>
  <c r="P542" i="1" l="1"/>
  <c r="P541" i="1"/>
  <c r="P540" i="1" l="1"/>
  <c r="P539" i="1"/>
  <c r="P538" i="1"/>
  <c r="P537" i="1"/>
  <c r="P536" i="1"/>
  <c r="P535" i="1" l="1"/>
  <c r="P534" i="1" l="1"/>
  <c r="P533" i="1" l="1"/>
  <c r="P532" i="1" l="1"/>
  <c r="P531" i="1"/>
  <c r="P530" i="1"/>
  <c r="P529" i="1"/>
  <c r="P528" i="1"/>
  <c r="P527" i="1"/>
  <c r="P526" i="1"/>
  <c r="P525" i="1"/>
  <c r="P524" i="1"/>
  <c r="P523" i="1" l="1"/>
  <c r="P522" i="1"/>
  <c r="P521" i="1"/>
  <c r="P520" i="1"/>
  <c r="P519" i="1"/>
  <c r="P518" i="1"/>
  <c r="P517" i="1" l="1"/>
  <c r="P516" i="1" l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 l="1"/>
  <c r="P500" i="1" l="1"/>
  <c r="P499" i="1" l="1"/>
  <c r="P498" i="1" l="1"/>
  <c r="P497" i="1"/>
  <c r="P496" i="1"/>
  <c r="P495" i="1" l="1"/>
  <c r="P494" i="1"/>
  <c r="P493" i="1"/>
  <c r="P492" i="1"/>
  <c r="P491" i="1" l="1"/>
  <c r="P490" i="1" l="1"/>
  <c r="P489" i="1"/>
  <c r="P488" i="1"/>
  <c r="P487" i="1"/>
  <c r="P486" i="1"/>
  <c r="P485" i="1"/>
  <c r="P484" i="1"/>
  <c r="P483" i="1" l="1"/>
  <c r="P482" i="1"/>
  <c r="P481" i="1"/>
  <c r="P480" i="1"/>
  <c r="P479" i="1" l="1"/>
  <c r="P478" i="1"/>
  <c r="P477" i="1" l="1"/>
  <c r="P476" i="1"/>
  <c r="P475" i="1" l="1"/>
  <c r="P474" i="1"/>
  <c r="P473" i="1"/>
  <c r="P472" i="1" l="1"/>
  <c r="P471" i="1"/>
  <c r="P470" i="1"/>
  <c r="P469" i="1"/>
  <c r="P468" i="1"/>
  <c r="P467" i="1"/>
  <c r="P466" i="1"/>
  <c r="P465" i="1" l="1"/>
  <c r="P464" i="1"/>
  <c r="P463" i="1" l="1"/>
  <c r="P462" i="1" l="1"/>
  <c r="P461" i="1"/>
  <c r="P460" i="1"/>
  <c r="P459" i="1"/>
  <c r="P458" i="1" l="1"/>
  <c r="P457" i="1" l="1"/>
  <c r="P456" i="1"/>
  <c r="P455" i="1" l="1"/>
  <c r="P454" i="1"/>
  <c r="P453" i="1" l="1"/>
  <c r="P452" i="1" l="1"/>
  <c r="P451" i="1"/>
  <c r="P450" i="1"/>
  <c r="P449" i="1"/>
  <c r="P448" i="1"/>
  <c r="P447" i="1"/>
  <c r="P446" i="1"/>
  <c r="P445" i="1" l="1"/>
  <c r="P444" i="1"/>
  <c r="P443" i="1"/>
  <c r="P442" i="1" l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 l="1"/>
  <c r="P425" i="1" l="1"/>
  <c r="P424" i="1"/>
  <c r="P423" i="1"/>
  <c r="P422" i="1" l="1"/>
  <c r="P421" i="1"/>
  <c r="P420" i="1"/>
  <c r="P419" i="1"/>
  <c r="P418" i="1" l="1"/>
  <c r="P417" i="1"/>
  <c r="P416" i="1"/>
  <c r="P415" i="1"/>
  <c r="P414" i="1"/>
  <c r="P413" i="1"/>
  <c r="P412" i="1"/>
  <c r="P411" i="1"/>
  <c r="P410" i="1"/>
  <c r="P409" i="1" l="1"/>
  <c r="P408" i="1"/>
  <c r="P407" i="1"/>
  <c r="P406" i="1" l="1"/>
  <c r="P405" i="1"/>
  <c r="P404" i="1"/>
  <c r="P403" i="1"/>
  <c r="P402" i="1"/>
  <c r="P401" i="1"/>
  <c r="P400" i="1"/>
  <c r="P399" i="1" l="1"/>
  <c r="P398" i="1"/>
  <c r="P397" i="1"/>
  <c r="P396" i="1"/>
  <c r="P395" i="1"/>
  <c r="P394" i="1"/>
  <c r="P393" i="1"/>
  <c r="P392" i="1" l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 l="1"/>
  <c r="P365" i="1"/>
  <c r="P364" i="1"/>
  <c r="P363" i="1"/>
  <c r="P362" i="1"/>
  <c r="P361" i="1" l="1"/>
  <c r="P360" i="1"/>
  <c r="P359" i="1"/>
  <c r="P358" i="1"/>
  <c r="P357" i="1"/>
  <c r="P356" i="1"/>
  <c r="P355" i="1"/>
  <c r="P354" i="1"/>
  <c r="P353" i="1"/>
  <c r="P352" i="1"/>
  <c r="P351" i="1" l="1"/>
  <c r="P350" i="1" l="1"/>
  <c r="P349" i="1"/>
  <c r="P348" i="1"/>
  <c r="P347" i="1"/>
  <c r="P346" i="1"/>
  <c r="P345" i="1"/>
  <c r="P344" i="1"/>
  <c r="P343" i="1"/>
  <c r="P342" i="1" l="1"/>
  <c r="P341" i="1"/>
  <c r="P340" i="1"/>
  <c r="P339" i="1"/>
  <c r="P338" i="1" l="1"/>
  <c r="P337" i="1" l="1"/>
  <c r="P336" i="1"/>
  <c r="P335" i="1"/>
  <c r="P334" i="1"/>
  <c r="P333" i="1"/>
  <c r="P332" i="1"/>
  <c r="P331" i="1" l="1"/>
  <c r="P330" i="1"/>
  <c r="P329" i="1"/>
  <c r="P328" i="1"/>
  <c r="P327" i="1" l="1"/>
  <c r="P326" i="1"/>
  <c r="P325" i="1"/>
  <c r="P324" i="1"/>
  <c r="P323" i="1"/>
  <c r="P322" i="1"/>
  <c r="P321" i="1"/>
  <c r="P320" i="1"/>
  <c r="P319" i="1"/>
  <c r="P318" i="1"/>
  <c r="P317" i="1"/>
  <c r="P316" i="1" l="1"/>
  <c r="P315" i="1"/>
  <c r="P314" i="1"/>
  <c r="P313" i="1" l="1"/>
  <c r="P312" i="1"/>
  <c r="P311" i="1" l="1"/>
  <c r="P310" i="1"/>
  <c r="P309" i="1"/>
  <c r="P308" i="1" l="1"/>
  <c r="P307" i="1"/>
  <c r="P306" i="1"/>
  <c r="P305" i="1"/>
  <c r="P304" i="1"/>
  <c r="P303" i="1"/>
  <c r="P302" i="1"/>
  <c r="P301" i="1"/>
  <c r="P300" i="1" l="1"/>
  <c r="P299" i="1"/>
  <c r="P298" i="1"/>
  <c r="P297" i="1"/>
  <c r="P296" i="1"/>
  <c r="P295" i="1"/>
  <c r="P294" i="1"/>
  <c r="P293" i="1"/>
  <c r="P292" i="1"/>
  <c r="P291" i="1"/>
  <c r="P290" i="1"/>
  <c r="P289" i="1"/>
  <c r="P288" i="1" l="1"/>
  <c r="P287" i="1"/>
  <c r="P286" i="1"/>
  <c r="P285" i="1" l="1"/>
  <c r="P284" i="1"/>
  <c r="P283" i="1"/>
  <c r="P282" i="1"/>
  <c r="P281" i="1"/>
  <c r="P280" i="1"/>
  <c r="P279" i="1"/>
  <c r="P278" i="1"/>
  <c r="P277" i="1" l="1"/>
  <c r="P276" i="1"/>
  <c r="P275" i="1"/>
  <c r="P274" i="1"/>
  <c r="P273" i="1" l="1"/>
  <c r="P272" i="1" l="1"/>
  <c r="P271" i="1"/>
  <c r="P270" i="1" l="1"/>
  <c r="P269" i="1"/>
  <c r="P268" i="1"/>
  <c r="P267" i="1" l="1"/>
  <c r="P266" i="1" l="1"/>
  <c r="P265" i="1" l="1"/>
  <c r="P264" i="1"/>
  <c r="P263" i="1" l="1"/>
  <c r="P262" i="1"/>
  <c r="P261" i="1"/>
  <c r="P260" i="1"/>
  <c r="P259" i="1" l="1"/>
  <c r="P257" i="1" l="1"/>
  <c r="P258" i="1"/>
  <c r="P255" i="1" l="1"/>
  <c r="P254" i="1"/>
  <c r="P253" i="1"/>
  <c r="P252" i="1"/>
  <c r="P251" i="1" l="1"/>
  <c r="P250" i="1"/>
  <c r="P249" i="1"/>
  <c r="P248" i="1"/>
  <c r="P247" i="1"/>
  <c r="P246" i="1"/>
  <c r="P245" i="1"/>
  <c r="P244" i="1" l="1"/>
  <c r="P243" i="1"/>
  <c r="Q230" i="1" l="1"/>
  <c r="P241" i="1"/>
  <c r="J241" i="1"/>
  <c r="P240" i="1"/>
  <c r="P239" i="1"/>
  <c r="P238" i="1"/>
  <c r="P237" i="1"/>
  <c r="P236" i="1"/>
  <c r="M242" i="1"/>
  <c r="K242" i="1"/>
  <c r="J242" i="1"/>
  <c r="H242" i="1"/>
  <c r="P242" i="1"/>
  <c r="P235" i="1" l="1"/>
  <c r="P234" i="1"/>
  <c r="P233" i="1"/>
  <c r="P232" i="1"/>
  <c r="P231" i="1"/>
  <c r="P230" i="1" l="1"/>
  <c r="P229" i="1"/>
  <c r="P228" i="1"/>
  <c r="P227" i="1"/>
  <c r="P226" i="1"/>
  <c r="P225" i="1"/>
  <c r="P224" i="1"/>
  <c r="P223" i="1"/>
  <c r="P222" i="1"/>
  <c r="P221" i="1"/>
  <c r="P220" i="1"/>
  <c r="S212" i="1" l="1"/>
  <c r="S211" i="1"/>
  <c r="S210" i="1"/>
  <c r="S209" i="1"/>
  <c r="S206" i="1"/>
  <c r="S205" i="1"/>
  <c r="Q212" i="1"/>
  <c r="Q211" i="1"/>
  <c r="Q210" i="1"/>
  <c r="Q209" i="1"/>
  <c r="Q206" i="1"/>
  <c r="Q205" i="1"/>
  <c r="P217" i="1"/>
  <c r="P216" i="1"/>
  <c r="P219" i="1"/>
  <c r="P218" i="1"/>
  <c r="P215" i="1"/>
  <c r="P214" i="1"/>
  <c r="P213" i="1"/>
  <c r="P212" i="1"/>
  <c r="P211" i="1"/>
  <c r="P210" i="1"/>
  <c r="P209" i="1"/>
  <c r="P208" i="1"/>
  <c r="P207" i="1"/>
  <c r="P206" i="1"/>
  <c r="P205" i="1"/>
  <c r="P204" i="1" l="1"/>
  <c r="P203" i="1"/>
  <c r="P202" i="1"/>
  <c r="P201" i="1"/>
  <c r="P200" i="1"/>
  <c r="P199" i="1"/>
  <c r="S198" i="1" l="1"/>
  <c r="Q198" i="1"/>
  <c r="S197" i="1"/>
  <c r="Q197" i="1"/>
  <c r="M198" i="1"/>
  <c r="K198" i="1"/>
  <c r="M197" i="1"/>
  <c r="K197" i="1"/>
  <c r="J198" i="1"/>
  <c r="J197" i="1"/>
  <c r="H198" i="1"/>
  <c r="H197" i="1"/>
  <c r="P198" i="1"/>
  <c r="P197" i="1"/>
  <c r="P196" i="1" l="1"/>
  <c r="P195" i="1"/>
  <c r="P194" i="1"/>
  <c r="P193" i="1"/>
  <c r="P192" i="1"/>
  <c r="P191" i="1"/>
  <c r="P190" i="1"/>
  <c r="P189" i="1"/>
  <c r="P188" i="1"/>
  <c r="S174" i="1" l="1"/>
  <c r="P187" i="1" l="1"/>
  <c r="P186" i="1"/>
  <c r="P185" i="1"/>
  <c r="P184" i="1"/>
  <c r="P183" i="1"/>
  <c r="P182" i="1"/>
  <c r="P181" i="1"/>
  <c r="P180" i="1"/>
  <c r="P179" i="1"/>
  <c r="P177" i="1" l="1"/>
  <c r="P176" i="1"/>
  <c r="P175" i="1"/>
  <c r="Q160" i="1" l="1"/>
  <c r="S160" i="1"/>
  <c r="M174" i="1"/>
  <c r="S173" i="1"/>
  <c r="Q173" i="1"/>
  <c r="S172" i="1"/>
  <c r="Q172" i="1"/>
  <c r="M173" i="1"/>
  <c r="K173" i="1"/>
  <c r="M172" i="1"/>
  <c r="K172" i="1"/>
  <c r="H173" i="1"/>
  <c r="H172" i="1"/>
  <c r="J174" i="1"/>
  <c r="J173" i="1"/>
  <c r="J172" i="1"/>
  <c r="P174" i="1"/>
  <c r="P173" i="1"/>
  <c r="P172" i="1"/>
  <c r="S154" i="1" l="1"/>
  <c r="S123" i="1" l="1"/>
  <c r="P171" i="1" l="1"/>
  <c r="P170" i="1"/>
  <c r="P169" i="1"/>
  <c r="P168" i="1"/>
  <c r="P167" i="1"/>
  <c r="P166" i="1"/>
  <c r="P165" i="1"/>
  <c r="P164" i="1"/>
  <c r="P163" i="1"/>
  <c r="P162" i="1"/>
  <c r="P161" i="1"/>
  <c r="M160" i="1" l="1"/>
  <c r="K160" i="1"/>
  <c r="J160" i="1"/>
  <c r="H160" i="1"/>
  <c r="P72" i="1" l="1"/>
  <c r="P61" i="1"/>
  <c r="P154" i="1"/>
  <c r="P153" i="1"/>
  <c r="P151" i="1"/>
  <c r="P150" i="1"/>
  <c r="P149" i="1"/>
  <c r="P152" i="1"/>
  <c r="P148" i="1"/>
  <c r="P147" i="1"/>
  <c r="P159" i="1"/>
  <c r="P158" i="1"/>
  <c r="P157" i="1"/>
  <c r="P156" i="1"/>
  <c r="P155" i="1"/>
  <c r="S104" i="1" l="1"/>
  <c r="P146" i="1" l="1"/>
  <c r="P145" i="1"/>
  <c r="P144" i="1"/>
  <c r="P143" i="1"/>
  <c r="P142" i="1"/>
  <c r="P141" i="1"/>
  <c r="P140" i="1"/>
  <c r="M130" i="1" l="1"/>
  <c r="K130" i="1"/>
  <c r="J130" i="1"/>
  <c r="H130" i="1"/>
  <c r="Q130" i="1"/>
  <c r="S130" i="1"/>
  <c r="S139" i="1" l="1"/>
  <c r="Q139" i="1"/>
  <c r="M139" i="1"/>
  <c r="K139" i="1"/>
  <c r="H139" i="1"/>
  <c r="J139" i="1"/>
  <c r="P138" i="1" l="1"/>
  <c r="P137" i="1"/>
  <c r="P136" i="1"/>
  <c r="P135" i="1"/>
  <c r="P134" i="1"/>
  <c r="P133" i="1"/>
  <c r="P132" i="1"/>
  <c r="P131" i="1"/>
  <c r="S129" i="1" l="1"/>
  <c r="Q129" i="1"/>
  <c r="M129" i="1"/>
  <c r="K129" i="1"/>
  <c r="J129" i="1"/>
  <c r="H129" i="1"/>
  <c r="M128" i="1"/>
  <c r="K128" i="1"/>
  <c r="H128" i="1"/>
  <c r="J128" i="1"/>
  <c r="Q128" i="1"/>
  <c r="S128" i="1"/>
  <c r="P127" i="1" l="1"/>
  <c r="P126" i="1"/>
  <c r="P125" i="1"/>
  <c r="P124" i="1" l="1"/>
  <c r="P123" i="1"/>
  <c r="P122" i="1"/>
  <c r="P121" i="1"/>
  <c r="P120" i="1"/>
  <c r="P119" i="1"/>
  <c r="P118" i="1"/>
  <c r="P117" i="1"/>
  <c r="P116" i="1"/>
  <c r="P115" i="1"/>
  <c r="Q108" i="1"/>
  <c r="S108" i="1"/>
  <c r="M104" i="1"/>
  <c r="M103" i="1"/>
  <c r="S102" i="1"/>
  <c r="M102" i="1"/>
  <c r="P86" i="1"/>
  <c r="Q85" i="1"/>
  <c r="S85" i="1"/>
  <c r="Q84" i="1"/>
  <c r="S84" i="1"/>
  <c r="Q83" i="1"/>
  <c r="S83" i="1"/>
  <c r="Q82" i="1"/>
  <c r="S82" i="1"/>
  <c r="Q81" i="1"/>
  <c r="S81" i="1"/>
  <c r="P81" i="1"/>
  <c r="Q80" i="1"/>
  <c r="S80" i="1"/>
  <c r="Q79" i="1"/>
  <c r="S79" i="1"/>
  <c r="Q78" i="1"/>
  <c r="S78" i="1"/>
  <c r="Q77" i="1"/>
  <c r="S77" i="1"/>
  <c r="Q76" i="1"/>
  <c r="S76" i="1"/>
  <c r="P76" i="1"/>
  <c r="Q75" i="1"/>
  <c r="S75" i="1"/>
  <c r="Q74" i="1"/>
  <c r="P75" i="1"/>
  <c r="S74" i="1"/>
  <c r="Q73" i="1"/>
  <c r="S73" i="1"/>
  <c r="Q72" i="1"/>
  <c r="S72" i="1"/>
  <c r="Q71" i="1"/>
  <c r="S71" i="1"/>
  <c r="Q70" i="1"/>
  <c r="S70" i="1"/>
  <c r="P70" i="1"/>
  <c r="Q69" i="1"/>
  <c r="S69" i="1"/>
  <c r="Q68" i="1"/>
  <c r="S68" i="1"/>
  <c r="Q67" i="1"/>
  <c r="S67" i="1"/>
  <c r="S66" i="1" l="1"/>
  <c r="M66" i="1"/>
  <c r="S65" i="1"/>
  <c r="M65" i="1"/>
  <c r="S64" i="1"/>
  <c r="Q64" i="1"/>
  <c r="S63" i="1"/>
  <c r="Q63" i="1"/>
  <c r="S62" i="1"/>
  <c r="Q62" i="1"/>
  <c r="P62" i="1"/>
  <c r="S61" i="1"/>
  <c r="Q61" i="1"/>
  <c r="S60" i="1"/>
  <c r="Q60" i="1"/>
  <c r="S59" i="1"/>
  <c r="Q59" i="1"/>
  <c r="Q58" i="1"/>
  <c r="S58" i="1"/>
  <c r="M57" i="1"/>
  <c r="S56" i="1"/>
  <c r="M56" i="1"/>
  <c r="S55" i="1"/>
  <c r="P107" i="1" l="1"/>
  <c r="P114" i="1"/>
  <c r="P113" i="1"/>
  <c r="P112" i="1"/>
  <c r="P111" i="1"/>
  <c r="P110" i="1"/>
  <c r="P109" i="1"/>
  <c r="P108" i="1"/>
  <c r="M108" i="1"/>
  <c r="J108" i="1"/>
  <c r="S53" i="1" l="1"/>
  <c r="S41" i="1" l="1"/>
  <c r="M49" i="1"/>
  <c r="K49" i="1"/>
  <c r="H49" i="1"/>
  <c r="S28" i="1"/>
  <c r="Q28" i="1"/>
  <c r="M28" i="1"/>
  <c r="K28" i="1"/>
  <c r="H28" i="1"/>
  <c r="J28" i="1"/>
  <c r="S27" i="1"/>
  <c r="Q27" i="1"/>
  <c r="M27" i="1"/>
  <c r="K27" i="1"/>
  <c r="H27" i="1"/>
  <c r="J2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5" i="1"/>
  <c r="P84" i="1"/>
  <c r="P83" i="1"/>
  <c r="P82" i="1"/>
  <c r="P80" i="1"/>
  <c r="P79" i="1"/>
  <c r="P78" i="1"/>
  <c r="P77" i="1"/>
  <c r="P74" i="1"/>
  <c r="P73" i="1"/>
  <c r="P71" i="1"/>
  <c r="P69" i="1"/>
  <c r="P68" i="1"/>
  <c r="P67" i="1"/>
  <c r="P66" i="1"/>
  <c r="P65" i="1"/>
  <c r="P64" i="1"/>
  <c r="P63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S26" i="1"/>
  <c r="P26" i="1"/>
  <c r="M26" i="1"/>
  <c r="K26" i="1"/>
  <c r="J26" i="1"/>
  <c r="M25" i="1"/>
  <c r="K25" i="1"/>
  <c r="J25" i="1"/>
  <c r="S24" i="1"/>
  <c r="P24" i="1"/>
  <c r="M24" i="1"/>
  <c r="K24" i="1"/>
  <c r="J24" i="1"/>
  <c r="S23" i="1"/>
  <c r="S22" i="1"/>
  <c r="S21" i="1"/>
  <c r="S20" i="1"/>
  <c r="Q23" i="1"/>
  <c r="Q22" i="1"/>
  <c r="Q21" i="1"/>
  <c r="Q20" i="1"/>
  <c r="M23" i="1"/>
  <c r="M22" i="1"/>
  <c r="M21" i="1"/>
  <c r="M20" i="1"/>
  <c r="K23" i="1"/>
  <c r="K22" i="1"/>
  <c r="K21" i="1"/>
  <c r="K20" i="1"/>
  <c r="J23" i="1"/>
  <c r="J22" i="1"/>
  <c r="J21" i="1"/>
  <c r="J20" i="1"/>
  <c r="H23" i="1"/>
  <c r="H22" i="1"/>
  <c r="H21" i="1"/>
  <c r="H20" i="1"/>
  <c r="P23" i="1"/>
  <c r="P22" i="1"/>
  <c r="P21" i="1"/>
  <c r="P20" i="1"/>
  <c r="S19" i="1"/>
  <c r="Q19" i="1"/>
  <c r="P19" i="1"/>
  <c r="M19" i="1"/>
  <c r="K19" i="1"/>
  <c r="J19" i="1"/>
  <c r="H19" i="1"/>
  <c r="S18" i="1"/>
  <c r="Q18" i="1"/>
  <c r="P18" i="1"/>
  <c r="M18" i="1"/>
  <c r="K18" i="1"/>
  <c r="J18" i="1"/>
  <c r="H18" i="1"/>
  <c r="Q5" i="1" l="1"/>
  <c r="S5" i="1"/>
  <c r="S7" i="1" l="1"/>
  <c r="S14" i="1" l="1"/>
  <c r="Q14" i="1"/>
  <c r="S10" i="1"/>
  <c r="Q10" i="1"/>
  <c r="S9" i="1"/>
  <c r="Q9" i="1"/>
  <c r="M10" i="1"/>
  <c r="J10" i="1"/>
  <c r="M9" i="1"/>
  <c r="J9" i="1"/>
  <c r="S13" i="1"/>
  <c r="Q13" i="1"/>
  <c r="S16" i="1"/>
  <c r="M16" i="1"/>
  <c r="J16" i="1"/>
  <c r="S15" i="1"/>
  <c r="Q15" i="1"/>
  <c r="M15" i="1"/>
  <c r="K15" i="1"/>
  <c r="J15" i="1"/>
  <c r="H15" i="1"/>
  <c r="M14" i="1" l="1"/>
  <c r="K14" i="1"/>
  <c r="J14" i="1"/>
  <c r="H14" i="1"/>
  <c r="Q7" i="1" l="1"/>
  <c r="S6" i="1"/>
  <c r="Q6" i="1"/>
  <c r="M13" i="1" l="1"/>
  <c r="K13" i="1"/>
  <c r="J13" i="1"/>
  <c r="H13" i="1"/>
  <c r="S12" i="1" l="1"/>
  <c r="Q12" i="1"/>
  <c r="M12" i="1"/>
  <c r="K12" i="1"/>
  <c r="J12" i="1"/>
  <c r="H12" i="1"/>
  <c r="S11" i="1"/>
  <c r="Q11" i="1"/>
  <c r="M11" i="1"/>
  <c r="K11" i="1"/>
  <c r="J11" i="1"/>
  <c r="H11" i="1"/>
  <c r="M8" i="1"/>
  <c r="K8" i="1"/>
  <c r="S8" i="1"/>
  <c r="Q8" i="1"/>
  <c r="J8" i="1"/>
  <c r="H8" i="1"/>
  <c r="M7" i="1"/>
  <c r="J7" i="1"/>
  <c r="M5" i="1"/>
  <c r="J5" i="1"/>
  <c r="M6" i="1" l="1"/>
  <c r="J6" i="1"/>
</calcChain>
</file>

<file path=xl/sharedStrings.xml><?xml version="1.0" encoding="utf-8"?>
<sst xmlns="http://schemas.openxmlformats.org/spreadsheetml/2006/main" count="5023" uniqueCount="1514">
  <si>
    <t>Вид предмета
закупівлі
(товари/роботи/
послуги)</t>
  </si>
  <si>
    <t>№ з/п</t>
  </si>
  <si>
    <t>Опис технічних
характеристик
предмета закупівлі
(для обладнання та
матеріалів)</t>
  </si>
  <si>
    <t>Найменування
виробничої програми,
згідно з якою
проводиться закупівля
(інвестиційна програма,
ремонтна програма,
заходи з приєднання)</t>
  </si>
  <si>
    <t>Найменування заходу
виробничої
програми</t>
  </si>
  <si>
    <t>Одиниця
виміру</t>
  </si>
  <si>
    <t>Заплановано згідно з планом
фінансування відповідної
виробничої програми</t>
  </si>
  <si>
    <t xml:space="preserve">
Найменування ОСР у тендерній документації</t>
  </si>
  <si>
    <t>питома
вартість,
тис. грн
без ПДВ</t>
  </si>
  <si>
    <t>кількість</t>
  </si>
  <si>
    <t>вартість,
тис. грн
без ПДВ</t>
  </si>
  <si>
    <t>Гіперпосилання на
відповідну
закупівлю</t>
  </si>
  <si>
    <t>Дата
оприлюднення
оголошення про
проведення
закупівлі</t>
  </si>
  <si>
    <t>Ідентифікатор закупівлі
/частин предмета
закупівлі (лотів)</t>
  </si>
  <si>
    <t>Вартість, що визначена у тендерній
пропозиції переможця процедури
закупівлі, з яким ОСР має намір
укласти договір про закупівлю</t>
  </si>
  <si>
    <t>загальна
вартість,
тис. грн
без ПДВ</t>
  </si>
  <si>
    <t>Дата укладення
договору про
закупівлю з
переможцем</t>
  </si>
  <si>
    <t>Інформація щодо
відміни
закупівлі,
причини її
відміни</t>
  </si>
  <si>
    <t>Примітки</t>
  </si>
  <si>
    <t>Реєстр інформації про проведені закупівлі товарів, робіт та послуг</t>
  </si>
  <si>
    <t>Заходи з приєднання</t>
  </si>
  <si>
    <t>Товари</t>
  </si>
  <si>
    <t xml:space="preserve"> Затискачі </t>
  </si>
  <si>
    <t>АВ, рубильники, шини, запобіжники</t>
  </si>
  <si>
    <t>шт.</t>
  </si>
  <si>
    <t>од.</t>
  </si>
  <si>
    <t>https://zakupki.prom.ua/gov/tenders/UA-2022-11-08-012151-a/lot-9ee039b896a54960858560f927dd3687</t>
  </si>
  <si>
    <t>UA-2022-11-08-012151-a</t>
  </si>
  <si>
    <t>UA-2022-11-10-012027-a</t>
  </si>
  <si>
    <t>Найменування
предмета
закупівлі( Код ДК)</t>
  </si>
  <si>
    <t>31220000-4 Елементи електричних схем</t>
  </si>
  <si>
    <t xml:space="preserve"> 31210000-1 Електрична апаратура для комутування та захисту електричних кіл</t>
  </si>
  <si>
    <t>31170000-8 Трансформатори</t>
  </si>
  <si>
    <t>Трансформатори</t>
  </si>
  <si>
    <t>https://zakupki.prom.ua/gov/tenders/UA-2022-11-04-012540-a/lot-ae7e951f2ab7477ca49e276698923693</t>
  </si>
  <si>
    <t>UA-2022-11-04-012540-a</t>
  </si>
  <si>
    <t>44210000-5 Конструкції та їх частини</t>
  </si>
  <si>
    <t>М/конструкції, траверси,хомути, кронштейни</t>
  </si>
  <si>
    <t>https://zakupki.prom.ua/gov/tenders/UA-2022-11-08-011601-a/lot-f6efe23c19344ddc8d8a5822f34ca2fc</t>
  </si>
  <si>
    <t>UA-2022-11-08-011601-a</t>
  </si>
  <si>
    <t>Роботи</t>
  </si>
  <si>
    <t>45310000-3 Електромонтажні роботи</t>
  </si>
  <si>
    <t>Будівництво ПЛ-10-кВ оп.№411 Л-201 ПС «Первозванівка»-35/10кВ для зовнішнього електропостачання комплексу будівель (кафе), гр. Грушевський О. П. по вул. Бобринецьке шосе, буд. 1 в с. Первозванівка Кропивницького району</t>
  </si>
  <si>
    <t>роб.</t>
  </si>
  <si>
    <t>https://zakupki.prom.ua/gov/tenders/UA-2022-11-09-012276-a</t>
  </si>
  <si>
    <t>UA-2022-11-09-012276-a</t>
  </si>
  <si>
    <t>Будівництво КЛ-0,4 кВ А-20 ТП-222 для зовнішнього електропостачання житлового багатоквартирного будинку ПП «Астарта Груп» по вул. Рівненській, 7 в м. Кропивницький</t>
  </si>
  <si>
    <t>https://zakupki.prom.ua/gov/tenders/UA-2022-11-14-010662-a</t>
  </si>
  <si>
    <t>UA-2022-11-14-010662-a</t>
  </si>
  <si>
    <t>Будівництво 2КЛ-0,4 кВ ЗТП-33 для зовнішнього електропостачання житлового будинку ОСББ "Павлова 6" по вул. Павлова, буд.6 в м. Світловодськ</t>
  </si>
  <si>
    <t>https://zakupki.prom.ua/gov/tenders/UA-2022-11-14-013851-a</t>
  </si>
  <si>
    <t>UA-2022-11-14-013851-a</t>
  </si>
  <si>
    <t>Будівництво комплектної блочно-модульної трансформаторної підстанції типу 2БКТП(б)-10/0,4 кВ з кабельними вводами та кабельними виходами прохідного типу з двома трансформаторами типу ТМГ-400/10 У1-Е зі схемою з’єднання обмоток "трикутник-зірка-0"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ТОВ "УКРСФЕРА" по вул. Преображенська в м. Кропивницький із матеріалів та обладнання підрядника (ІІ черга)</t>
  </si>
  <si>
    <t>https://zakupki.prom.ua/gov/tenders/UA-2022-11-16-006956-a/lot-e5efd7136220411b8d2af786a0f55946</t>
  </si>
  <si>
    <t>UA-2022-11-16-006956-a</t>
  </si>
  <si>
    <t>Будівництво КЛ-10 кВ ТП-757 – ТП-826 в смт. Нове м. Кропивницький для зовнішнього електропостачання комплексу будівель ТОВ «АВ ІНВЕСТ ГРУП» по вул. Мурманська, 43 із матеріалів та обладнання підрядника</t>
  </si>
  <si>
    <t>https://zakupki.prom.ua/gov/tenders/UA-2022-11-17-006126-a</t>
  </si>
  <si>
    <t>UA-2022-11-17-006126-a</t>
  </si>
  <si>
    <t>Детально викладено в Додатку №2 до ТД</t>
  </si>
  <si>
    <t>Допорогова закупівля (без застосування ЕСЗ)</t>
  </si>
  <si>
    <t>Будівництво КЛ-10кВ до ТП-825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по вул. Преображенська кад.№ 3510100000:29:275:0007 в м. Кропивницький</t>
  </si>
  <si>
    <t>https://zakupki.prom.ua/gov/tenders/UA-2022-11-17-012395-a</t>
  </si>
  <si>
    <t>UA-2022-11-17-012395-a</t>
  </si>
  <si>
    <t>Конструкції та їх частини</t>
  </si>
  <si>
    <t>https://zakupki.prom.ua/gov/tenders/UA-2022-11-23-004191-a</t>
  </si>
  <si>
    <t>UA-2022-11-23-004191-a</t>
  </si>
  <si>
    <t>https://zakupki.prom.ua/gov/tenders/UA-2022-11-10-012027-a/lot-27d3e88358ac4dacaa9e6a5bedcc6f6a</t>
  </si>
  <si>
    <t>https://zakupki.prom.ua/gov/tenders/UA-2022-11-10-012027-a/lot-626beb3cc1624e79b6b15d716e2ee75b</t>
  </si>
  <si>
    <t>Блок ФСБ 24-4-6</t>
  </si>
  <si>
    <t>Будівництво КТП-826 для зовнішнього електропостачання комплексу будівель ТОВ "АВ ІНВЕСТ ГРУП" по вул. Мурманська, 43 в смт. Нове в м. Кропивницький</t>
  </si>
  <si>
    <t>https://zakupki.prom.ua/gov/tenders/UA-2022-12-08-017620-a</t>
  </si>
  <si>
    <t>UA-2022-12-08-017620-a</t>
  </si>
  <si>
    <t>Ремонт КЛ-0,4 кВ від ТП-420 РБ-13 до житлового будинку по вул. Пашутіна, 12 в м. Кропивницький Кіровоградської області. Додаткові роботи</t>
  </si>
  <si>
    <t>45453000-7 Капітальний ремонт і реставрація</t>
  </si>
  <si>
    <t>https://zakupki.prom.ua/gov/tenders/UA-2022-12-21-012032-a</t>
  </si>
  <si>
    <t>Ремонтна програма</t>
  </si>
  <si>
    <t>Капітальний ремонт будівлі ОПУ П/СТ «Жилселище» Східно-об’їздне шосе, 2 м. Долинська Кіровоградська обл.</t>
  </si>
  <si>
    <t>https://zakupki.prom.ua/gov/tenders/UA-2022-12-26-003873-a</t>
  </si>
  <si>
    <t>Капітальний ремонт будівлі  ЗТП-1142 (Улаштування покрівлі з металопрофілю) по пр.Соборний, м. Олександрія     Кіровоградської обл.</t>
  </si>
  <si>
    <t>Капітальний ремонт будівлі ЗТП-1033 (Улаштування покрівлі з металопрофілю) по вул.Перспективна, м. Олександрія Кіровоградської обл.</t>
  </si>
  <si>
    <t>Капітальний ремонт будівлі  ЗТП-1042 (Улаштування покрівлі з металопрофілю) по пр.Соборний, м. Олександрія     Кіровоградської обл.</t>
  </si>
  <si>
    <t>Капітальний ремонт будівлі  ЗТП-1187 (Улаштування покрівлі з металопрофілю) по вул.6-го Грудня, м. Олександрія Кіровоградської обл</t>
  </si>
  <si>
    <t>https://zakupki.prom.ua/gov/tenders/UA-2023-01-17-001178-a</t>
  </si>
  <si>
    <t>https://zakupki.prom.ua/gov/tenders/UA-2023-01-17-001173-a</t>
  </si>
  <si>
    <t>https://zakupki.prom.ua/gov/tenders/UA-2023-01-17-001062-a</t>
  </si>
  <si>
    <t>https://zakupki.prom.ua/gov/tenders/UA-2023-01-17-001056-a</t>
  </si>
  <si>
    <t>Придбання автомобіля JAC T8 з кунгом, або аналог (ІП 2022 п. 6.6)</t>
  </si>
  <si>
    <t>34130000-7 Мототранспортні вантажні засоби</t>
  </si>
  <si>
    <t>Інвестиційна програма</t>
  </si>
  <si>
    <t>https://zakupki.prom.ua/gov/tenders/UA-2023-01-25-000806-a/lot-8aadf7a695434b4192cf5430a97899f1</t>
  </si>
  <si>
    <t>Конструкції та їх частини до пункту 1.10. Інвестиційної програми 2022: Нове будівництво реклоузерів для секціонування мереж 6-10 кВ (або еквівалент)</t>
  </si>
  <si>
    <t>https://zakupki.prom.ua/gov/tenders/UA-2023-02-01-009698-a</t>
  </si>
  <si>
    <t>UA-2023-02-01-009698-a</t>
  </si>
  <si>
    <t>закупівля не відбулась у  зв'язку з відсутністю учасників</t>
  </si>
  <si>
    <t>Елементи електричних схем до пункту 1.10.  Інвестиційної програми 2022: Нове  будівництво реклоузерів для секціонування  мереж 6-10 кВ  (або еквівалент)</t>
  </si>
  <si>
    <t>https://zakupki.prom.ua/gov/tenders/UA-2023-02-01-009402-a/lot-cdc0f5a6dac2418db68318cb50f81b7a</t>
  </si>
  <si>
    <t>Реконструкція КЛ-0,4 кВ РБ-14 ЗТП-394 для зовнішнього електропостачання 1/2 частини нежитлової будівлі гр. Вдовиченко І.І. по вул. Пацаєва, буд.6 в м. Кропивницький</t>
  </si>
  <si>
    <t>Технічне переоснащення   КЛ-10 кВ „ТП-417 – ТП-402”, яка проходять в зоні забудови гр. Дяченко О.С. по вул. Ю. Коваленка, біля буд. № 9 в м. Кропивницький</t>
  </si>
  <si>
    <t>Будівництво ПЛІ-0,4 кВ Л-30 оп.4-12/5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</si>
  <si>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 кВ А-40 ТП-541 для зовнішнього електропостачання магазину ТОВ "АТБ-МАРКЕТ" по вул. Космонавта Попова, 9-г в м. Кропивницький</t>
  </si>
  <si>
    <t>Будівництво КЛ-0,4 кВ А-30 оп.1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</si>
  <si>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КЛ-0,4кВ від ЗТП-1056 для зовнішнього електропостачання групи нежитлових приміщень №2 гр. Коржинська К.М. по просп. Соборний, буд.100-а в м. Олександрія</t>
  </si>
  <si>
    <t>Капітальний ремонт будівлі ЗТП-137Г по вул. Привокзальній, м. Знам'янка Кіровоградської області (Улаштування покрівлі з металопрофілю)</t>
  </si>
  <si>
    <t>Капітальний ремонт будівлі ЗТП-195Г по вул.Віктора Голого, 122Т, м. Знам'янка Кіровоградської області (Улаштування покрівлі з металопрофілю)</t>
  </si>
  <si>
    <t>Капітальний ремонт будівлі ЗТП-114Г по вул. Олени Теліги, м. Знам'янка Кіровоградської області (Улаштування покрівлі з металопрофілю)</t>
  </si>
  <si>
    <t>Капітальний ремонт будівлі ЗТП-318 по вул. Юрія Коваленка, м. Кропивницький (улаштування покрівлі з металопрофілю, посилення стін мет.конструкцією, мет.двері)</t>
  </si>
  <si>
    <t>Придбання модуля ТС-485 (Інвестиційна програма 2023 п. 2.4.2, 2.6, 2.7.4) (або еквівалент).</t>
  </si>
  <si>
    <t>Конструкційні матеріали до пункту 1.10. Інвестиційної програми 2022: Нове будівництво реклоузерів для секціонування мереж 6-10 кВ (або еквівалент)</t>
  </si>
  <si>
    <t>Будівництво ЛЕП-0,4 кВ від ТП-118 для зовнішнього електропостачання комплексу будівель, Кіровоградський обласний територіальний центр комплектування та соціальної підтримки по вул. Кавалерійська, буд.17/19 в м. Кропивницький</t>
  </si>
  <si>
    <t xml:space="preserve">Придбанння ліцензій на продукти Microsoft (п.4.1 Інвестиційної програми 2023 року) </t>
  </si>
  <si>
    <t>Придбання УКХ радіостанцій діапазону частот 400-440 МГц та 167 МГц або еквівалент (пункт Інвестиційної Програми 5.1)</t>
  </si>
  <si>
    <t>Придбання модуля ТС-485, або аналог (Інвестиційна програма 2022 п. 2.9.8)</t>
  </si>
  <si>
    <t>Придбання автопідйомника COMET 14-COMET 19 на шасі зі здвоєною кабіною, 4x2 або аналог (Інвестиційна програма 2022 року пункт 6.5) (або еквівалент)</t>
  </si>
  <si>
    <t>Мережеве обладнання (Інвестиційна програма 2022, п. 4.5)</t>
  </si>
  <si>
    <t>Трансформатори (Інвестиційна програма 2022 п.2.6.9, 2.6.10, 2.9.4, 2.9.5, 2.9.6, 2.9.7, 2.11.1, 2.11.2, 2.11.3) (або еквівалент)</t>
  </si>
  <si>
    <t>Придбання автомобіля JAC N56 Double Cab фургон, або еквівалент (пункт Інвестиційної Програми 6.4)</t>
  </si>
  <si>
    <t>Придбання комплекту засобів для бригад по обслуговуванню обладнання підстанцій 35кВ (СП) (п.7.4 ІП 2023р.) (або еквівалент).</t>
  </si>
  <si>
    <t>Персональний нагрудний відіореєстратор Х5В (ІП 2023 п.2.8.3) (або еквівалент)</t>
  </si>
  <si>
    <t>Нове будівництво АСДУ Світловодського РЕМ (11 ПС-35кВ, 3 ПС-150кВ, 6 ЦРП) (пункт 3.2 Інвестиційної Програми 2023)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</si>
  <si>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</si>
  <si>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Аналізатори якості, вимірювач СА540 (п.7.1;7.2;7.3 ІП 2023р.) (або еквівалент)</t>
  </si>
  <si>
    <t>Придбання модуля ТС-485, або аналог (Інвестиційна програма 2022 п. 2.9.8).</t>
  </si>
  <si>
    <t>Садова техніка різна (ІП 2023 п. 7.6-7.10) (або еквівалент)</t>
  </si>
  <si>
    <t>Реконструкція ПЛ-0,4 кВ від ЗТП-1174 в м. Олександрія Кіровоградської області (Олександрійський РЕМ) (пункт 1.3.5 Інвестиційної Програми 2023)</t>
  </si>
  <si>
    <t>Реконструкція (заміна непридатних до подальшої експлуатації) КЛ-6 кВ від ПС "Водовод" до ЦРП-3 Ф-13, Ф-19 м. Світловодськ Кіровоградської області (Світловодський РЕМ) (пункт 1.2.4 Інвестиційної Програми 2023)</t>
  </si>
  <si>
    <t>Реконструкція ПЛ-0,4 кВ від ЗТП-1034 в м. Олександрія Кіровоградської області (Олександрійський РЕМ) (пункт 1.3.2 Інвестиційної Програми 2023)</t>
  </si>
  <si>
    <t>Реконструкція ПЛ-0,4 кВ від КТП-1417 в м. Олександрія Кіровоградської області (Олександрійський РЕМ) (пункт 1.3.6 Інвестиційної Програми 2023)</t>
  </si>
  <si>
    <t>Реконструкція ПЛ-0,4 кВ від ЗТП-1045 в м. Олександрія Кіровоградської області (Олександрійський РЕМ) (пункт 1.3.3 Інвестиційної Програми 2023)</t>
  </si>
  <si>
    <t>Реконструкція ПЛ-0,4 кВ від ЗТП-1084 в м. Олександрія Кіровоградської області (Олександрійський РЕМ) (пункт 1.3.4 Інвестиційної Програми 2023)</t>
  </si>
  <si>
    <t>Реконструкція ПЛ-0,4 кВ від ЗТП-1008 в м. Олександрія Кіровоградської області (Олександрійський РЕМ) (пункт 1.3.1 Інвестиційної Програми 2023)</t>
  </si>
  <si>
    <t>Придбання панорамного протигазу з фільтруючим картриджем " (пункт 7.21 інвестиційної програми 2023р.) (або еквівалент)</t>
  </si>
  <si>
    <t>Струмовимірні кліщі APPA sFlex 18D (ІП 2023 п. 2.8.1) (або еквівалент)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</si>
  <si>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</t>
  </si>
  <si>
    <t>Придбання реєстратору аварійних процесів типу “РЕКОН-07БС” для ПС-150кВ "Новоархангельська"(п.3.4 ІП 2023р.) (або еквівалент).</t>
  </si>
  <si>
    <t>Придбання ліцензій на продукти Eset (антивірусний захист) (пункт 4.2 Інвестиційної програми 2023р.) (або еквівалент)</t>
  </si>
  <si>
    <t>Реконструкція ПС-35 кВ "Хмельове" в частині заміни масляних вимикачів 35 кВ в комплекті з пристроями РЗА в с. Хмельове, Новоукраїнського району, Кіровоградської області (пункт 1.11 Інвестиційної Програми 2023)</t>
  </si>
  <si>
    <t>Реконструкція ПС-35 кВ "Велика Виска" в частині заміни масляних вимикачів 35 кВ в комплекті з пристроями РЗА в с. Велика Виска, Новоукраїнського району, Кіровоградської області (пункт 1.10 Інвестиційної Програми 2023)</t>
  </si>
  <si>
    <t>Реконструкція ПС-35 кВ "Гайворонська ГЕС" в частині заміни масляних вимикачів 35 кВ в комплекті з пристроями РЗА в м. Гайворон Голованівського району Кіровоградської області (пункт 1.9 Інвестиційної Програми 2023)</t>
  </si>
  <si>
    <t>Реконструкція ПЛ-10 кВ Л-1122 в с. Павлівка Олександрійського району Кіровоградської області (Світловодський РЕМ) (пункт 1.1.4 Інвестиційної Програми 2023)</t>
  </si>
  <si>
    <t>Реконструкція ПС-150 кВ “Центральна” в частині заміни реакторів 10 кВ в м. Кропивницький, Кіровоградської області (коригування) 
(пункт 1.8 Інвестиційної Програми 2023)</t>
  </si>
  <si>
    <t>Реконструкція релейних захистів ПЛ-150 кВ Л26К, Л27К на ПС 150/35/10кВ "Новоукраїнка" в м. Новоукраїнка Новоукраїнського району (пункт 1.7 Інвестиційної Програми 2023)</t>
  </si>
  <si>
    <t>Реконструкція ПЛ-10 кВ Л-116 в с. Краснопілка, с. Лозоватка Новоукраїнського району Кіровоградської області (Маловисківський РЕМ) (пункт 1.1.3 Інвестиційної Програми 2023)</t>
  </si>
  <si>
    <t>Реконструкція КЛ-0,4 кВ від ЗТП-1159 до житлових будинків по вул. 6-го Грудня 135, 137, 139А в м. Олександрія Кіровоградської області (Олександрійський РЕМ) (пункт 1.4.10 Інвестиційної Програми 2023)</t>
  </si>
  <si>
    <t>Реконструкція КЛ-0,4 кВ від ТП-26 до житлових будинків по вул. Бойка Вадима, 2Б (РБ-3), вул. Бойка Вадима, 4 (РБ-2, 12), вул. Бойка Вадима, 25 (РБ-6), вул. Бойка Вадима, 27 (РБ-17) в м. Світловодськ (Світловодський РЕМ) (пункт 1.4.18 Інвестиційної Програми 2023)</t>
  </si>
  <si>
    <t>Реконструкція КЛ-0,4 кВ від ТП-19 до житлових будинків по вул. Чорноморівська, 13 (РБ-1), вул. Чорноморівська, 7 (РБ-2), пров. Нагірний, 3 (РБ-3), вул. Чорноморівська, 5А (РБ-7) в м. Світловодськ (Світловодський РЕМ) (пункт 1.4.17 Інвестиційної Програми 2023)</t>
  </si>
  <si>
    <t>Реконструкція ПЛ-10 кВ Л-145 в Новоукраїнському районі Кіровоградської області (Добровеличківський РЕМ) (пункт 1.1.2 Інвестиційної Програми 2023)</t>
  </si>
  <si>
    <t>Реконструкція ЗРУ-10 кВ ПС-150/35/10 кВ "Бобринець ", м. Бобринець, Кропивницький район, Кіровоградська область (пункт 1.6 Інвестиційної Програми 2023)</t>
  </si>
  <si>
    <t>Реконструкція ПЛ-10 кВ Л-132 в с. Липняжка Новоукраїнського району Кіровоградської області (Добровеличківський РЕМ) (пункт 1.1.1 Інвестиційної Програми 2023)</t>
  </si>
  <si>
    <t>Реконструкція КЛ-0,4 кВ від ТП-17 до житлових будинків по вул. Чорноморівська, 13 (РБ-3), вул. Чорноморська, 5А (РБ-6), вул. Бойка Вадима, 2Б (РБ-7), пров. Нагірний, 3 (РБ-8), вул. Бойка Вадима, 2А (РБ-9) в м. Світловодськ (Світловодський РЕМ) (пункт 1.4.16 Інвестиційної Програми 2023)</t>
  </si>
  <si>
    <t>Реконструкція КЛ-0,4 кВ від ЗТП-1111 (РБ-19, РБ-1) до житлових будинків по вул. Садова 39, 41, 58 в м. Олександрія Кіровоградської області (Олександрійський РЕМ) (пункт 1.4.9 Інвестиційної Програми 2023)</t>
  </si>
  <si>
    <t>Реконструкція КЛ-0,4кВ від ТП-1108 до житлового будинку по вул. Першотравнева, 55 в м. Олександрія Кіровоградської області (Олександрійський РЕМ) (пункт 1.4.8 Інвестиційної Програми 2023)</t>
  </si>
  <si>
    <t>Реконструкція кабельної вставки ПЛ-10кВ Л-120 ПС-150/35/10 кВ від ПС "Новоукраїнка" між оп.№35/1-№36/1 (кабельна вставка під залізницею) в м. Новоукраїнка (Новоукраїнський РЕМ) (пункт 1.2.3 Інвестиційної Програми 2023)</t>
  </si>
  <si>
    <t>Реконструкція КЛ-0,4 кВ від ЗТП-1163 до будинків по вул. Г. Сталінграда 23А, 27 в м. Олександрія Кіровоградської області (Олександрійський РЕМ) (пункт 1.4.11 Інвестиційної Програми 2023)</t>
  </si>
  <si>
    <t>Реконструкція КЛ-0,4 кВ від ЗТП-1060 до житлових будинків на пл. Покровська 1, 3, 5, 7 в м. Олександрія Кіровоградської області (Олександрійський РЕМ)  (пункт 1.4.6 Інвестиційної Програми 2023)</t>
  </si>
  <si>
    <t>Реконструкція КЛ-0,4 кВ від ТП-11 до житлових будинків по вул. Лисенка Миколи, 6 (РБ-1), вул. Лисенка Миколи, 4а (РБ-10) в м. Світловодськ (Світловодський РЕМ) (пункт 1.4.14 Інвестиційної Програми 2023)</t>
  </si>
  <si>
    <t>Реконструкція КЛ-0,4 кВ від ТП-13 до житлового будинку по вул. Приморська, 26 (А-1) в м. Світловодськ (Світловодський РЕМ) (пункт 1.4.15 Інвестиційної Програми 2023)</t>
  </si>
  <si>
    <t>Реконструкція КЛ-0,4 кВ від ТП-196 до ж/б за адресою вул. Трудова, 7 в м. Знам’янка Кропивницького району Кіровоградської області (Коригування) (Знам’янський РЕМ)  (пункт 1.4.1 Інвестиційної Програми 2023)</t>
  </si>
  <si>
    <t>Реконструкція КЛ-0,4кВ від ТП-1042 до житлових будинків по вул. Г. Усика, 40,42 в м. Олександрія Кіровоградської області (Олександрійський РЕМ) (пункт 1.4.5 Інвестиційної Програми 2023)</t>
  </si>
  <si>
    <t>Реконструкція КЛ-0,4 кВ від ТП-9 до житлових будинків по вул. Бойка Вадима, 25 (РБ-3, 6), вул. Бойка Вадима, 27 (РБ-2, 17) в м. Світловодськ (Світловодський РЕМ) (пункт 1.4.12 Інвестиційної Програми 2023)</t>
  </si>
  <si>
    <t>Реконструкція (заміна) КЛ-10 кВ перехід під залізницею Л-163 оп. №209-210 в с. Прищепівка Новомиргородського району Кіровоградської області (Новомиргородський РЕМ) (пункт 1.2.1 Інвестиційної Програми 2023)</t>
  </si>
  <si>
    <t>Реконструкція КЛ-0,4 кВ від ЗТП-1048 до житлового будинку по вул. Софіївська 8 в м. Олександрія Кіровоградської області (Олександрійський РЕМ)  (пункт 1.4.7 Інвестиційної Програми 2023)</t>
  </si>
  <si>
    <t>Реконструкція КЛ-0,4 кВ від ЗТП-1117 до житлового будинку по вул. Миру, 40, з переключенням на ЗТП-1155 в м. Олександрія Кіровоградської області (Олександрійський РЕМ) (пункт 1.4.2 Інвестиційної Програми 2023)</t>
  </si>
  <si>
    <t>Реконструкція КЛ-0,4кВ від ТП-10 до житлових будинків по вул. Героїв України, 19 (РБ-1), вул. Бойка Вадима, 5 (РБ-2) в м. Світловодськ (Світловодський РЕМ) (пункт 1.4.13 Інвестиційної Програми 2023)</t>
  </si>
  <si>
    <t>Реконструкція КЛ-0,4 кВ від ЗТП-1040 до житлових будинків по пр. Соборний 61 та вул. Діброви 39 в м. Олександрія Кіровоградської області (Олександрійський РЕМ) (пункт 1.4.4 Інвестиційної Програми 2023)</t>
  </si>
  <si>
    <t>Реконструкція кабельної вставки ПЛ-10 кВ Л-118 від ПС-150/35/10 кВ "Новоукраїнська" між оп. №34 - №35 (кабельна вставка під залізницею) в м. Новоукраїнка (Новоукраїнський РЕМ) (пункт 1.2.2 ІП 2023)</t>
  </si>
  <si>
    <t>Реконструкція КЛ-0,4 кВ від ЗТП-1006 до житлових будинків по вул. Чижевського 3, 5 в м. Олександрія Кіровоградської області (Олександрійський РЕМ) (пункт 1.4.3 Інвестиційної Програми 2023)</t>
  </si>
  <si>
    <t>Капітальний ремонт обладнання ПС 150/35/10 кВ Бобринець в частині заміни трансформаторів струму 150 кВ</t>
  </si>
  <si>
    <t>Трансформатори струму (пункти 2.1.5. 2.7.2. 2.7.3. та 2.9.1. 2.9.2. 2.9.3. 2.9.4 2.9.5 Інвестиційної програми 2023р.) (або еквівалент)</t>
  </si>
  <si>
    <t>Придбання переносного приладу Е-125 "Гармоніка-М"  для визначення місць замикання на землю ПЛ 6-35кВ, або аналог до пункту 7.13 Інвестиційної програми 2023</t>
  </si>
  <si>
    <t>Придбання вимірювача опору заземлюючого пристрою С.А 6472 (або еквівалент) до пункту 7.12 Інвестиційної програми 2023</t>
  </si>
  <si>
    <t>32410000-0 Локальні мережі</t>
  </si>
  <si>
    <t>44110000-4 Конструкційні матеріали</t>
  </si>
  <si>
    <t>48770000-6 Пакети службового програмного забезпечення загального призначення, для стиснення даних та друку</t>
  </si>
  <si>
    <t>38340000-0 Прилади для вимірювання величин</t>
  </si>
  <si>
    <t>32230000-4 Апаратура для передавання радіосигналу з приймальним пристроєм</t>
  </si>
  <si>
    <t>32420000-3 Мережеве обладнання</t>
  </si>
  <si>
    <t>38550000-5 Лічильники</t>
  </si>
  <si>
    <t>44510000-8 Знаряддя</t>
  </si>
  <si>
    <t>32330000-5 Апаратура для запису та відтворення аудіо- та відеоматеріалу</t>
  </si>
  <si>
    <t>42630000-1 Металообробні верстати</t>
  </si>
  <si>
    <t>16160000-4 Садова техніка різна</t>
  </si>
  <si>
    <t>35810000-5 Індивідуальне обмундирування</t>
  </si>
  <si>
    <t>31640000-4 Машини та апарати спеціального призначення</t>
  </si>
  <si>
    <t>48330000-0 Пакети програмного забезпечення для планування часу та офісного програмного забезпечення</t>
  </si>
  <si>
    <t>роботи</t>
  </si>
  <si>
    <t>штуки</t>
  </si>
  <si>
    <t>одиниця</t>
  </si>
  <si>
    <t>комплект</t>
  </si>
  <si>
    <t>Прилади для вимірювання величин (Інвестиційна програма 2022 п.7.6; 7.7)</t>
  </si>
  <si>
    <t>Лічильники (Інвестиційна програма 2022) (або еквівалент)</t>
  </si>
  <si>
    <t>Трансформатори (Інвестиційна програма 2022 п.2.6.9, 2.6.10, 2.9.4, 2.9.5, 2.9.6, 2.9.7, 2.11.1, 2.11.2, 2.11.3)
(або еквівалент)</t>
  </si>
  <si>
    <t>Скасована</t>
  </si>
  <si>
    <t>ЛОТ1. Встановлення однофазних шаф обліку, підрядним способом (матеріали підрядника, крім лічильників) (Інвестиційна програма 2022 року пункт 2.2). ЛОТ2. Винесення приладів обліку в спеціальний ящик ЩРЖУ, підрядним способом, крім лічильників (Інвестиційна програма 2022 року пункт 2.3)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</si>
  <si>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 ЛОТ1,2</t>
  </si>
  <si>
    <t>https://zakupki.prom.ua/gov/tenders/UA-2023-02-08-015986-a</t>
  </si>
  <si>
    <t>https://zakupki.prom.ua/gov/tenders/UA-2023-02-13-012766-a</t>
  </si>
  <si>
    <t>https://zakupki.prom.ua/gov/tenders/UA-2023-02-15-004269-a</t>
  </si>
  <si>
    <t>https://zakupki.prom.ua/gov/tenders/UA-2023-02-15-004026-a</t>
  </si>
  <si>
    <t>https://zakupki.prom.ua/gov/tenders/UA-2023-02-15-003851-a</t>
  </si>
  <si>
    <t>https://zakupki.prom.ua/gov/tenders/UA-2023-02-16-004517-a</t>
  </si>
  <si>
    <t>https://zakupki.prom.ua/gov/tenders/UA-2023-02-20-013513-a</t>
  </si>
  <si>
    <t>https://zakupki.prom.ua/gov/tenders/UA-2023-02-20-013352-a</t>
  </si>
  <si>
    <t>https://zakupki.prom.ua/gov/tenders/UA-2023-02-20-013114-a</t>
  </si>
  <si>
    <t>https://zakupki.prom.ua/gov/tenders/UA-2023-02-20-013068-a</t>
  </si>
  <si>
    <t>https://zakupki.prom.ua/gov/tenders/UA-2023-02-22-011861-a/lot-d7a0185df6804d63930b70d492a10077</t>
  </si>
  <si>
    <t>https://zakupki.prom.ua/gov/tenders/UA-2023-02-24-003521-a/lot-70199d51c2624e4ead41842be2f5db6a</t>
  </si>
  <si>
    <t>https://zakupki.prom.ua/gov/tenders/UA-2023-02-27-009421-a</t>
  </si>
  <si>
    <t>https://zakupki.prom.ua/gov/tenders/UA-2023-03-02-011561-a</t>
  </si>
  <si>
    <t>https://zakupki.prom.ua/gov/tenders/UA-2023-03-02-010020-a</t>
  </si>
  <si>
    <t>https://zakupki.prom.ua/gov/tenders/UA-2023-03-02-009549-a/lot-cb15bab4ebe645cd8f89487db3b632bc</t>
  </si>
  <si>
    <t>https://zakupki.prom.ua/gov/tenders/UA-2023-03-02-009369-a/lot-78babed45489468387c6b0be896d083e</t>
  </si>
  <si>
    <t>https://zakupki.prom.ua/gov/tenders/UA-2023-03-02-008908-a/lot-738e2b54f77f4b5c87911d7f7077a53d</t>
  </si>
  <si>
    <t>https://zakupki.prom.ua/gov/tenders/UA-2023-03-02-008797-a/lot-186b009304544482bba39a1a656b22d4</t>
  </si>
  <si>
    <t>https://zakupki.prom.ua/gov/tenders/UA-2023-03-02-008425-a</t>
  </si>
  <si>
    <t>https://zakupki.prom.ua/gov/tenders/UA-2023-03-02-008423-a</t>
  </si>
  <si>
    <t>скорочення витрат на здійснення закупівлі товарів, робіт і послуг</t>
  </si>
  <si>
    <t>https://zakupki.prom.ua/gov/tenders/UA-2023-03-02-007860-a/lot-32c67e1aa21a4982b1b485adc399887b</t>
  </si>
  <si>
    <t>https://zakupki.prom.ua/gov/tenders/UA-2023-03-03-009686-a</t>
  </si>
  <si>
    <t>ЛОТ1 - 7379,774175 ЛОТ2 - 7559,932608</t>
  </si>
  <si>
    <t>https://zakupki.prom.ua/gov/tenders/UA-2023-03-03-001590-a</t>
  </si>
  <si>
    <t>https://zakupki.prom.ua/gov/tenders/UA-2023-03-06-002683-a/lot-97a8eaf3dee4408cb373ee5cc7f07bc8</t>
  </si>
  <si>
    <t>https://zakupki.prom.ua/gov/tenders/UA-2023-03-06-002508-a/lot-3558d587b1464bd3885519cb1ca25bb7</t>
  </si>
  <si>
    <t>https://zakupki.prom.ua/gov/tenders/UA-2023-03-06-002447-a/lot-3a8d621a9b3540369fac9ecbfa26297d</t>
  </si>
  <si>
    <t>https://zakupki.prom.ua/gov/tenders/UA-2023-03-06-002433-a/lot-5fe42ead7fb142018db2387de04aa587</t>
  </si>
  <si>
    <t>Капітальний ремонт ЗТП-1048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</si>
  <si>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ЗТП-141 по вулиці О. Паршутіна 1-п, м. Кропивницький (фасад,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</si>
  <si>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ЗТП-1054 (Улаштування покрівлі з металопрофілю, вимощення) по пр.Соборний, м. Олександрія     Кіровоградської обл. 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</si>
  <si>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ЗТП-39 по вулиці А. Тарковського 67-п, м. Кропивницький (посилення стін мет.конструкцією,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</si>
  <si>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 ЗТП-1127 (Улаштування покрівлі з металопрофілю) по вул.Ватутіна, м. Олександрія     Кіровоградської обл.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</si>
  <si>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ЗТП-138 р-н Балашовки м. Кропивницький (посилення стін мет.конструкцією)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</si>
  <si>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ЗТП-1053 (Улаштування покрівлі з металопрофілю) по вул.Червоностудентська, м. Олександрія,  Кіровоградської обл.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</t>
  </si>
  <si>
    <t>https://zakupki.prom.ua/gov/tenders/UA-2023-03-10-004740-a/lot-5d3dbfbba3384c6386ec2677a6465703</t>
  </si>
  <si>
    <t>https://zakupki.prom.ua/gov/tenders/UA-2023-03-10-003712-a/lot-2fc16a5621d1407d99408bfe1387c23f</t>
  </si>
  <si>
    <t>https://zakupki.prom.ua/gov/tenders/UA-2023-03-10-000555-a/lot-cd85c8f4588b4591bc93310fe1e7fe1b</t>
  </si>
  <si>
    <t>https://zakupki.prom.ua/gov/tenders/UA-2023-03-10-000312-a/lot-689cc8606a08419eb717148a960b8e1c</t>
  </si>
  <si>
    <t>https://zakupki.prom.ua/gov/tenders/UA-2023-03-10-000295-a/lot-02b958a89c154bf1b3160cc4bb435f6b</t>
  </si>
  <si>
    <t>https://zakupki.prom.ua/gov/tenders/UA-2023-03-10-000274-a/lot-2a6059df3f9b4417abd02ce9ebfd6dfb</t>
  </si>
  <si>
    <t>https://zakupki.prom.ua/gov/tenders/UA-2023-03-10-000247-a/lot-79af372a59d24d9887d5cf71602197f7</t>
  </si>
  <si>
    <t>https://zakupki.prom.ua/gov/tenders/UA-2023-03-10-000208-a/lot-c0b445f55d8d492b972836ceed1cf50c</t>
  </si>
  <si>
    <t>https://zakupki.prom.ua/gov/tenders/UA-2023-03-10-000196-a/lot-e70ea0f5de5048daa8bb8709b9d66874</t>
  </si>
  <si>
    <t>https://zakupki.prom.ua/gov/tenders/UA-2023-03-10-000148-a/lot-a85007dba86c422192a47483f5ef0ac1</t>
  </si>
  <si>
    <t>https://zakupki.prom.ua/gov/tenders/UA-2023-03-13-007155-a/lot-3220eefb7f524789bc2c6212011a0f6b</t>
  </si>
  <si>
    <t>https://zakupki.prom.ua/gov/tenders/UA-2023-03-13-003744-a/lot-865c51a7193d4c57a6434433e696cf65</t>
  </si>
  <si>
    <t>https://zakupki.prom.ua/gov/tenders/UA-2023-03-14-007942-a</t>
  </si>
  <si>
    <t>https://zakupki.prom.ua/gov/tenders/UA-2023-03-14-001150-a/lot-58c7f0424cf244059dfabb02f3fe5c97</t>
  </si>
  <si>
    <t>https://zakupki.prom.ua/gov/tenders/UA-2023-03-14-000978-a/lot-9b0d240801f2413e8585340420e28304</t>
  </si>
  <si>
    <t>https://zakupki.prom.ua/gov/tenders/UA-2023-03-15-010399-a/lot-f58568e690d642f59d278c4589415449</t>
  </si>
  <si>
    <t>https://zakupki.prom.ua/gov/tenders/UA-2023-03-15-009913-a/lot-269f00fd99a34af28eaf6b998301eff5</t>
  </si>
  <si>
    <t>https://zakupki.prom.ua/gov/tenders/UA-2023-03-15-009047-a/lot-6407ad5214e54946b7fa3611aa0d223a</t>
  </si>
  <si>
    <t>https://zakupki.prom.ua/gov/tenders/UA-2023-03-15-007635-a/lot-9472c9640321404dbb064380085b89c8</t>
  </si>
  <si>
    <t>https://zakupki.prom.ua/gov/tenders/UA-2023-03-15-007484-a/lot-edc6c3a5c9f143a0941996a3cc36cef8</t>
  </si>
  <si>
    <t>https://zakupki.prom.ua/gov/tenders/UA-2023-03-15-007191-a/lot-4989704647284c6a92bafc66d29718dc</t>
  </si>
  <si>
    <t>https://zakupki.prom.ua/gov/tenders/UA-2023-03-15-007154-a/lot-728a008a4f31405da1143481774a265a</t>
  </si>
  <si>
    <t>https://zakupki.prom.ua/gov/tenders/UA-2023-03-15-006954-a/lot-683afe1461a84b26be1201764cc9ff2f</t>
  </si>
  <si>
    <t>https://zakupki.prom.ua/gov/tenders/UA-2023-03-15-006780-a/lot-fbe52bc4cc5a469ead68c9f1a58a023a</t>
  </si>
  <si>
    <t>https://zakupki.prom.ua/gov/tenders/UA-2023-03-15-006678-a/lot-13fdfafb466f4b3ab8b0755fc20fad63</t>
  </si>
  <si>
    <t>https://zakupki.prom.ua/gov/tenders/UA-2023-03-15-006643-a/lot-180bdd35deb848879dd33002934b78b7</t>
  </si>
  <si>
    <t>https://zakupki.prom.ua/gov/tenders/UA-2023-03-15-006562-a/lot-0df6e11bb770462db58865984ae4609f</t>
  </si>
  <si>
    <t>https://zakupki.prom.ua/gov/tenders/UA-2023-03-15-006488-a/lot-6a799d9d8e5f4b49912b88d0dc720b49</t>
  </si>
  <si>
    <t>https://zakupki.prom.ua/gov/tenders/UA-2023-03-15-006405-a/lot-ccd85ecace464658af4a09c2c26c7d48</t>
  </si>
  <si>
    <t>https://zakupki.prom.ua/gov/tenders/UA-2023-03-15-006274-a/lot-975a984689b744c18a585f60a5bdb3a8</t>
  </si>
  <si>
    <t>https://zakupki.prom.ua/gov/tenders/UA-2023-03-20-011139-a</t>
  </si>
  <si>
    <t>https://zakupki.prom.ua/gov/tenders/UA-2023-03-20-010821-a</t>
  </si>
  <si>
    <t>https://zakupki.prom.ua/gov/tenders/UA-2023-03-20-010690-a</t>
  </si>
  <si>
    <t>https://zakupki.prom.ua/gov/tenders/UA-2023-03-20-010574-a</t>
  </si>
  <si>
    <t>https://zakupki.prom.ua/gov/tenders/UA-2023-03-20-010476-a</t>
  </si>
  <si>
    <t>https://zakupki.prom.ua/gov/tenders/UA-2023-03-20-010412-a</t>
  </si>
  <si>
    <t>https://zakupki.prom.ua/gov/tenders/UA-2023-03-20-010365-a</t>
  </si>
  <si>
    <t>https://zakupki.prom.ua/gov/tenders/UA-2023-03-20-010348-a</t>
  </si>
  <si>
    <t>https://zakupki.prom.ua/gov/tenders/UA-2023-03-20-010273-a</t>
  </si>
  <si>
    <t>https://zakupki.prom.ua/gov/tenders/UA-2023-03-20-010255-a</t>
  </si>
  <si>
    <t>https://zakupki.prom.ua/gov/tenders/UA-2023-03-20-010178-a</t>
  </si>
  <si>
    <t>https://zakupki.prom.ua/gov/tenders/UA-2023-03-20-010114-a</t>
  </si>
  <si>
    <t>https://zakupki.prom.ua/gov/tenders/UA-2023-03-20-010049-a</t>
  </si>
  <si>
    <t>https://zakupki.prom.ua/gov/tenders/UA-2023-03-20-010028-a</t>
  </si>
  <si>
    <t>https://zakupki.prom.ua/gov/tenders/UA-2023-03-20-010007-a</t>
  </si>
  <si>
    <t>https://zakupki.prom.ua/gov/tenders/UA-2023-03-20-009888-a</t>
  </si>
  <si>
    <t>https://zakupki.prom.ua/gov/tenders/UA-2023-03-20-007084-a</t>
  </si>
  <si>
    <t>https://zakupki.prom.ua/gov/tenders/UA-2023-03-20-006270-a</t>
  </si>
  <si>
    <t>https://zakupki.prom.ua/gov/tenders/UA-2023-03-21-011539-a/lot-80249b19db9144f998b08b5945f2f216</t>
  </si>
  <si>
    <t>https://zakupki.prom.ua/gov/tenders/UA-2023-03-21-010868-a/lot-9d814824f2a944cd849df7aaab2f4b40</t>
  </si>
  <si>
    <t>https://zakupki.prom.ua/gov/tenders/UA-2023-03-22-010199-a</t>
  </si>
  <si>
    <t>https://zakupki.prom.ua/gov/tenders/UA-2023-03-22-004354-a</t>
  </si>
  <si>
    <t>https://zakupki.prom.ua/gov/tenders/UA-2023-03-23-011146-a</t>
  </si>
  <si>
    <t>https://zakupki.prom.ua/gov/tenders/UA-2023-03-23-010947-a</t>
  </si>
  <si>
    <t>https://zakupki.prom.ua/gov/tenders/UA-2023-03-23-010751-a</t>
  </si>
  <si>
    <t>https://zakupki.prom.ua/gov/tenders/UA-2023-03-23-010680-a</t>
  </si>
  <si>
    <t>https://zakupki.prom.ua/gov/tenders/UA-2023-03-23-010505-a</t>
  </si>
  <si>
    <t>https://zakupki.prom.ua/gov/tenders/UA-2023-03-23-010434-a</t>
  </si>
  <si>
    <t>https://zakupki.prom.ua/gov/tenders/UA-2023-03-23-010247-a</t>
  </si>
  <si>
    <t>Капітальний ремонт будівлі ЗТП-1203 (Улаштування покрівлі з металопрофілю) по вул. Димитрова, смт. Димитрово, Олександрійського району, Кіровоградської області</t>
  </si>
  <si>
    <t>Капітальний ремонт будівлі ЗТП-1202 (Улаштування покрівлі з металопрофілю) по вул. Комсомольська, смт. Димитрово, Олександрійського району, Кіровоградської області</t>
  </si>
  <si>
    <t>Капітальний ремонт будівлі ЗТП-1147 (Улаштування покрівлі з металопрофілю) по вул.6-го Грудня, м. Олександрія, Кіровоградської області</t>
  </si>
  <si>
    <t>Капітальний ремонт будівлі ЗТП-1052 (Улаштування покрівлі з металопрофілю) по вул.Діброви, м. Олександрія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</si>
  <si>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ЗТП-66 с. Першотравенка вул.Гагаріна 1А смт. Компаніївка Кропивницького р-ну Кіровоградської обл. (Улаштування покрівлі з металопрофілю)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</si>
  <si>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ЗТП-96 по вул.Михайлівська 54-п, м. Кропивницький (Улаштування покрівлі з металопрофілю) 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</si>
  <si>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ЗТП-330 с. Голубієвичі вул.Центральна 19, смт. Компаніївка Кропивницького р-ну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</si>
  <si>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обліку, підрядним способом (матеріали підрядника, крім лічильників) с. Марто-Іванівка ЗТП-1393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</si>
  <si>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Електророзподільні кабелі (або еквівалент) (п.2.1.6; 2.7.4 ІП 2023р. та Основна діяльність):Електророзподільні кабелі (або еквівалент) (п.2.1.6; 2.7.4 ІП 2023р. та Основна діяльність)</t>
  </si>
  <si>
    <t>Встановлення однофазних шаф обліку, підрядним способом (матеріали підрядника, крім лічильників) с. Звенигородка, ЗТП-1308, 1364 Олександрійського району (Інвестиційна Програма 2023 року п.2.2.1 1-ф шафа з комплектуючими (улаштування відгалуження за допомогою гаку)</t>
  </si>
  <si>
    <t>31320000-5 Електророзподільні кабелі</t>
  </si>
  <si>
    <t>https://zakupki.prom.ua/gov/tenders/UA-2023-03-27-006723-a</t>
  </si>
  <si>
    <t>https://zakupki.prom.ua/gov/tenders/UA-2023-03-27-006317-a</t>
  </si>
  <si>
    <t>https://zakupki.prom.ua/gov/tenders/UA-2023-03-27-005875-a</t>
  </si>
  <si>
    <t>https://zakupki.prom.ua/gov/tenders/UA-2023-03-27-005517-a</t>
  </si>
  <si>
    <t>https://zakupki.prom.ua/gov/tenders/UA-2023-03-27-005437-a</t>
  </si>
  <si>
    <t>https://zakupki.prom.ua/gov/tenders/UA-2023-03-27-004288-a</t>
  </si>
  <si>
    <t>https://zakupki.prom.ua/gov/tenders/UA-2023-03-27-004027-a</t>
  </si>
  <si>
    <t>https://zakupki.prom.ua/gov/tenders/UA-2023-03-28-006365-a</t>
  </si>
  <si>
    <t>https://zakupki.prom.ua/gov/tenders/UA-2023-03-28-005844-a/lot-187a5374110441c795f3fec8bcf3d913</t>
  </si>
  <si>
    <t>https://zakupki.prom.ua/gov/tenders/UA-2023-03-28-005807-a</t>
  </si>
  <si>
    <t>Встановлення однофазних шаф обліку, підрядним способом (матеріали підрядника, крім лічильників) в м. Олександрія ЗТП-1016, 1017, 1059, 1071, 1082, 1099, 1129, 1130, РП 9/1 Олександрійського району (Інвестиційна Програма 2023 п.2.2.1 1-ф шафа з комплектуючими (улаштування відгалуження за допомогою трубостійки)</t>
  </si>
  <si>
    <t>Встановлення однофазних шаф обліку, підрядним способом (матеріали підрядника, крім лічильників) с. Звенигородка ЗТП-1308, 1364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</si>
  <si>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https://zakupki.prom.ua/gov/tenders/UA-2023-03-30-000276-a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</si>
  <si>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обл., м. Олександрія (п.7.18 ІП 2023)</t>
  </si>
  <si>
    <t>https://zakupki.prom.ua/gov/tenders/UA-2023-03-28-007169-a</t>
  </si>
  <si>
    <t>https://zakupki.prom.ua/gov/tenders/UA-2023-03-28-006674-a</t>
  </si>
  <si>
    <t>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</si>
  <si>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7.20)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</si>
  <si>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7.19)</t>
  </si>
  <si>
    <t>https://zakupki.prom.ua/gov/tenders/UA-2023-03-30-000296-a</t>
  </si>
  <si>
    <t>UA-2023-03-30-000296-a</t>
  </si>
  <si>
    <t>Винесення приладів обліку в спеціальний ящик ЩРЖУ в житловому будинку №41 по вул.Тарковського в м. Кропивницький (п.2.3.5 ІП 2023р)</t>
  </si>
  <si>
    <t>Капітальний ремонт будівлі ЗТП-1205 (Улаштування покрівлі з металопрофілю) по вул. Миру, смт. Димитрово, Олександрійського району, Кіровоградської області</t>
  </si>
  <si>
    <t>Винесення приладів обліку в спеціальний ящик ЩРЖУ в житловому будинку №9д по вул.Братиславська в м. Кропивницький (п.2.3.4 ІП 2023р)</t>
  </si>
  <si>
    <t>п.2.3. ІП-2023р. Винесення приладів обліку в спеціальний ящик ЩРЖУ в житловому будинку №9в по вул. Братиславська в м.Кропивницький</t>
  </si>
  <si>
    <t>Капітальний ремонт будівлі ЗТП-1226 (Улаштування покрівлі з металопрофілю) по вул. Привокзальна, смт. Пантаївка, Олександрійського району, Кіровоградської області</t>
  </si>
  <si>
    <t>п.2.3. ІП-2023р. Винесення приладів обліку в спеціальний ящик ЩРЖУ в житловому будинку №9а по вул. Братиславська в м.Кропивницький</t>
  </si>
  <si>
    <t>п.2.3. ІП-2023р. Винесення приладів обліку в спеціальний ящик ЩРЖУ в житловому будинку №9ба по вул. Братиславська в м.Кропивницький</t>
  </si>
  <si>
    <t>Капітальний ремонт будівлі ЗТП-1204 (Улаштування покрівлі з металопрофілю) по вул. Матросова, смт. Димитрово Олександрійського району, Кіровоградської області</t>
  </si>
  <si>
    <t>https://zakupki.prom.ua/gov/tenders/UA-2023-03-30-003336-a</t>
  </si>
  <si>
    <t>https://zakupki.prom.ua/gov/tenders/UA-2023-03-30-003304-a</t>
  </si>
  <si>
    <t>https://zakupki.prom.ua/gov/tenders/UA-2023-03-30-003251-a</t>
  </si>
  <si>
    <t>https://zakupki.prom.ua/gov/tenders/UA-2023-03-30-003031-a</t>
  </si>
  <si>
    <t>https://zakupki.prom.ua/gov/tenders/UA-2023-03-30-003000-a</t>
  </si>
  <si>
    <t>https://zakupki.prom.ua/gov/tenders/UA-2023-03-30-002930-a</t>
  </si>
  <si>
    <t>https://zakupki.prom.ua/gov/tenders/UA-2023-03-30-002824-a</t>
  </si>
  <si>
    <t>https://zakupki.prom.ua/gov/tenders/UA-2023-03-30-002711-a</t>
  </si>
  <si>
    <t>Капітальний ремонт будівлі ЗТП-1207 (Улаштування покрівлі з металопрофілю) по вул. Вишнева, смт.Димитрово, Олександрійського району, Кіровоградської області</t>
  </si>
  <si>
    <t>UA-2023-03-30-004919-a</t>
  </si>
  <si>
    <t>https://zakupki.prom.ua/gov/tenders/UA-2023-03-30-004919-a</t>
  </si>
  <si>
    <t>https://zakupki.prom.ua/gov/tenders/UA-2023-03-30-005086-a</t>
  </si>
  <si>
    <t>UA-2023-03-30-005086-a</t>
  </si>
  <si>
    <t>Капітальний ремонт ЗТП-141 по вул.Калініна, 69, с. Глодоси, Кіровоградської області (Улаштування покрівлі з металопрофілю, вимощення)</t>
  </si>
  <si>
    <t>Капітальний ремонт ЗТП-530 по вул. Метелькова, 53-а, м. Новоукраїнка, Кіровоградської області (Улаштування покрівлі з металопрофілю)</t>
  </si>
  <si>
    <t>Капітальний ремонт будівлі ЗТП-419 по вул. Жовтнева 64-а, смт. Завалля, Кіровоградської області (Улаштування покрівлі з металопрофілю)</t>
  </si>
  <si>
    <t>Капітальний ремонт будівлі ЗТП-469 по вул. Садова, 54 смт. Новоархангельськ, Кіровоградської області (Улаштування покрівлі з металопрофілю, вимощення)</t>
  </si>
  <si>
    <t>Капітальний ремонт будівлі ЗТП-24 по пров.Колгоспний, смт. Добровеличківка, Кіровоградської області (Улаштування покрівлі з металопрофілю, посилення стін мет.конструкцією)</t>
  </si>
  <si>
    <t>Капітальний ремонт будівлі ОПУ П/СТ 35/10 кВ "Помічна" по вул. Люби Шевцової, м. Помічна, Добровеличківського району Кіровоградської області (Улаштування покрівлі з металопрофілю)</t>
  </si>
  <si>
    <t>Капітальний ремонт будівлі ЗТП-658 по вул. Осипенка 34а, м. Помічна, Добровеличківського району, Кіровоградської області (Улаштування покрівлі  металопрофілю, вимощення)</t>
  </si>
  <si>
    <t>https://zakupki.prom.ua/gov/tenders/UA-2023-03-31-004510-a</t>
  </si>
  <si>
    <t>https://zakupki.prom.ua/gov/tenders/UA-2023-03-31-004318-a</t>
  </si>
  <si>
    <t>https://zakupki.prom.ua/gov/tenders/UA-2023-03-31-003446-a</t>
  </si>
  <si>
    <t>https://zakupki.prom.ua/gov/tenders/UA-2023-03-31-003235-a</t>
  </si>
  <si>
    <t>https://zakupki.prom.ua/gov/tenders/UA-2023-03-31-002787-a</t>
  </si>
  <si>
    <t>https://zakupki.prom.ua/gov/tenders/UA-2023-03-31-002313-a</t>
  </si>
  <si>
    <t>https://zakupki.prom.ua/gov/tenders/UA-2023-03-31-001976-a</t>
  </si>
  <si>
    <t xml:space="preserve">ЛОТ 1 - Реконструкція ЦРП-1 в м. Кропивницький Кіровоградської області (Кіровоградський МРЕМ), </t>
  </si>
  <si>
    <t>ЛОТ 2 - Реконструкція ЦРП-2 в м. Кропивницький Кіровоградської області (Кіровоградський МРЕМ) (пункт 1.12.1, 1.12.2 Інвестиційної Програми 2023)</t>
  </si>
  <si>
    <t>Роботи по встановленню однофазних шаф обліку, підрядним способом (матеріали підрядника, крім лічильників) в с. Тополі КТП – 14, 237, 428, 429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</si>
  <si>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Ташлик КТП -82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</si>
  <si>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Солгутове КТП – 44,119,254,339,340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</si>
  <si>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Жакчик КТП - 58, 59, 60, 67 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</si>
  <si>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 xml:space="preserve">Роботи по встановленню однофазних шаф обліку, підрядним способом (матеріали підрядника, крім лічильників) в с. Березівка КТП-173,81 Голованівського району, (п.2.2.1 1-ф шафа з комплектуючими (улаштування відгалуження за допомогою гаку) </t>
  </si>
  <si>
    <t>Встановлення однофазних шаф обліку в с. Чемерпіль КТП-100,201,84,86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</si>
  <si>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в м. Гайворон КТП-57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</si>
  <si>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облiку, пiдрядним способом (матерiалlл пiдрядника, крім лічильників) в м. Гайворон КТП - 57, 207 , 257, 342, 350 Голованiвськогор-ну, (п,2.2. 1-ф пlафа з комплектуюtIими (улашryвання вiдгалуження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</si>
  <si>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смт. Завалля КТП - 282, 283, 284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</si>
  <si>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с. Чемерпіль КТП - 84, 86, 99, 100, 133, 149, 201, 388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</si>
  <si>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 в с. Хащувате КТП – 12, 135, 166, 167, 180, 241, 249, 250, 251, 252, 259 Голованівськогор-ну (п.2.2.1 улаштування відгалуження за допомогою гаку)Відповідно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</t>
  </si>
  <si>
    <t>Конструкційні матеріали (або еквівалент), основна діяльність, приєднання</t>
  </si>
  <si>
    <t>Продукція, пов'язана з конструкційними матеріалами (або еквівалент), основна діяльність, приєднання:Продукція, пов'язана з конструкційними матеріалами (або еквівалент), основна діяльність, приєднання</t>
  </si>
  <si>
    <t>44140000-3 Продукція, пов’язана з конструкційними матеріалами</t>
  </si>
  <si>
    <t>Приєднання</t>
  </si>
  <si>
    <t>https://zakupki.prom.ua/gov/tenders/UA-2023-04-03-000950-a/lot-44d17cfb5b2f434d89437c54c8b6faf6</t>
  </si>
  <si>
    <t>https://zakupki.prom.ua/gov/tenders/UA-2023-04-03-010145-a</t>
  </si>
  <si>
    <t>https://zakupki.prom.ua/gov/tenders/UA-2023-04-03-010385-a</t>
  </si>
  <si>
    <t>https://zakupki.prom.ua/gov/tenders/UA-2023-04-03-010464-a</t>
  </si>
  <si>
    <t>https://zakupki.prom.ua/gov/tenders/UA-2023-04-03-010551-a</t>
  </si>
  <si>
    <t>https://zakupki.prom.ua/gov/tenders/UA-2023-04-03-010561-a</t>
  </si>
  <si>
    <t>https://zakupki.prom.ua/gov/tenders/UA-2023-04-03-010636-a</t>
  </si>
  <si>
    <t>https://zakupki.prom.ua/gov/tenders/UA-2023-04-04-000044-a</t>
  </si>
  <si>
    <t>https://zakupki.prom.ua/gov/tenders/UA-2023-04-04-000049-a</t>
  </si>
  <si>
    <t>https://zakupki.prom.ua/gov/tenders/UA-2023-04-04-000133-a</t>
  </si>
  <si>
    <t>https://zakupki.prom.ua/gov/tenders/UA-2023-04-04-000406-a</t>
  </si>
  <si>
    <t>https://zakupki.prom.ua/gov/tenders/UA-2023-04-04-000680-a</t>
  </si>
  <si>
    <t>https://zakupki.prom.ua/gov/tenders/UA-2023-04-04-000779-a</t>
  </si>
  <si>
    <t>https://zakupki.prom.ua/gov/tenders/UA-2023-04-04-009813-a/lot-ef71cd4b497b4597a20602ce6c7ca54c</t>
  </si>
  <si>
    <t>UA-2023-04-04-009813-a</t>
  </si>
  <si>
    <t>45310000-3 Електромонтажні роботи</t>
  </si>
  <si>
    <t>Нове будівництво АСДУ ПС 150/35/10кВ (8 ПС-150кВ) (пункт 3.3 Інвестиційної Програми 2023)</t>
  </si>
  <si>
    <t>Персональний нагрудний відіореєстратор Х5В (ІП 2023 п.2.8.3) (або еквівалент):Персональний нагрудний відіореєстратор Х5В (ІП 2023 п.2.8.3) (або еквівалент)</t>
  </si>
  <si>
    <t>Будівництво КТП-823 для зовнішнього електропостачання станції технічного обслуговування автомобілів гр. Вдовиченка С.В. в с. Соколівське, вул. Автолюбителів, 3е</t>
  </si>
  <si>
    <t>Будівництво ПЛ-10кВ від оп.№52 ПЛ-10 кВ Л-175 ПС «Подорожнє»-35/10кВ для зовнішнього електропостачання тимчасової споруди насосної станції ТОВ «КІНГ ІНВЕСТ КАПІТАЛ» на території Подорожненської сільської ради, кад. №3525287600:02:000:0646 Олександрійського району Кіровоградської області</t>
  </si>
  <si>
    <t>Поточний ремонт категорії "Б" елегазових вимикачів типу LTB-170 на ПС 150/35/10 кВ Березівка</t>
  </si>
  <si>
    <t>Стійки СВ-105-5, до пункту 1.10. Інвестиційної програми 2022 (Укладення договору згідно пп.6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</si>
  <si>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45259000-7 Ремонт і технічне обслуговування установок</t>
  </si>
  <si>
    <t xml:space="preserve"> </t>
  </si>
  <si>
    <t>https://zakupki.prom.ua/gov/tenders/UA-2023-04-04-001043-a</t>
  </si>
  <si>
    <t>https://zakupki.prom.ua/gov/tenders/UA-2023-04-05-010348-a</t>
  </si>
  <si>
    <t>https://zakupki.prom.ua/gov/tenders/UA-2023-04-05-009691-a</t>
  </si>
  <si>
    <t>https://zakupki.prom.ua/gov/tenders/UA-2023-04-05-004163-a</t>
  </si>
  <si>
    <t>https://zakupki.prom.ua/gov/tenders/UA-2023-04-07-001645-a/lot-5e7b108dfd3a4c3c94c9a7185a2cf0c2</t>
  </si>
  <si>
    <t>Будівництво 2КЛ-10кВ ТП-1181-ТП-1548 для зовнішнього електропостачання закладу швидкого обслуговування ПП "ЕРМІС ЛТД" в м. Олександрія, вул. Г. Сталінграду, 21а</t>
  </si>
  <si>
    <t>Реконструкція РУ-10кВ ЗТП-1181 для зовнішнього електропостачання закладу швидкого обслуговування ПП "ЕРМІС ЛТД" в м. Олександрія, вул. Г.Сталінграду, 21а</t>
  </si>
  <si>
    <t>Електрична апаратура для комутування та захисту електричних кіл (або еквівалент), основна діяльність, приєднання</t>
  </si>
  <si>
    <t>31210000-1 Електрична апаратура для комутування та захисту електричних кіл</t>
  </si>
  <si>
    <t>https://zakupki.prom.ua/gov/tenders/UA-2023-04-17-000351-a</t>
  </si>
  <si>
    <t>https://zakupki.prom.ua/gov/tenders/UA-2023-04-17-000253-a</t>
  </si>
  <si>
    <t>https://zakupki.prom.ua/gov/tenders/UA-2023-04-20-008821-a</t>
  </si>
  <si>
    <t>Відмінено за видатками</t>
  </si>
  <si>
    <t>Шафа КТП-1000 10/0,4 кВ (приєднання) (або еквівалент).</t>
  </si>
  <si>
    <t>Трансформатор ТМГ-1000 10/0,4 кВ (приєднання) (або еквівалент)</t>
  </si>
  <si>
    <t>31680000-6 Електричне приладдя та супутні товари до електричного обладнання</t>
  </si>
  <si>
    <t>https://zakupki.prom.ua/gov/tenders/UA-2023-04-25-007183-a/lot-8748c140f01f431cab69c26fe9becfb6</t>
  </si>
  <si>
    <t>https://zakupki.prom.ua/gov/tenders/UA-2023-04-25-007048-a/lot-91069dccfabd49dfaece71f560c7f851</t>
  </si>
  <si>
    <t>https://zakupki.prom.ua/gov/tenders/UA-2023-04-25-003327-a</t>
  </si>
  <si>
    <t>Здійснення авторського нагляду за будівництвом об'єкта: "Реконструкція ЗРУ-10 кВ ПС 150/35/10 кВ "Бобринець" в м. Бобринець, Кіровоградський район, Кіровоградська область (пункт Інвестиційної програми 1.6)</t>
  </si>
  <si>
    <t xml:space="preserve">Здійснення авторського нагляду за будівництвом об'єкта: "Реконструкція ПЛ-10кВ Л-116 в с. Краснопілка, с. Лозуватка Новоукраїнського району Кіровоградської області" (пункт Інвестиційної Програми 1.1.3) </t>
  </si>
  <si>
    <t>Здійснення авторського нагляду за будівництвом об'єкта: "Реконструкція ПЛ-10 кВ Л-132 в с. Липняжка Новоукраїнського району Кіровоградської області" (пункт Інвестиційної Програми 1.1.1)</t>
  </si>
  <si>
    <t>Здійснення авторського нагляду за будівництвом об'єкта: "Реконструкція ПЛ-10 кВ Л-145 в Новоукраїнському районі Кіровоградської області" (пункт Інвестиційної Програми 1.1.2)</t>
  </si>
  <si>
    <t>Здійснення авторського нагляду за будівництвом об'єкта: "Реконструкція ПЛ-10 кВ Л-1122 в с. Павлівка Олександрійського району  Кіровоградської області" (пункт Інвестиційної Програми 1.1.4)</t>
  </si>
  <si>
    <t>Відновлення асфальтобетонного покриття після КР КЛ-0,4/10 кВ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</si>
  <si>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КЛ-35кВ відгалуження від ПЛ-35 кВ Л-608 до ПС 35/6 кВ Луч в м. Олександрія Кіровоградської області (Укладення договору згідно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</si>
  <si>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ПС-35/10кВ Будіндустрія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</si>
  <si>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 35/6кВ БСІ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</si>
  <si>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71247000-1 Нагляд за будівельними роботами</t>
  </si>
  <si>
    <t>https://zakupki.prom.ua/gov/tenders/UA-2023-04-27-001496-a</t>
  </si>
  <si>
    <t>https://zakupki.prom.ua/gov/tenders/UA-2023-04-27-002191-a</t>
  </si>
  <si>
    <t>https://zakupki.prom.ua/gov/tenders/UA-2023-04-27-002515-a</t>
  </si>
  <si>
    <t>https://zakupki.prom.ua/gov/tenders/UA-2023-04-27-002688-a</t>
  </si>
  <si>
    <t>https://zakupki.prom.ua/gov/tenders/UA-2023-04-27-003600-a</t>
  </si>
  <si>
    <t>https://zakupki.prom.ua/gov/tenders/UA-2023-05-01-006160-a</t>
  </si>
  <si>
    <t>https://zakupki.prom.ua/gov/tenders/UA-2023-05-04-010342-a</t>
  </si>
  <si>
    <t>https://zakupki.prom.ua/gov/tenders/UA-2023-05-04-010968-a</t>
  </si>
  <si>
    <t>https://zakupki.prom.ua/gov/tenders/UA-2023-05-04-011709-a</t>
  </si>
  <si>
    <t>Відмінено за тихнічною помилкою</t>
  </si>
  <si>
    <t>https://zakupki.prom.ua/gov/tenders/UA-2023-04-26-009769-a</t>
  </si>
  <si>
    <t>UA-2023-04-26-009769-a</t>
  </si>
  <si>
    <t>Будівництво ділянки КЛ-10 кВ ТП-757 - ТП-826 для зовнішнього електропостачання комплексу будівель ТОВ "АВ ІНВЕСТ ГРУП" по вул. Мурманська, 43 в смт. Нове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</si>
  <si>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КЛ-10кВ ТП-503 - ТП-823 для зовнішнього електропостачання станції технічного обслуговування автомобілів гр. Вдовиченка С.В. в с. Соколівське, вул. Автолюбителів, 3е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</si>
  <si>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КЛ-0,4 кВ РБ-33 ТП-516 в м. Кропивницький для зовнішнього електропостачання комплексу ФОП Колос Є.В.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</si>
  <si>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Шафа КТП-1000 10/0,4 кВ (приєднання) (або еквівалент):Шафа КТП-1000 10/0,4 кВ (приєднання) (або еквівалент)</t>
  </si>
  <si>
    <t>Роботи по реконструкції ЦРП-25 м.Кропивницький</t>
  </si>
  <si>
    <t>Роботи по будівництву КЛ-10 кВ ЦРП-25 ПС Тягова-1 м. Кропивницький</t>
  </si>
  <si>
    <t>Роботи по будівництву КЛ 0,4кВ від ЗТП-757 с.Соколівське</t>
  </si>
  <si>
    <t>Капітальний ремонт будівлі ЗТП-194 по вул. Київська, 97 п в м.Кропивницький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</si>
  <si>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Трансформатор ТМГ-1000 10/0,4 кВ (приєднання) (або еквівалент):Трансформатор ТМГ-1000 10/0,4 кВ (приєднання) (або еквівалент)</t>
  </si>
  <si>
    <t>од</t>
  </si>
  <si>
    <t>https://zakupki.prom.ua/gov/tenders/UA-2023-05-10-013084-a</t>
  </si>
  <si>
    <t>https://zakupki.prom.ua/gov/tenders/UA-2023-05-10-012762-a</t>
  </si>
  <si>
    <t>https://zakupki.prom.ua/gov/tenders/UA-2023-05-11-005095-a</t>
  </si>
  <si>
    <t>https://zakupki.prom.ua/gov/tenders/UA-2023-05-11-004787-a/lot-70f892454c7144e0aa051568026c3a1f</t>
  </si>
  <si>
    <t>https://zakupki.prom.ua/gov/tenders/UA-2023-05-12-007347-a</t>
  </si>
  <si>
    <t>https://zakupki.prom.ua/gov/tenders/UA-2023-05-12-007145-a</t>
  </si>
  <si>
    <t>https://zakupki.prom.ua/gov/tenders/UA-2023-05-12-007007-a</t>
  </si>
  <si>
    <t>https://zakupki.prom.ua/gov/tenders/UA-2023-05-12-004983-a</t>
  </si>
  <si>
    <t>https://zakupki.prom.ua/gov/tenders/UA-2023-05-15-012110-a/lot-f51f37ef23534791923349f019e0b876</t>
  </si>
  <si>
    <t>Скасована за відсутністю коштів</t>
  </si>
  <si>
    <t>Скасовано за видатками</t>
  </si>
  <si>
    <t>Будівництво КЛ-0,4кВ А-20 ТП-425 для зовнішнього електропостачання комплексу будівель ТОВ "АВТОМИЙСАМЦЕНТР" по просп. Інженерів, 21 в м.Кропивницький</t>
  </si>
  <si>
    <t>Будівництво КЛ-04кВ від ЗТП-501 для зовнішнього електропостачання абонентської станції мобільного зв'язку в м. Кропивницький, вул. Героїв України</t>
  </si>
  <si>
    <t>https://zakupki.prom.ua/gov/tenders/UA-2023-05-30-010582-a</t>
  </si>
  <si>
    <t>https://zakupki.prom.ua/gov/tenders/UA-2023-06-05-010990-a</t>
  </si>
  <si>
    <t>Капітальний ремонт будівлі ЗТП-1223 по вул. Л.Українки, смт. Понтаївка, Олександрійського р-ну,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</si>
  <si>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П/СТ "Братолюбівка" будинок зв'язку</t>
  </si>
  <si>
    <t>Капітальний ремонт будівлі ЗТП-1164 по вул. Садова, м. Олександрія,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</si>
  <si>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ЗТП-349 в с.Пишне, Долинський р-н, Кіровоградської області (Улаштування покрівлі з металопрофілю)</t>
  </si>
  <si>
    <t>Капітальний ремонт підземного резервуара для води ПС "Кіровоградська" по вул. Героїв України, 47 в м. Кропивницький</t>
  </si>
  <si>
    <t>Виконання робіт по контуру заземлення на ПС 150/35/6 кВ ЗЧМ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</si>
  <si>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https://zakupki.prom.ua/gov/tenders/UA-2023-06-15-009126-a</t>
  </si>
  <si>
    <t>https://zakupki.prom.ua/gov/tenders/UA-2023-06-15-008920-a</t>
  </si>
  <si>
    <t>https://zakupki.prom.ua/gov/tenders/UA-2023-06-15-008882-a</t>
  </si>
  <si>
    <t>https://zakupki.prom.ua/gov/tenders/UA-2023-07-04-003582-a</t>
  </si>
  <si>
    <t>https://zakupki.prom.ua/gov/tenders/UA-2023-07-04-003089-a</t>
  </si>
  <si>
    <t>https://zakupki.prom.ua/gov/tenders/UA-2023-07-05-000234-a</t>
  </si>
  <si>
    <t>Капітальний ремонт огорожі ПС 35/10 кВ "Канатово", с. Бережинка, вулиця Аджамська, 100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</si>
  <si>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КТП-417 в с. Тишківка Добровеличківського РЕМ (монтаж системи контролю якості електроенергії Linax) для зовнішнього електропостачання ТОВ "Енергетична система ЛТД" в с.Тишківка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</si>
  <si>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1 - Реконструкція ЦРП-1 в м. Кропивницький Кіровоградської області (Кіровоградський МРЕМ)(пункт 1.12.1 Інвестиційної Програми 2023)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</si>
  <si>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2 - Реконструкція ЦРП-2 в м. Кропивницький Кіровоградської області (Кіровоградський МРЕМ) (пункт 1.12.2 Інвестиційної Програми 2023)</t>
  </si>
  <si>
    <t>Реконструкція ділянки ПЛ-10кВ Л-113 від ПС-150/35/10кВ "Новоукраїнка", яка розташована за адресою: вул. м. Вороного, м. Новоукпаїнка, Кіровоградської області для гр. Шиптенко А.Г.</t>
  </si>
  <si>
    <t>Нове будівництво ПЛ-10кВ Л-124 оп.№595  ПС "Добровеличківка" для зовнішнього електропостачання сушарки з будмайданом за адресою: вул. Садова в с. Михайлівка Добровеличківського району Кіровоградської області для СФГ "ЄВГЕН"</t>
  </si>
  <si>
    <t>Капітальний ремонт будівлі ЗТП-215 по вул. Ореста Гуменюка, 10а, м. Благовіщенськ, Кіровоградської області (Улаштування покрівлі з металопрофілю)</t>
  </si>
  <si>
    <t>Нове будівництво 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</si>
  <si>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Нове будівництво ПЛ-10 кВ Ф-1У-КТП-824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</si>
  <si>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Технічне переоснащення комірки 10 кВ ПС "УВТК"-35/10кВ в м.Кропивницький для зовнішнього електропостачання складського комплексу з будівельнм майданчиком ТОВ "АЛІКА-ЛОГІСТИК"</t>
  </si>
  <si>
    <t>Будівництво КЛ-0,4кВ від ЗТП-246 для зовнішнього електропостачання нежитлової будівлі (кафе) ФОП Мурадова Е.М. в м. Кропивницький, вул. Євгена Тельнова, 11/31а</t>
  </si>
  <si>
    <t>Будівництво КЛ-10 кВ ТП-827-ТП-246 для зовнішнього електропостачання адміністративно-комерційного комплексу ПП "СОІНС-250" по вул. Євгена Тельнова, (між буд.№11 тп №13)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</si>
  <si>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ТП-827-ТП-134 для зовнішнього ел.постачання адм.-комерційного комплексу ПП "СОІНС-250" по вул. Євгена Тельнова, (між буд.№11 та № 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</si>
  <si>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(приєднання):Будівництво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</t>
  </si>
  <si>
    <t>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(приєднання):Будівництво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</t>
  </si>
  <si>
    <t>https://zakupki.prom.ua/gov/tenders/UA-2023-07-13-000492-a</t>
  </si>
  <si>
    <t>https://zakupki.prom.ua/gov/tenders/UA-2023-07-19-002763-a</t>
  </si>
  <si>
    <t>https://zakupki.prom.ua/gov/tenders/UA-2023-07-12-001298-a</t>
  </si>
  <si>
    <t>https://zakupki.prom.ua/gov/tenders/UA-2023-07-24-008868-a</t>
  </si>
  <si>
    <t>https://zakupki.prom.ua/gov/tenders/UA-2023-07-24-009279-a</t>
  </si>
  <si>
    <t>https://zakupki.prom.ua/gov/tenders/UA-2023-07-24-010799-a</t>
  </si>
  <si>
    <t>https://zakupki.prom.ua/gov/tenders/UA-2023-07-27-007665-a</t>
  </si>
  <si>
    <t>https://zakupki.prom.ua/gov/tenders/UA-2023-07-27-007812-a</t>
  </si>
  <si>
    <t>https://zakupki.prom.ua/gov/tenders/UA-2023-08-01-001890-a</t>
  </si>
  <si>
    <t>https://zakupki.prom.ua/gov/tenders/UA-2023-08-01-002229-a</t>
  </si>
  <si>
    <t>https://zakupki.prom.ua/gov/tenders/UA-2023-08-03-000375-a</t>
  </si>
  <si>
    <t>https://zakupki.prom.ua/gov/tenders/UA-2023-08-03-004393-a</t>
  </si>
  <si>
    <t>https://zakupki.prom.ua/gov/tenders/UA-2023-08-01-001260-a/lot-6b72f122b7db4fb6a6217468b220f720</t>
  </si>
  <si>
    <t>https://zakupki.prom.ua/gov/tenders/UA-2023-08-01-000893-a/lot-746cdfb4e2ef4d19877b6e765de0c497</t>
  </si>
  <si>
    <t>Будівництво КЛ-0,4 кВ від ЗТП-396 в м.Кропивницький для зовн. ел.постачання комплексу ПП "АТ-КОНСАЛТИНГ" по просп. Університетський 11-А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</si>
  <si>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Придбання УКХ радіостанцій типу HYTERA HM785 (136-174 МГц), або аналог (пункт 5.1. Інвестиційної Програми 2023 року):Придбання УКХ радіостанцій типу HYTERA HM785 (136-174 МГц), або аналог (пункт 5.1. Інвестиційної Програми 2023 року)</t>
  </si>
  <si>
    <t>Придбання вакуумних вимикачів 6-10кВ для заміни існуючих на ПС-35кВ (господарський спосіб) (пункт 1.13 Інвестиційної Програми 2023 року):Придбання вакуумних вимикачів 6-10кВ для заміни існуючих на ПС-35кВ (господарський спосіб) (пункт 1.13 Інвестиційної Програми 2023 року)</t>
  </si>
  <si>
    <t>Придбання програмного комплексу по забезпеченню кібербезпеки (пункт 4.3 Інвестиційної Програми 2023 року):Придбання програмного комплексу по забезпеченню кібербезпеки (пункт 4.3 Інвестиційної Програми 2023 року)</t>
  </si>
  <si>
    <t>Придбання системи гарантованого електроживлення СГЕ-48-3,0;48-30, або аналог (пункт 7.22. Інвестиційної Програми 2023 року):Придбання системи гарантованого електроживлення СГЕ-48-3,0;48-30, або аналог (пункт 7.22. Інвестиційної Програми 2023 року)</t>
  </si>
  <si>
    <t>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</t>
  </si>
  <si>
    <t>Розробка ПКД “Реконструкція ПЛ-150кВ Л-85К, Л-86К “Кварцит – Тимкове тяг.” в Кіровоградській області” (перехідний захід ІП-2023 - ІП-2024 п.1.14.1):Розробка ПКД “Реконструкція ПЛ-150кВ Л-85К, Л-86К “Кварцит – Тимкове тяг.” в Кіровоградській області” (перехідний захід ІП-2023 - ІП-2024 п.1.14.1)</t>
  </si>
  <si>
    <t>Капітальний ремонт будівлі ОПУ, ЗРУ П/СТ "Березівка" (заміна дверей, вікон), вул. Ентузіастів, 51, с. Березівка, Новоукраїнський р-н, Кіровоградська область</t>
  </si>
  <si>
    <t>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(Приєднання):Будівництво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</t>
  </si>
  <si>
    <t>Персональний нагрудний відеореєстратор Х5В (ІП 2023 п.2.8.3) (або еквівалент):Персональний нагрудний відеореєстратор Х5В (ІП 2023 п.2.8.3) (або еквівалент)</t>
  </si>
  <si>
    <t>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спосіб):Пристрої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</t>
  </si>
  <si>
    <t>48760000-3 Пакети програмного забезпечення для захисту від вірусів</t>
  </si>
  <si>
    <t>31120000-3 Генератори</t>
  </si>
  <si>
    <t>45220000-5 Інженерні та будівельні роботи</t>
  </si>
  <si>
    <t>https://zakupki.prom.ua/gov/tenders/UA-2023-08-09-006222-a/lot-54fe11372eb745f5a0360f700d959367</t>
  </si>
  <si>
    <t>https://zakupki.prom.ua/gov/tenders/UA-2023-08-09-003000-a/lot-d4a4536a59314e52a58dc77f503c93ca</t>
  </si>
  <si>
    <t>https://zakupki.prom.ua/gov/tenders/UA-2023-08-10-007949-a/lot-9af6122684ce49b1a18121432078d5c2</t>
  </si>
  <si>
    <t>https://zakupki.prom.ua/gov/tenders/UA-2023-08-08-008804-a</t>
  </si>
  <si>
    <t>https://zakupki.prom.ua/gov/tenders/UA-2023-08-10-004148-a/lot-60095470beea46aa904181de3a644481</t>
  </si>
  <si>
    <t>https://zakupki.prom.ua/gov/tenders/UA-2023-08-10-003836-a/lot-698949e70bbb4cda9c996c907d8d8ab4</t>
  </si>
  <si>
    <t>https://zakupki.prom.ua/gov/tenders/UA-2023-08-10-003635-a/lot-d5f74a8ffaa04c40bf915cd80a144b4c</t>
  </si>
  <si>
    <t>https://zakupki.prom.ua/gov/tenders/UA-2023-08-10-000166-a</t>
  </si>
  <si>
    <t>https://zakupki.prom.ua/gov/tenders/UA-2023-08-15-012899-a/lot-4a4a907c0e9b41c7ad42e2fa2519f6a4</t>
  </si>
  <si>
    <t>https://zakupki.prom.ua/gov/tenders/UA-2023-08-15-010986-a/lot-2aa5ff2724b74675b7d314883988d21b</t>
  </si>
  <si>
    <t>https://zakupki.prom.ua/gov/tenders/UA-2023-08-15-005675-a/lot-e037d4ca0fec46879f3d99f83852f7e2</t>
  </si>
  <si>
    <t>послуги</t>
  </si>
  <si>
    <t>Капітальний ремонт будівлі ОПУ П/СТ "Магнітна" по вул. Соборна, 1а, м. Знам'янка, Кіровоградської області (заміна вікон)</t>
  </si>
  <si>
    <t>Будівництво ЩТП-231 для зовн.ел.постач.стан.моб.зв.ПрАТ "ВФ Україна"</t>
  </si>
  <si>
    <t>Будівництво ПЛ-10кВ Л-201оп.196-200 для зовн.ел.постач.стан.моб.зв.ПрАТ "ВФ Україна"</t>
  </si>
  <si>
    <t>Будівництво КЛ-0,4кВ від ЗТП-422 для зовнішнього електропостачання торгівельних павільйонів ТОВ "РОКСОЛАНА ЛТД" в м. Кропивницький, біля перехрестя вулиць Героїв України та Пацаєва</t>
  </si>
  <si>
    <t>Трансформатор ТМГ-63 10/0,4 кВ (приєднання) (або еквівалент).:Трансформатор ТМГ-63 10/0,4 кВ (приєднання) (або еквівалент).</t>
  </si>
  <si>
    <t>https://zakupki.prom.ua/gov/tenders/UA-2023-08-23-006097-a</t>
  </si>
  <si>
    <t>https://zakupki.prom.ua/gov/tenders/UA-2023-08-23-006676-a</t>
  </si>
  <si>
    <t>https://zakupki.prom.ua/gov/tenders/UA-2023-08-23-004657-a</t>
  </si>
  <si>
    <t>https://zakupki.prom.ua/gov/tenders/UA-2023-08-24-003436-a</t>
  </si>
  <si>
    <t>https://zakupki.prom.ua/gov/tenders/UA-2023-08-24-000445-a/lot-a7f22f5f2e5a47c4ba0e6767db0131e1</t>
  </si>
  <si>
    <t>Улаштування захисної споруди тр-ру П/СТ 150/35/6 кВ "ГПП" по Кременчуцькому шосе в м. Світловодськ, Кіровоградської області</t>
  </si>
  <si>
    <t>45450000-6 Інші завершальні будівельні роботи</t>
  </si>
  <si>
    <t>https://zakupki.prom.ua/gov/tenders/UA-2023-09-04-001378-a</t>
  </si>
  <si>
    <t xml:space="preserve">Улаштування захисної споруди тр-ра ПС 150/35/10 кВ "Скельова" по вул. Перше Травня, 114 с-ще Велика Скельова олександрійського р-ну Кіровоградської області </t>
  </si>
  <si>
    <t>https://zakupki.prom.ua/gov/tenders/UA-2023-08-28-000647-a</t>
  </si>
  <si>
    <t>Шафа обліку ЯУ-1 без автомата (або еквівалент), основна діяльність, приєднання:Шафа обліку ЯУ-1 без автомата (або еквівалент), основна діяльність, приєднання</t>
  </si>
  <si>
    <t>https://zakupki.prom.ua/gov/tenders/UA-2023-08-29-004307-a/lot-29de64d61f3c4a659508a7ed55f85965</t>
  </si>
  <si>
    <t>Будівництво КТП-194 в смт. Голованівськ для зовнішнього електропостачання автомийки  гр. Голімбієвська Т. П. по вул.Соборна</t>
  </si>
  <si>
    <t>https://zakupki.prom.ua/gov/tenders/UA-2023-08-31-001439-a</t>
  </si>
  <si>
    <t>Будівництво ПЛ-10кВ Л-119 ПС "Голованівська"-35/10кВ оп.56-56/1 в смт. Голованівськ для зовнішнього електропостачання автомийки  гр. Голімбієвська Т. П. по вул. Соборна</t>
  </si>
  <si>
    <t>https://zakupki.prom.ua/gov/tenders/UA-2023-08-31-001572-a</t>
  </si>
  <si>
    <t>Будівництво ПЛІ-0,4кВ ТП-260 Л-10 оп.№9-13 для зовнішнього електропостачання абонентської станції мобільного зв'язку ПрАТ "Київстар" у м.  Кропивницький, вул. Велика Перспективна, 24</t>
  </si>
  <si>
    <t>https://zakupki.prom.ua/gov/tenders/UA-2023-08-31-001699-a</t>
  </si>
  <si>
    <t>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</t>
  </si>
  <si>
    <t>https://zakupki.prom.ua/gov/tenders/UA-2023-09-01-009213-a/lot-90484c7cd7804a2ebcb0d1ddd4096d53</t>
  </si>
  <si>
    <t xml:space="preserve"> скорочення видатків на здійснення закупівлі товарів, робіт і послуг</t>
  </si>
  <si>
    <t>13 370</t>
  </si>
  <si>
    <t>https://zakupki.prom.ua/gov/tenders/UA-2023-09-12-005223-a/lot-dd6dd2c6db7946bab695096ee94db247</t>
  </si>
  <si>
    <t>Будівництво ПЛІ-0,4кв А-30 ТП-261 оп.№5 в м. Кропивницький для зовнішнього електропостачання абонентської станції мобільного зв'язку  "Київстар" по вул. Івана Похитонова, 4</t>
  </si>
  <si>
    <t>https://zakupki.prom.ua/gov/tenders/UA-2023-09-12-003129-a</t>
  </si>
  <si>
    <t>Будівництво КЛ-0,4кВ від КТП-814 в м. Кропивницький для зовнішнього електропостачання центру експлуатації ПрАТ "ВФ Україна" по вул. Автолюбителів</t>
  </si>
  <si>
    <t>Будівництво ПЛІ-0,4кВ від КТП-814 в м. Кропивницький для зовнішнього електропостачання центру експлуатації ПрАТ "ВФ Україна" по вул. Автолюбителів</t>
  </si>
  <si>
    <t>https://zakupki.prom.ua/gov/tenders/UA-2023-09-12-002759-a</t>
  </si>
  <si>
    <t>https://zakupki.prom.ua/gov/tenders/UA-2023-09-12-001499-a</t>
  </si>
  <si>
    <t>Придбання переносного приладу Е-125 "Гармоніка-М"  для визначення місць замикання на землю ПЛ 6-35кВ, або еквівалент до пункту 7.13 Інвестиційної програми 2023:Придбання переносного приладу Е-125 "Гармоніка-М"  для визначення місць замикання на землю ПЛ 6-35кВ, або еквівалент до пункту 7.13 Інвестиційної програми 2023</t>
  </si>
  <si>
    <t>https://zakupki.prom.ua/gov/tenders/UA-2023-09-06-008139-a/lot-93a24d6c4fdb4ddba53a8d2ec00ae2b8</t>
  </si>
  <si>
    <t>Садова техніка різна (або еквівалент) (Інвестиційна програма 2023 п. 7.6-7.10):Садова техніка різна (або еквівалент) (Інвестиційна програма 2023 п. 7.6-7.10)</t>
  </si>
  <si>
    <t>https://zakupki.prom.ua/gov/tenders/UA-2023-09-06-007953-a/lot-665ab122074d4269b70ceb0ce24e0253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</si>
  <si>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2023:Придбання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</si>
  <si>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https://zakupki.prom.ua/gov/tenders/UA-2023-09-06-007560-a/lot-db8ff7c4cb604387bc65ed74a83e9936</t>
  </si>
  <si>
    <t>Придбання комплекту засобів для бригад по обслуговуванню обладнання підстанцій 35кВ (СП) (п.7.4 ІП 2023р.) (або еквівалент):Придбання комплекту засобів для бригад по обслуговуванню обладнання підстанцій 35кВ (СП) (п.7.4 ІП 2023р.) (або еквівалент)</t>
  </si>
  <si>
    <t>Трансформатори струму (пункти 2.9.1. 2.9.2. 2.9.3. 2.9.4 2.9.5 Інвестиційної програми 2023р.) (або еквівалент):Трансформатори струму (пункти 2.9.1. 2.9.2. 2.9.3. 2.9.4 2.9.5 Інвестиційної програми 2023р.) (або еквівалент)</t>
  </si>
  <si>
    <t>https://zakupki.prom.ua/gov/tenders/UA-2023-09-06-007510-a/lot-ddd47924b96643848ed653cb9b1df1da</t>
  </si>
  <si>
    <t>https://zakupki.prom.ua/gov/tenders/UA-2023-09-05-007575-a/lot-896f824bd23949ff9ec40f9904f04ad8</t>
  </si>
  <si>
    <t>учасника дискваліфіковано, закупівля не відбулась</t>
  </si>
  <si>
    <t>Будівництво ПЛІ-0,4 кВ від КТП-427 для зовнішнього електропостачання базової станції мобільного зв'язку KD0118, в с. Великі Трояни, Голованівський район</t>
  </si>
  <si>
    <t>https://zakupki.prom.ua/gov/tenders/UA-2023-09-18-004898-a</t>
  </si>
  <si>
    <t>Будівництво КЛ-0,4кВ від ЗТП-720 для зовнішнього електропостачання Храму Парафія Апостола Андрія Первозванного ПЦУ в м. Кропивницький</t>
  </si>
  <si>
    <t>https://zakupki.prom.ua/gov/tenders/UA-2023-09-19-007532-a</t>
  </si>
  <si>
    <t>Ремонт блоків живлення BP/TEL-220-02A</t>
  </si>
  <si>
    <t>https://zakupki.prom.ua/gov/tenders/UA-2023-09-20-010554-a</t>
  </si>
  <si>
    <t>Капітальний ремонт приладу "Альтра"</t>
  </si>
  <si>
    <t>https://zakupki.prom.ua/gov/tenders/UA-2023-09-22-000657-a</t>
  </si>
  <si>
    <t>Провід ПВ 1х1,5 по п.1.13 ІП-2023 року (придбання вакуумних вимикачів 6-10кВ для заміни існуючих на ПС-35кВ) (господарський спосіб))</t>
  </si>
  <si>
    <t>UA-P-2023-09-22-000194-b</t>
  </si>
  <si>
    <t>https://zakupki.prom.ua/gov/plans/UA-P-2023-09-22-000194-b</t>
  </si>
  <si>
    <t>Будівництво КЛ-10 кВ від комірки №16 ПС "Таборище"-35/10кВ для зовнішнього електропостачання комплексу будівель (термопласт) ФОП Дігтярук В.М. за адресою: м.Світловодськ, вул. Макаренка, буд.9</t>
  </si>
  <si>
    <t>https://zakupki.prom.ua/gov/tenders/UA-2023-09-25-008707-a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</si>
  <si>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 м. Світловодськ, вул. Макаренка, буд.9</t>
  </si>
  <si>
    <t>https://zakupki.prom.ua/gov/tenders/UA-2023-09-25-008718-a</t>
  </si>
  <si>
    <t>Будівництво КТП-137 в м. Благовіщенське для зовнішнього електропостачання складу</t>
  </si>
  <si>
    <t>https://zakupki.prom.ua/gov/tenders/UA-2023-09-27-006761-a</t>
  </si>
  <si>
    <t>Будівництво ПЛ-10 кВ Л-123 оп.426 ПС "Вільхово" в м. Благовіщенське для зовнішнього електропостачання складу</t>
  </si>
  <si>
    <t>https://zakupki.prom.ua/gov/tenders/UA-2023-09-27-007155-a</t>
  </si>
  <si>
    <t>Розробка ПКД “Реконструкція ПЛ-150кВ Л-85К, Л-86К “Кварцит – Тимкове тягова” в Кіровоградській області” (перехідний захід ІП-2023 - ІП-2024 п.1.14.1):Розробка ПКД “Реконструкція ПЛ-150кВ Л-85К, Л-86К “Кварцит – Тимкове тягова” в Кіровоградській області” (перехідний захід ІП-2023 - ІП-2024 п.1.14.1)</t>
  </si>
  <si>
    <t>https://zakupki.prom.ua/gov/tenders/UA-2023-09-29-009263-a/lot-1b43f461855448bbb672524ab26096e5</t>
  </si>
  <si>
    <t>Ремонт кабельної лінії зв'язку від ЦВЗ №1 до АК №2 (інв.№ 106414), шляхом прокладання оптичного кабелю</t>
  </si>
  <si>
    <t>https://zakupki.prom.ua/gov/tenders/UA-2023-10-03-002362-a</t>
  </si>
  <si>
    <t>Капітальний ремонт комплексу будівель та споруд пров.Шевченка, 25а смт.Компаніївка</t>
  </si>
  <si>
    <t>https://zakupki.prom.ua/gov/tenders/UA-2023-10-09-004357-a</t>
  </si>
  <si>
    <t xml:space="preserve">неможливість усунення порушень, що виникли через виявлені порушення вимог законодавства </t>
  </si>
  <si>
    <t>Будівництво ПЛІ-0,4 кВ від ЗТП-680 для зовнішнього електропостачання котельні КП "Теплоенергетик" по вул. Комарова, 6 в м. Кропивницький</t>
  </si>
  <si>
    <t>https://zakupivli.pro/gov/tenders/UA-2023-10-10-013153-a</t>
  </si>
  <si>
    <t xml:space="preserve">Ремонт КЛ зв'язку від ПС 150 кВ "Кіровоградська" до РВБ Кіровоградського РЕМ в частині зварювання оптоволоконного </t>
  </si>
  <si>
    <t>https://zakupivli.pro/gov/tenders/UA-2023-10-16-006331-a</t>
  </si>
  <si>
    <t>Капітальний ремонт будівлі адміністративного корпусу за адресою Студентський бульвар 15 м. Кропивницький Кіровоградської обл. (аварійна система водопостачання)</t>
  </si>
  <si>
    <t>https://zakupivli.pro/gov/tenders/UA-2023-10-24-009180-a</t>
  </si>
  <si>
    <t>https://zakupivli.pro/gov/tenders/UA-2023-10-24-012659-a</t>
  </si>
  <si>
    <t>Будівництво ЩТП-139кВ для зовнішнього електропостачання абонентської станції мобільного зв'язку ПрАТ "Київстар" в с. Івангород, (Олександрівський РЕМ)</t>
  </si>
  <si>
    <t>Будівництво ЩТП-357 для зовнішнього електропостачання комплексу (магазин) ФОП Маренич А.В. по вул. Незалежності України, буд.54 в смт.Олександрівка Кропивницького району</t>
  </si>
  <si>
    <t>https://zakupivli.pro/gov/tenders/UA-2023-10-25-014030-a</t>
  </si>
  <si>
    <t>https://zakupivli.pro/gov/tenders/UA-2023-10-25-014028-a</t>
  </si>
  <si>
    <t>https://zakupivli.pro/gov/tenders/UA-2023-10-25-013765-a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</si>
  <si>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адресою: м. Світловодськ, вул. Макаренка, буд.9</t>
  </si>
  <si>
    <t>Будівництво ЩТП-1488 для зовнішнього електропостачання приміщення магазину гр. Логвин Ю.В. по просп. Соборний, буд.170-а в м. Олександрія</t>
  </si>
  <si>
    <t>https://zakupivli.pro/gov/tenders/UA-2023-11-09-003211-a</t>
  </si>
  <si>
    <t>https://zakupivli.pro/gov/tenders/UA-2023-11-09-002876-a</t>
  </si>
  <si>
    <t>Садова техніка різна (ІП 2023 п. 7.9, 7.10) (або еквівалент):Садова техніка різна (ІП 2023 п. 7.9, 7.10) (або еквівалент)</t>
  </si>
  <si>
    <t>https://zakupivli.pro/gov/tenders/UA-2023-11-17-011056-a/lot-deb817b15f0e45febd04c5bca1c2de4f</t>
  </si>
  <si>
    <t>Капітальний ремонт будівлі ЗТП-1189 пр. Будівельників м. Олександрія (улаштування покрівлі з металопрофілю)</t>
  </si>
  <si>
    <t>https://zakupivli.pro/gov/tenders/UA-2023-11-28-012355-a</t>
  </si>
  <si>
    <t>Капітальний ремонт будівлі РП-5 по вул. 40 років Перемоги м. Олександрія (Заміна металевих дверних блоків)</t>
  </si>
  <si>
    <t>https://zakupivli.pro/gov/tenders/UA-2023-11-28-012959-a</t>
  </si>
  <si>
    <t>Капітальний ремонт будівлі ЗТП-1199 по вул. Героїв Сталінграду, м. Олександрія</t>
  </si>
  <si>
    <t>https://zakupivli.pro/gov/tenders/UA-2023-11-28-014870-a</t>
  </si>
  <si>
    <t>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(приєднання):Будівництво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</t>
  </si>
  <si>
    <t>https://zakupivli.pro/gov/tenders/UA-2023-11-29-007510-a/lot-717d1b8abee1462db72d4e2dd23fb0d6</t>
  </si>
  <si>
    <t>Капітальний ремонт КЛ-35 кВ відгалуження від ПЛ-35кВ Л-608 до ПС-35/6кВ Луч в м. Олександрія Кіровоградської області</t>
  </si>
  <si>
    <t>Капітальний ремонт КЛ-35 кВ відгалуження від ПЛ-35кВ Л-605У до ПС-35/6кВ Луч в м. Олександрія Кіровоградської області</t>
  </si>
  <si>
    <t>https://zakupivli.pro/gov/tenders/UA-2023-12-01-004762-a</t>
  </si>
  <si>
    <t>https://zakupivli.pro/gov/tenders/UA-2023-12-01-005369-a</t>
  </si>
  <si>
    <t>Будівництво ПЛ-10 кВ Л-171 оп.208-370 в с. Велика Андрусівка Олександрійського району для зовнішнього електропостачання водонапірної станції Грушки В.І.</t>
  </si>
  <si>
    <t>https://zakupivli.pro/gov/tenders/UA-2023-12-06-005005-a</t>
  </si>
  <si>
    <t>Капітальний ремонт будівлі ЗТП-1086 по пр.Соборному, м. Олександрія, Кіровоградської обл. (улаштування покрівлі з металопрофілю)</t>
  </si>
  <si>
    <t>https://zakupivli.pro/gov/tenders/UA-2023-12-06-005920-a</t>
  </si>
  <si>
    <t>Капітальний ремонт будівлі ЗТП-1404 по вул. 6-го Грудня, м. Олександрія, Кіровоградської області (улаштування покрівлі з металопрофілю)</t>
  </si>
  <si>
    <t>https://zakupivli.pro/gov/tenders/UA-2023-12-06-010301-a</t>
  </si>
  <si>
    <t>Капітальний ремонт будівлі ЗТП-1170 по вул. Діброва м.Олександрія (улаштування покрівлі з металопрофілю)</t>
  </si>
  <si>
    <t>https://zakupivli.pro/gov/tenders/UA-2023-12-07-000379-a</t>
  </si>
  <si>
    <t>Капітальний ремонт будівлі гараж СМІТ, АПК (система водопостачання) по вул. Енергетиків, 2Е в м. Кропивницький</t>
  </si>
  <si>
    <t>https://zakupivli.pro/gov/tenders/UA-2023-12-07-007786-a</t>
  </si>
  <si>
    <t>Ремонт електромагнітних котушок вмикання приводу масляного вимикача 35 кВ</t>
  </si>
  <si>
    <t>https://zakupivli.pro/gov/tenders/UA-2023-12-11-019550-a</t>
  </si>
  <si>
    <t>Реконструкція ВРУ-150 кВ ПС-150/35/10 кВ "Новоархангельська", с. Торговиця, Голованівський район, Кіровоградська область (пункт 1.9 Інвестиційної Програми 2024):Реконструкція ВРУ-150 кВ ПС-150/35/10 кВ "Новоархангельська", с. Торговиця, Голованівський район, Кіровоградська область (пункт 1.9 Інвестиційної Програми 2024)</t>
  </si>
  <si>
    <t>https://zakupivli.pro/gov/tenders/UA-2023-12-21-014486-a/lot-02a54ebb58694dfb9f557643406e227e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</si>
  <si>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2024).:ЛОТ1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</si>
  <si>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2024).:ЛОТ2</t>
  </si>
  <si>
    <t>https://zakupivli.pro/gov/tenders/UA-2023-12-14-013003-a</t>
  </si>
  <si>
    <t>закупівля скасована у  зв'язку з відсутністю подальшої потреби</t>
  </si>
  <si>
    <t>Капітальний ремонт на ПС 150/35/10 кВ Новоархангельська в частині заміни моторного приводу РПН силового трансформатора 1Т типу ТДТН-25000/150</t>
  </si>
  <si>
    <t>https://zakupivli.pro/gov/tenders/UA-2023-12-28-006964-a</t>
  </si>
  <si>
    <t xml:space="preserve">Капітальний ремонт на ПС 150/35/10 кВ "Березівка" в частині заміни моторного приводу РПН силового трансформатора 1Т  ТДТН-40000/150 </t>
  </si>
  <si>
    <t>https://zakupivli.pro/gov/tenders/UA-2023-12-28-007824-a</t>
  </si>
  <si>
    <t>Розробка ПКД: "Реконструкція ПЛ-0,4кВ від КТП-1309 в с.Звенигородка Олександрійського району (Олександрійський РЕМ)"</t>
  </si>
  <si>
    <t>Розробка ПКД: "Реконструкція ПЛ-0,4кВ від КТП-1306 в с.Марто-Іванівка Олександрійського району (Олександрійський РЕМ)"</t>
  </si>
  <si>
    <t>https://zakupivli.pro/gov/tenders/UA-2023-12-28-009035-a</t>
  </si>
  <si>
    <t>https://zakupivli.pro/gov/tenders/UA-2023-12-28-008817-a</t>
  </si>
  <si>
    <t>Розробка ПКД: "Реконструкція ПЛ-0,4кВ від КТП-1364 в с.Звенигородка Олександрійського району (Олександрійський РЕМ)"</t>
  </si>
  <si>
    <t>https://zakupivli.pro/gov/tenders/UA-2023-12-28-009172-a</t>
  </si>
  <si>
    <t>Розробка ПКД: Нове будівництво ділянки ПЛ-6 кВ від ПЛ-6 кВ Л-65 для живлення КТП-1480 та ЩТП-1481 по вул. Воронова, вул. Лугова та вул. Конєва в с. Марто-Іванівка Олександрійського району Кіровоградської області (Олександрійський РЕМ)</t>
  </si>
  <si>
    <t>https://zakupivli.pro/gov/tenders/UA-2023-12-28-009254-a</t>
  </si>
  <si>
    <t>Розробка ПКД: Реконструкція ПЛ-0,4 кВ від КТП-1308 в с. Звенигородка Олександрійського району (Олександрійський РЕМ)</t>
  </si>
  <si>
    <t>https://zakupivli.pro/gov/tenders/UA-2023-12-28-009421-a</t>
  </si>
  <si>
    <t>Капітальний ремонт будівлі ЗТП-1010 по вул. Покровська площа, м. Олександрія, Кіровоградської обл.  (Улаштування покрівлі з металопрофілю)</t>
  </si>
  <si>
    <t>Капітальний ремонт будівлі ЗТП-1163  по вул.Героїв Сталінграду, м. Олександрія, Кіровоградської обл. (Улаштування покрівлі з металопрофілю)</t>
  </si>
  <si>
    <t>https://zakupivli.pro/gov/tenders/UA-2023-12-29-000127-a</t>
  </si>
  <si>
    <t>https://zakupivli.pro/gov/tenders/UA-2023-12-29-000125-a</t>
  </si>
  <si>
    <t>Капітальний ремонт будівлі ЗТП-1169  по вул.Діброви, м. Олександрія, Кіровоградської обл. (Улаштування покрівлі з металопрофілю)</t>
  </si>
  <si>
    <t>Капітальний ремонт будівлі ЗТП-1098  по вул. Святомиколаївська, м. Олександрія, Кіровоградської обл. (Улаштування покрівлі з металопрофілю)</t>
  </si>
  <si>
    <t>Капітальний ремонт будівлі ЗТП-1100 по вул. Петра Сагайдачного, м. Олександрія, Кіровоградської обл. (Улаштування покрівлі з металопрофілю)</t>
  </si>
  <si>
    <t>https://zakupivli.pro/gov/tenders/UA-2023-12-29-001754-a</t>
  </si>
  <si>
    <t>https://zakupivli.pro/gov/tenders/UA-2023-12-29-000902-a</t>
  </si>
  <si>
    <t>https://zakupivli.pro/gov/tenders/UA-2023-12-29-000155-a</t>
  </si>
  <si>
    <t>Роботи по капітальному ремонту на ПС 150/35/10 кВ Березівка в частині заміни моторного приводу РПН силового трансформатора 1Т типу ТДТН-40000/150</t>
  </si>
  <si>
    <t>Роботи по капітальному ремонту на ПС 150/35/10 кВ Новоархангельська в частині заміни моторного приводу РПН силового трансформатора 1 Т типу ТДТН-25000/150</t>
  </si>
  <si>
    <t>https://zakupivli.pro/gov/tenders/UA-2024-01-04-005897-a</t>
  </si>
  <si>
    <t>https://zakupivli.pro/gov/tenders/UA-2024-01-04-005625-a</t>
  </si>
  <si>
    <t>Капітальний ремонт будівлі ОПУ П/СТ "Скельова" с.В.Скельове, Світловодський р-н, Кіровоградської обл.  (заміна вікон)</t>
  </si>
  <si>
    <t>Капітальний ремонт будівлі ОПУ П/СТ "ЗЧМ" по вул.Заводській 3-п, м.Світловодськ, Кіровоградської області (заміна вікон)</t>
  </si>
  <si>
    <t>Капітальний ремонт будівлі ЗТП-26  по вул.В.Бойко, м. Світловодськ, Кіровоградської обл. (Улаштування покрівлі з металопрофілю,  вимощення)</t>
  </si>
  <si>
    <t>https://zakupivli.pro/gov/tenders/UA-2024-01-08-000900-a</t>
  </si>
  <si>
    <t>https://zakupivli.pro/gov/tenders/UA-2024-01-08-000709-a</t>
  </si>
  <si>
    <t>https://zakupivli.pro/gov/tenders/UA-2024-01-08-000421-a</t>
  </si>
  <si>
    <t>Розробка ПКД: "Реконструкція ПЛ-0,4 кВ від КТП-245 в с.Оникієве Маловисківського (Новоукраїнського) району Маловисківський РЕМ"</t>
  </si>
  <si>
    <t>Розробка ПКД: "Нове будівництво ділянки ПЛ-10кВ Л-157 для живлення КТП-545 по вул.Світанкова в с.Оникієве Новоукраїнського району Кіровоградської області (Маловисківський РЕМ)</t>
  </si>
  <si>
    <t>Розробка ПКД: "Реконструкція ПЛ-0,4 кВ від КТП-428 в с.Оникієве Маловисківського (Новоукраїнського) району (Маловисківський РЕМ)</t>
  </si>
  <si>
    <t>https://zakupivli.pro/gov/tenders/UA-2024-01-08-005490-a</t>
  </si>
  <si>
    <t>https://zakupivli.pro/gov/tenders/UA-2024-01-08-004546-a</t>
  </si>
  <si>
    <t>https://zakupivli.pro/gov/tenders/UA-2024-01-08-003981-a</t>
  </si>
  <si>
    <t>44210000-5 Конструкції та їх частини</t>
  </si>
  <si>
    <t>https://zakupivli.pro/gov/tenders/UA-2024-01-11-008391-a</t>
  </si>
  <si>
    <t>Будівництво ПЛ, ПЛІ-10,0,4кВ Л-89 ТП-387 Л-3 с. Соколівське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</si>
  <si>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Будівництво ПЛІ-0,4кВ Л-3 КТП-387 с. Соколівське 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</si>
  <si>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https://zakupivli.pro/gov/tenders/UA-2024-01-12-010003-a</t>
  </si>
  <si>
    <t>https://zakupivli.pro/gov/tenders/UA-2024-01-12-009909-a</t>
  </si>
  <si>
    <t>Траверси</t>
  </si>
  <si>
    <t>https://zakupivli.pro/gov/tenders/UA-2024-01-13-000371-a</t>
  </si>
  <si>
    <t>Стійка СВ-105-5</t>
  </si>
  <si>
    <t>https://zakupivli.pro/gov/tenders/UA-2024-01-13-000381-a</t>
  </si>
  <si>
    <t>Капітальний ремонт комплексу будівель та споруд за адресою вул.Аджамська, 9, м. Кропивницький, цех з ремонту приладів обліку (літ."Х"), аварійне відновлення від пошкодження вибухом (вікна, двері,перегородки)</t>
  </si>
  <si>
    <t>Капітальний ремонт комплексу будівель та споруд за адресою вул.Аджамська, 9, м. Кропивницький, ремонтна майстерня з боксами (літ."З") та операторська складу ПММ (літ."Т") аварійне відновлення від пошкодження вибухом (вікна, двері)</t>
  </si>
  <si>
    <t>https://zakupivli.pro/gov/tenders/UA-2024-01-17-000623-a</t>
  </si>
  <si>
    <t>https://zakupivli.pro/gov/tenders/UA-2024-01-17-000372-a</t>
  </si>
  <si>
    <t xml:space="preserve">Капітальний ремонт реєстраторів аварійних подій "РЕКОН-07БС" </t>
  </si>
  <si>
    <t>https://zakupivli.pro/gov/tenders/UA-2024-01-17-005247-a</t>
  </si>
  <si>
    <t>Лічильники електроенергії (пункти Інвестиційної програми 2024 п. 2.1.1.1; 2.1.1.2; 2.1.2.1; 2.1.2.2; 2.1.2.3; 2.1.2.4; 2.3.1; 2.3.2) (або еквівалент):Лічильники електроенергії (пункти Інвестиційної програми 2024 п. 2.1.1.1; 2.1.1.2; 2.1.2.1; 2.1.2.2; 2.1.2.3; 2.1.2.4; 2.3.1; 2.3.2) (або еквівалент)</t>
  </si>
  <si>
    <t>https://zakupivli.pro/gov/tenders/UA-2024-01-18-003325-a/lot-fc53341c8b354448953712f1b371711c</t>
  </si>
  <si>
    <t>Садова техніка різна, або аналог (пункт 7.3-7.7 Інвестиційної Програми 2024):Садова техніка різна, або аналог (пункт 7.3-7.7 Інвестиційної Програми 2024)</t>
  </si>
  <si>
    <t>https://zakupivli.pro/gov/tenders/UA-2024-01-18-003702-a/lot-27cd208e8a504524a5e97e2ee6194a7e</t>
  </si>
  <si>
    <t>Придбання бригадного автомобіля ТК-ІV-АРМ на шасі Iveco EuroCargo 4x4, або аналог (пункт 6.4 Інвестиційної Програми 2024):Придбання бригадного автомобіля ТК-ІV-АРМ на шасі Iveco EuroCargo 4x4, або аналог (пункт 6.4 Інвестиційної Програми 2024)</t>
  </si>
  <si>
    <t>https://zakupivli.pro/gov/tenders/UA-2024-01-18-004061-a/lot-b857a65b5d5a449babbd1d091413e166</t>
  </si>
  <si>
    <t>Придбання автомобіля Peugeot Landtrek з кунгом, або аналог (пункт 6.3 Інвестиційної Програми 2024):Придбання автомобіля Peugeot Landtrek з кунгом, або аналог (пункт 6.3 Інвестиційної Програми 2024)</t>
  </si>
  <si>
    <t>34110000-1 Легкові автомобілі</t>
  </si>
  <si>
    <t>https://zakupivli.pro/gov/tenders/UA-2024-01-18-004549-a/lot-35b11790e83540b5b10175e6e83338b7</t>
  </si>
  <si>
    <t>Придбання системи гарантованого електроживлення в комплекті з АБ для вузлів ЗДТУ (пункт 5.1 Інвестиційної Програми 2024):Придбання системи гарантованого електроживлення в комплекті з АБ для вузлів ЗДТУ (пункт 5.1 Інвестиційної Програми 2024)</t>
  </si>
  <si>
    <t>https://zakupivli.pro/gov/tenders/UA-2024-01-18-008225-a/lot-e0982ca341584f5b9ebbbed729237236</t>
  </si>
  <si>
    <t>Трансформатори струму (пункти 2.1.2.5. 2.1.2.6. 2.1.2.7. 2.1.2.8.  Інвестиційної програми 2024р.) (або еквівалент):Трансформатори струму (пункти 2.1.2.5. 2.1.2.6. 2.1.2.7. 2.1.2.8.  Інвестиційної програми 2024р.) (або еквівалент)</t>
  </si>
  <si>
    <t>https://zakupivli.pro/gov/tenders/UA-2024-01-18-012259-a/lot-c8e2511ae6bb435cb115a9e6e96d80d3</t>
  </si>
  <si>
    <t>Придбання автопідйомника TK-IV-AGP 34 на шасі Iveco EuroCargo ML110E25WS 4х4, або аналог (пункт 6.1 Інвестиційної Програми 2024):Придбання автопідйомника TK-IV-AGP 34 на шасі Iveco EuroCargo ML110E25WS 4х4, або аналог (пункт 6.1 Інвестиційної Програми 2024)</t>
  </si>
  <si>
    <t>https://zakupivli.pro/gov/tenders/UA-2024-01-18-014724-a/lot-a487fc84f030424fa6d4779986499543</t>
  </si>
  <si>
    <t>Придбання автомобіля JAC N56 DoubleCab бортовий з тентом, або аналог (пункт 6.2 Інвестиційної Програми 2024):Придбання автомобіля JAC N56 DoubleCab бортовий з тентом, або аналог (пункт 6.2 Інвестиційної Програми 2024)</t>
  </si>
  <si>
    <t>https://zakupivli.pro/gov/tenders/UA-2024-01-18-015585-a/lot-ce8668c9daaa48848c914e219b61d49a</t>
  </si>
  <si>
    <t>Нове будівництво АСДУ Петрівського РЕМ (5 ПС-35кВ, 1 ЦРП) (пункт 3.1 Інвестиційної Програми 2024):Нове будівництво АСДУ Петрівського РЕМ (5 ПС-35кВ, 1 ЦРП) (пункт 3.1 Інвестиційної Програми 2024)</t>
  </si>
  <si>
    <t>https://zakupivli.pro/gov/tenders/UA-2024-01-18-015306-a/lot-2167d99758c7415aa6de22bf4afd25b4</t>
  </si>
  <si>
    <t>Реконструкція АСДУ Добровеличківського РЕМ (1 ПС-150кВ, 7 ПС-35кВ, 1 ЦРП) (пункт 3.2 Інвестиційної Програми 2024):Реконструкція АСДУ Добровеличківського РЕМ (1 ПС-150кВ, 7 ПС-35кВ, 1 ЦРП) (пункт 3.2 Інвестиційної Програми 2024)</t>
  </si>
  <si>
    <t>https://zakupivli.pro/gov/tenders/UA-2024-01-18-016148-a/lot-aec47e57b80445e6a012a23c508facff</t>
  </si>
  <si>
    <t>Реконструкція АСДУ Олександрівського РЕМ (10 ПС-35кВ) (пункт 3.3 Інвестиційної Програми 2024):Реконструкція АСДУ Олександрівського РЕМ (10 ПС-35кВ) (пункт 3.3 Інвестиційної Програми 2024)</t>
  </si>
  <si>
    <t>https://zakupivli.pro/gov/tenders/UA-2024-01-19-000255-a/lot-17d7c5ee87114cb7a46eb3b89daa246c</t>
  </si>
  <si>
    <t>Дошка обрізна, брус</t>
  </si>
  <si>
    <t>Конструкції та їх частини (Стійки СВ-105-5) (підстава - згідно з підпунктом 4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</si>
  <si>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Каболка 20 мм</t>
  </si>
  <si>
    <t>Бачок розширювальний трансформатора 10/0,4 кВ</t>
  </si>
  <si>
    <t>03410000-7 Деревина</t>
  </si>
  <si>
    <t>39540000-9 Вироби різні з канату, мотузки, шпагату та сітки</t>
  </si>
  <si>
    <t>31160000-5 Частини електродвигунів, генераторів і трансформаторів</t>
  </si>
  <si>
    <t>https://zakupivli.pro/gov/tenders/UA-2024-01-22-014388-a</t>
  </si>
  <si>
    <t>https://zakupivli.pro/gov/tenders/UA-2024-01-22-009491-a</t>
  </si>
  <si>
    <t>кілограм</t>
  </si>
  <si>
    <t>https://zakupivli.pro/gov/tenders/UA-2024-01-22-008156-a</t>
  </si>
  <si>
    <t>https://zakupivli.pro/gov/tenders/UA-2024-01-22-007945-a</t>
  </si>
  <si>
    <t>Реконструкція ПС "Калинівка-2"-35/10кВ в частині заміни акумуляторної батареї, с.Калинівка, Кропивницький район, Кіровоградська область (пункт 1.11 ІП-2024)</t>
  </si>
  <si>
    <t>https://zakupivli.pro/gov/tenders/UA-2024-01-23-013208-a</t>
  </si>
  <si>
    <t>Конструкції та їх частини ЛОТ1-5 (або еквівалент) (основна діяльність).:ЛОТ1</t>
  </si>
  <si>
    <t>Конструкції та їх частини ЛОТ1-5 (або еквівалент) (основна діяльність).:ЛОТ2</t>
  </si>
  <si>
    <t>Конструкції та їх частини ЛОТ1-5 (або еквівалент) (основна діяльність).:ЛОТ3</t>
  </si>
  <si>
    <t>Конструкції та їх частини ЛОТ1-5 (або еквівалент) (основна діяльність).:ЛОТ4</t>
  </si>
  <si>
    <t>Конструкції та їх частини ЛОТ1-5 (або еквівалент) (основна діяльність).:ЛОТ5</t>
  </si>
  <si>
    <t>https://zakupivli.pro/gov/tenders/UA-2024-01-23-002308-a</t>
  </si>
  <si>
    <t>Роботи по відновленню асфальтобетонного покриття після ремонту КЛ-0,4-10кВ</t>
  </si>
  <si>
    <t>https://zakupivli.pro/gov/tenders/UA-2024-01-24-005968-a</t>
  </si>
  <si>
    <t>Елементи електричних схем (або еквівалент) (основна діяльність):ЛОТ 1</t>
  </si>
  <si>
    <t>Елементи електричних схем (або еквівалент) (основна діяльність):ЛОТ 2</t>
  </si>
  <si>
    <t>Елементи електричних схем (або еквівалент) (основна діяльність):ЛОТ 3</t>
  </si>
  <si>
    <t>https://zakupivli.pro/gov/tenders/UA-2024-01-24-010255-a/lot-5ba3acf01d964a4abc56d6441d99b463</t>
  </si>
  <si>
    <t>https://zakupivli.pro/gov/tenders/UA-2024-01-24-010255-a/lot-1d02cc7b7bdb497bbad33bd2c53f6481</t>
  </si>
  <si>
    <t>https://zakupivli.pro/gov/tenders/UA-2024-01-24-010255-a/lot-b5cfed231d4b4152ab260cca11cb8fc9</t>
  </si>
  <si>
    <t>Елементи електричних схем (реле) (або еквівалент) (основна діяльність)</t>
  </si>
  <si>
    <t>https://zakupivli.pro/gov/tenders/UA-2024-01-24-009975-a/lot-004106e949e24df4a3df0d3e17208f6d</t>
  </si>
  <si>
    <t>Ремонтна програма/приєднання</t>
  </si>
  <si>
    <t>Муфти кабельні (або еквівалент) (основна діяльність):Муфти кабельні (або еквівалент) (основна діяльність)</t>
  </si>
  <si>
    <t>31340000-1 Приладдя до ізольованих кабелів</t>
  </si>
  <si>
    <t>https://zakupivli.pro/gov/tenders/UA-2024-01-25-003776-a/lot-e4c72f4a0c7d4008abc34fb131552128</t>
  </si>
  <si>
    <t>Роботи по встановленню однофазних шаф обліку, підрядним способом (матеріали підрядника, крім лічильників) с.Олександрівка КТП - 41,75,76,77,78,79,80 Долинського р-ну, (ІП-2024 п.2.2.1 1-ф шафа з комплектуючими (улаштування відгалудження за допомогою гаку)</t>
  </si>
  <si>
    <t>Роботи по встановленню однофазних шаф обліку, підрядним способом (матеріали підрядника, крім лічильників) с.Іванівка КТП - 83,84,478,479,480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</si>
  <si>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Ганнівка КТП-107, 252, 254, 255, 256, 267, 298, 304, 311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</si>
  <si>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с.Федоро-Шулічено КТП - 302,303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</si>
  <si>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Олександро-Мар'ївка КТП-91, 92, 95, 97, 171, 306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</si>
  <si>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с.Козацьке КТП - 32,65,123,215,217,218,322 Петрівського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</si>
  <si>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Рядове КТП-56, 57 Петрівського р-ну (ІП-2024 п.2.2.1 1-ф шафа з комплектуючими)</t>
  </si>
  <si>
    <t>https://zakupivli.pro/gov/tenders/UA-2024-01-25-014181-a</t>
  </si>
  <si>
    <t>https://zakupivli.pro/gov/tenders/UA-2024-01-25-013828-a</t>
  </si>
  <si>
    <t>https://zakupivli.pro/gov/tenders/UA-2024-01-25-013604-a</t>
  </si>
  <si>
    <t>https://zakupivli.pro/gov/tenders/UA-2024-01-25-013506-a</t>
  </si>
  <si>
    <t>https://zakupivli.pro/gov/tenders/UA-2024-01-25-013302-a</t>
  </si>
  <si>
    <t>https://zakupivli.pro/gov/tenders/UA-2024-01-25-013186-a</t>
  </si>
  <si>
    <t>https://zakupivli.pro/gov/tenders/UA-2024-01-25-012929-a</t>
  </si>
  <si>
    <t>Трансформатори напруги</t>
  </si>
  <si>
    <t>https://zakupivli.pro/gov/tenders/UA-2024-01-29-003400-a</t>
  </si>
  <si>
    <t>Будівництво КЛ-0,4кВ від ЗТП-487 в м. Долинська для зовнішнього електропостачання житлового будинку по вул. Соборності України, 54</t>
  </si>
  <si>
    <t>https://zakupivli.pro/gov/tenders/UA-2024-01-31-005075-a</t>
  </si>
  <si>
    <t>Встановлення однофазних шаф обліку, підрядним способом с. Покровське КТП-3, 27, 40, 98, Голованівського району (ІП-2024 п.2.2.1 1-ф шафа з комплектуючими)</t>
  </si>
  <si>
    <t>https://zakupivli.pro/gov/tenders/UA-2024-01-31-007241-a</t>
  </si>
  <si>
    <t>Роботи по встановленню однофазних шаф облiку, пiдрядним способом (матерiали пiдрядника, кpiм лiчильникiв) с. Мощене КТП-15, 34, 42, 246, 400 Голованiвського p-ну (ІП-2024 п.2.2.2 1-ф шафа з комплектуючими (улаштування вiдгалуження за допомогою трубостiйки)</t>
  </si>
  <si>
    <t>https://zakupivli.pro/gov/tenders/UA-2024-01-31-007341-a</t>
  </si>
  <si>
    <t>Встановлення однофазних шаф обліку, підрядним способом с. Покровське КТП-3, 27, 40, 98, 332 Голованівського району (ІП-2024 п.2.2.2 1-ф шафа з комплектуючими)</t>
  </si>
  <si>
    <t>Встановлення однофазних шаф обліку підрядним способом (матеріали підрядника, крім лічильників) с. Долинівка КТП-19, 39, 43, 238, 390, 391, 392 Голованівського району (ІП-2024 п.2.2.2 1-ф шафа з комплектуючими (улаштування відгалуження за допомогою трубостійки)</t>
  </si>
  <si>
    <t>https://zakupivli.pro/gov/tenders/UA-2024-01-31-007708-a</t>
  </si>
  <si>
    <t>https://zakupivli.pro/gov/tenders/UA-2024-01-31-007699-a</t>
  </si>
  <si>
    <t>Встановлення однофазних шаф обліку, підрядним способом (матеріали підрядника, крім лічильників)  с. Долинівка КТП- 19, 38, 39, 238, 391, 392 Голованівського р-ну, (ІП-2024 п.2.2.1 1-ф шафа з комплектуючими (улаштування відгалуження за допомогою гаку)</t>
  </si>
  <si>
    <t>Роботи по встановленню однофазних шаф обліку, підрядним способом (матеріали підрядника, крім лічильників)  с. Мощене КТП-15, 34, 42, 246, 400 Голованівського р-ну, (ІП-2024 п.2.2.1 1-ф шафа з комплектуючими (улаштування відгалуження за допомогою гаку)</t>
  </si>
  <si>
    <t>https://zakupivli.pro/gov/tenders/UA-2024-01-31-008115-a</t>
  </si>
  <si>
    <t>https://zakupivli.pro/gov/tenders/UA-2024-01-31-007748-a</t>
  </si>
  <si>
    <t>Встановлення однофазних шаф обліку, підрядним способом (матеріали підрядника, крім лічильників)  с. Бандурове КТП-5, 35, 41, 101, 106, 113, 116, 172, 328 Голованівського р-ну, (ІП-2024 п.2.2.1 1-ф шафа з комплектуючими (улаштування відгалуження за допомогою гаку)</t>
  </si>
  <si>
    <t>https://zakupivli.pro/gov/tenders/UA-2024-01-31-008354-a</t>
  </si>
  <si>
    <t>Частини електродвигунів, генераторів і трансформаторів (або еквівалент) (основна діяльність):ЛОТ 1 - Частини електродвигунів, генераторів і трансформаторів (або еквівалент) (основна діяльність)</t>
  </si>
  <si>
    <t>Частини електродвигунів, генераторів і трансформаторів (або еквівалент) (основна діяльність):ЛОТ 2 - Частини електродвигунів, генераторів і трансформаторів (або еквівалент) (основна діяльність)</t>
  </si>
  <si>
    <t>https://zakupivli.pro/gov/tenders/UA-2024-01-31-010710-a</t>
  </si>
  <si>
    <t>Розробка ПКД: "Капітальний ремонт будівлі цеху з ремонту приладів обліку літ. "Х", комплексу будівель та споруд за адресою: вул. Аджамська, 9 у м. Кропивницький, Кіровоградської області</t>
  </si>
  <si>
    <t>https://zakupivli.pro/gov/tenders/UA-2024-02-01-010457-a</t>
  </si>
  <si>
    <t>Електророзподільні кабелі (або еквівалент)</t>
  </si>
  <si>
    <t>https://zakupivli.pro/gov/tenders/UA-2024-02-01-013304-a/lot-ede8b4d4e1c24398a30ec3f8c374f5bf</t>
  </si>
  <si>
    <t>Електричні акумулятори (або еквівалент) (основна діяльність):ЛОТ 1</t>
  </si>
  <si>
    <t>Електричні акумулятори (або еквівалент) (основна діяльність):ЛОТ 2</t>
  </si>
  <si>
    <t>https://zakupivli.pro/gov/tenders/UA-2024-02-01-013588-a</t>
  </si>
  <si>
    <t>31430000-9 Електричні акумулятори</t>
  </si>
  <si>
    <t>https://zakupivli.pro/gov/tenders/UA-2024-02-01-013687-a/lot-cbf7b0ffd1d84f068fddcb61e642799a</t>
  </si>
  <si>
    <t>Електрична апаратура для комутування та захисту електричних кіл (або еквівалент) (основна діяльність)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</si>
  <si>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:ЛОТ1. Реконструкція ПЛ-0,4кВ від КТП-262 в с. Созонівка Кропивницького району Кіровоградської області (Кіровоградський РЕМ) (пункт 1.5.2 Інвестиційної Програми 2024)</t>
  </si>
  <si>
    <t>https://zakupivli.pro/gov/tenders/UA-2024-02-02-013046-a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</si>
  <si>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:ЛОТ2. Реконструкція ПЛ-0,4кВ від КТП-265 в с. Созонівка Кропивницького району Кіровоградської області (Кіровоградський РЕМ) (пункт 1.5.4 Інвестиційної Програми 2024)</t>
  </si>
  <si>
    <t>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2024):Реконструкція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</t>
  </si>
  <si>
    <t>https://zakupivli.pro/gov/tenders/UA-2024-02-02-013037-a/lot-b88700d6998348eda24af28d5e710879</t>
  </si>
  <si>
    <t>Реконструкція ПЛ-0,4кВ від КТП-1186 в м. Олександрія Кіровоградської області (Олександрійський РЕМ) (пункт 1.5.18 Інвестиційної Програми 2024):Реконструкція ПЛ-0,4кВ від КТП-1186 в м. Олександрія Кіровоградської області (Олександрійський РЕМ) (пункт 1.5.18 Інвестиційної Програми 2024)</t>
  </si>
  <si>
    <t>https://zakupivli.pro/gov/tenders/UA-2024-02-02-012973-a/lot-5deb52649e1c4ed58761c3f4b810a4d4</t>
  </si>
  <si>
    <t>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2024):Реконструкція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</t>
  </si>
  <si>
    <t>https://zakupivli.pro/gov/tenders/UA-2024-02-02-012931-a/lot-d52fa2184e914102a00b8ed97b108942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</si>
  <si>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:ЛОТ1. Реконструкція КЛ-10кВ ТП-65 - ТП-367 в м. Кропивницький (Кіровоградський МРЕМ) (пункт 1.4.5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</si>
  <si>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:ЛОТ2. Реконструкція КЛ-10кВ ТП-251 - ТП-367 в м. Кропивницький (Кіровоградський МРЕМ) (пункт 1.4.6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</si>
  <si>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:ЛОТ3. Реконструкція КЛ-10кВ ТП-491 - ТП-515 в м. Кропивницький (Кіровоградський МРЕМ) (пункт 1.4.8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</si>
  <si>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:ЛОТ4. Реконструкція КЛ-10кВ ТП-65 - ТП-482 в м. Кропивницький (Кіровоградський МРЕМ) (пункт 1.4.10 Інвестиційної Програми 2024)</t>
  </si>
  <si>
    <t>https://zakupivli.pro/gov/tenders/UA-2024-02-02-012574-a</t>
  </si>
  <si>
    <t>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2024):Реконструкція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</t>
  </si>
  <si>
    <t>https://zakupivli.pro/gov/tenders/UA-2024-02-02-012545-a/lot-b24fd599e6ef483d887d3ddfdfff3b6e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</si>
  <si>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2024):ЛОТ1. 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</si>
  <si>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2024):ЛОТ2. 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</t>
  </si>
  <si>
    <t>https://zakupivli.pro/gov/tenders/UA-2024-02-02-012435-a</t>
  </si>
  <si>
    <t>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2024):Реконструкція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</t>
  </si>
  <si>
    <t>https://zakupivli.pro/gov/tenders/UA-2024-02-02-012110-a/lot-7f2e5f1b2215481f82591706fceb8001</t>
  </si>
  <si>
    <t>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2024):Реконструкція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</t>
  </si>
  <si>
    <t>https://zakupivli.pro/gov/tenders/UA-2024-02-02-011984-a/lot-431928540d9a43159a6e3b8238f584ef</t>
  </si>
  <si>
    <t>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2024):Реконструкція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</t>
  </si>
  <si>
    <t>https://zakupivli.pro/gov/tenders/UA-2024-02-02-011751-a/lot-b065d86a07a347b48df39e1d67f5fe76</t>
  </si>
  <si>
    <t>Реконструкція ПЛ-0,4кВ від КТП-1096 в м. Олександрія Кіровоградської області (Олександрійський РЕМ) (пункт 1.5.17 Інвестиційної Програми 2024):Реконструкція ПЛ-0,4кВ від КТП-1096 в м. Олександрія Кіровоградської області (Олександрійський РЕМ) (пункт 1.5.17 Інвестиційної Програми 2024)</t>
  </si>
  <si>
    <t>https://zakupivli.pro/gov/tenders/UA-2024-02-02-011638-a/lot-bffee2f0a5924e55a76b32caa2d7b046</t>
  </si>
  <si>
    <t xml:space="preserve">Реконструкція ПЛ-0,4кВ від КТП-1063 в м. Олександрія Кіровоградської області (Олександрійський РЕМ) (пункт 1.5.16 Інвестиційної Програми 2024) :Реконструкція ПЛ-0,4кВ від КТП-1063 в м. Олександрія Кіровоградської області (Олександрійський РЕМ) (пункт 1.5.16 Інвестиційної Програми 2024) </t>
  </si>
  <si>
    <t>https://zakupivli.pro/gov/tenders/UA-2024-02-02-011602-a/lot-e225c19f54204a91a5a74f086a0c2b78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</si>
  <si>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</si>
  <si>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</si>
  <si>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https://zakupivli.pro/gov/tenders/UA-2024-02-02-011459-a</t>
  </si>
  <si>
    <t>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2024):Реконструкція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</t>
  </si>
  <si>
    <t>https://zakupivli.pro/gov/tenders/UA-2024-02-02-011398-a/lot-115c1ccee836457595f6efd525a149e8</t>
  </si>
  <si>
    <t>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2024):Реконструкція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</t>
  </si>
  <si>
    <t>https://zakupivli.pro/gov/tenders/UA-2024-02-02-011282-a/lot-5d681b202a1c41728b223474db6dc6a7</t>
  </si>
  <si>
    <t>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2024):Реконструкція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</t>
  </si>
  <si>
    <t>https://zakupivli.pro/gov/tenders/UA-2024-02-02-011124-a/lot-f08f3bbfaee243ae8b9e01cf1d2d9c5b</t>
  </si>
  <si>
    <t>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2024):Реконструкція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</t>
  </si>
  <si>
    <t>https://zakupivli.pro/gov/tenders/UA-2024-02-02-010994-a/lot-d9f069fdda9a4a64ab4296b89f46d484</t>
  </si>
  <si>
    <t>Капітальний ремонт адмінбудівлі с. Соколівське (санітарно-технічних вузлів) за адресою: прос. Соколівський, 23 с. Соколівське Кропивницького району Кіровоградської області</t>
  </si>
  <si>
    <t>Аварійно-відновлювальні роботи ПЛ-10кВ Л-122 (інвентарний номер 0205314) Бобринецький РЕМ</t>
  </si>
  <si>
    <t>Аварійно-відновлювальні роботи ПЛ-10кВ Л-1310 (інвентарний номер 0205328) Бобринецький РЕМ</t>
  </si>
  <si>
    <t>https://zakupivli.pro/gov/tenders/UA-2024-02-02-012790-a</t>
  </si>
  <si>
    <t>https://zakupivli.pro/gov/tenders/UA-2024-02-02-000824-a</t>
  </si>
  <si>
    <t>https://zakupivli.pro/gov/tenders/UA-2024-02-02-000542-a</t>
  </si>
  <si>
    <t>Реконструкція ВРУ-150 кВ ПС-150/35/10 кВ "Новоархангельська", 
с. Торговиця, Голованівський район, Кіровоградська область (пункт 1.9 Інвестиційної Програми 2024):Реконструкція ВРУ-150 кВ ПС-150/35/10 кВ "Новоархангельська", 
с. Торговиця, Голованівський район, Кіровоградська область (пункт 1.9 Інвестиційної Програми 2024)</t>
  </si>
  <si>
    <t>https://zakupivli.pro/gov/tenders/UA-2024-02-02-013586-a/lot-fedb5a93a0db4e3684935411be656ca6</t>
  </si>
  <si>
    <t>Реконструкція ТП 6-10 кВ (ЛОТ1-2) (пункт 1.8.1; 1.8.2 Інвестиційної Програми 2024)
:Реконструкція ЗТП-175 в смт. Голованівськ Голованівського району Кіровоградської області (Голованівський РЕМ) (пункт 1.8.1 Інвестиційної Програми 2024)</t>
  </si>
  <si>
    <t xml:space="preserve">Реконструкція ТП 6-10 кВ (ЛОТ1-2) (пункт 1.8.1; 1.8.2 Інвестиційної Програми 2024)
:Реконструкція ЗТП-522 в смт. Побузьке Голованівського району Кіровоградської області (Голованівський РЕМ) (пункт 1.8.2 Інвестиційної Програми 2024). </t>
  </si>
  <si>
    <t>https://zakupivli.pro/gov/tenders/UA-2024-02-02-013279-a</t>
  </si>
  <si>
    <t>Реконструкція РП-10 кВ (ЛОТ1-2)
(пункт 1.12.1; 1.12.2 Інвестиційної Програми 2024):ЛОТ1. Реконструкція ЦРП-12 в м. Кропивницький Кіровоградської області (Кіровоградський МРЕМ) (перехідний захід ІП-2024 - ІП-2025) (пункт 1.12.1 Інвестиційної Програми 2024)</t>
  </si>
  <si>
    <t>Реконструкція РП-10 кВ (ЛОТ1-2)
(пункт 1.12.1; 1.12.2 Інвестиційної Програми 2024):ЛОТ2. Реконструкція ЦРП-26 в м. Кропивницький Кіровоградської області (Кіровоградський МРЕМ) (перехідний захід ІП-2024 - ІП-2025) (пункт 1.12.2 Інвестиційної Програми 2024)</t>
  </si>
  <si>
    <t>https://zakupivli.pro/gov/tenders/UA-2024-02-02-013167-a</t>
  </si>
  <si>
    <t>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2024):Реконструкція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</t>
  </si>
  <si>
    <t>https://zakupivli.pro/gov/tenders/UA-2024-02-02-013148-a/lot-cc1237bccdb0425988617f98b583a717</t>
  </si>
  <si>
    <t>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2024):Реконструкція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</t>
  </si>
  <si>
    <t>https://zakupivli.pro/gov/tenders/UA-2024-02-06-008339-a/lot-b84b63ae65e744d1bfe00a47b63878d2</t>
  </si>
  <si>
    <t>Електрична апаратура для комутування та захисту електричних кіл ЛОТ1-6 (або еквівалент) (основна діяльність):ЛОТ1</t>
  </si>
  <si>
    <t>Електрична апаратура для комутування та захисту електричних кіл ЛОТ1-6 (або еквівалент) (основна діяльність):ЛОТ2</t>
  </si>
  <si>
    <t>Електрична апаратура для комутування та захисту електричних кіл ЛОТ1-6 (або еквівалент) (основна діяльність):ЛОТ3</t>
  </si>
  <si>
    <t>Електрична апаратура для комутування та захисту електричних кіл ЛОТ1-6 (або еквівалент) (основна діяльність):ЛОТ4</t>
  </si>
  <si>
    <t>Електрична апаратура для комутування та захисту електричних кіл ЛОТ1-6 (або еквівалент) (основна діяльність):ЛОТ5</t>
  </si>
  <si>
    <t>Електрична апаратура для комутування та захисту електричних кіл ЛОТ1-6 (або еквівалент) (основна діяльність):ЛОТ6</t>
  </si>
  <si>
    <t>https://zakupivli.pro/gov/tenders/UA-2024-02-06-009098-a</t>
  </si>
  <si>
    <t>Абразивні вироби (або еквівалент) (основна діяльність):Абразивні вироби (або еквівалент) (основна діяльність)</t>
  </si>
  <si>
    <t>14810000-2 Абразивні вироби</t>
  </si>
  <si>
    <t>https://zakupivli.pro/gov/tenders/UA-2024-02-07-009090-a/lot-22a99a680c774a04b4fe6ba48365a060</t>
  </si>
  <si>
    <t>Придбання ліцензій на програмні продукти Eset (антивірусний захист) (пункт 4.7 Інвестиційної Програми 2024):Придбання ліцензій на програмні продукти Eset (антивірусний захист) (пункт 4.7 Інвестиційної Програми 2024)</t>
  </si>
  <si>
    <t>Придбання ліцензій на програмні продукти Microsoft (пункт 4.6 Інвестиційної Програми 2024):Придбання ліцензій на програмні продукти Microsoft (пункт 4.6 Інвестиційної Програми 2024)</t>
  </si>
  <si>
    <t>https://zakupivli.pro/gov/tenders/UA-2024-02-07-011926-a/lot-ea104699074e425e9237c4c23d7a5ccf</t>
  </si>
  <si>
    <t>https://zakupivli.pro/gov/tenders/UA-2024-02-07-011182-a/lot-6039e20885524aa9b98e3e13375ae3b3</t>
  </si>
  <si>
    <t>Нове будівництво розвантажувальної ТП-1468 для переключення частини мереж від ЗТП-1219 в смт. Олександрійське, Олександрійський район, Кіровоградської області (Олександрійський РЕМ) п.1.6.13 ІП-2024</t>
  </si>
  <si>
    <t>Нове будівництво розвантажувальної ТП-1467 для переключення частини мереж від ЗТП-1219 в смт. Олександрійське, Олександрійський район, Кіровоградської області (Олександрійський РЕМ) п.1.6.12 ІП-2024</t>
  </si>
  <si>
    <t>Нове будівництво розвантажувальної ТП-1469 для переключення частини мереж від РП-11 в смт. Олександрійське, Олександрійський район, Кіровоградської області (Олександрійський РЕМ) п.1.6.11 ІП-2024</t>
  </si>
  <si>
    <t>Нове будівництво ПЛ-6 кВ до розвантажувальної ТП-1458 для переключення частини мереж КТП-1124 в м. Олександрія Кіровоградської області (Олександрійський РЕМ) п.1.1.1 ІП-2024</t>
  </si>
  <si>
    <t>Нове будівництво розвантажувальної ТП-1458 для переключення частини мереж КТП-1124 в м. Олександрія Кіровоградської області (Олександрійський РЕМ) п.1.6.14 ІП-2024</t>
  </si>
  <si>
    <t>45231000-5 Будівництво трубопроводів, ліній зв’язку та електропередач</t>
  </si>
  <si>
    <t>https://zakupivli.pro/gov/tenders/UA-2024-02-08-002419-a</t>
  </si>
  <si>
    <t>https://zakupivli.pro/gov/tenders/UA-2024-02-08-002241-a</t>
  </si>
  <si>
    <t>https://zakupivli.pro/gov/tenders/UA-2024-02-08-002073-a</t>
  </si>
  <si>
    <t>https://zakupivli.pro/gov/tenders/UA-2024-02-08-001861-a</t>
  </si>
  <si>
    <t>https://zakupivli.pro/gov/tenders/UA-2024-02-08-001670-a</t>
  </si>
  <si>
    <t>Придбання модуля ТС-485 (Інвестиційна програма 2024 п. 2.3.2, 2.4):Придбання модуля ТС-485 (Інвестиційна програма 2024 п. 2.3.2, 2.4)</t>
  </si>
  <si>
    <t>Комп'ютерне обладнання (пункти 4.1,4.2,4.3,4.4 Інвестиційної Програми 2024 та Основна діяльність):Комп'ютерне обладнання (пункти 4.1,4.2,4.3,4.4 Інвестиційної Програми 2024 та Основна діяльність)</t>
  </si>
  <si>
    <t>Баласти для розрядних ламп чи трубок (або еквівалент) (основна діяльність):Баласти для розрядних ламп чи трубок (або еквівалент) (основна діяльність)</t>
  </si>
  <si>
    <t>30230000-0 Комп’ютерне обладнання</t>
  </si>
  <si>
    <t>31150000-2 Баласти для розрядних ламп чи трубок</t>
  </si>
  <si>
    <t>https://zakupivli.pro/gov/tenders/UA-2024-02-08-012979-a/lot-c58714133ad84545a9c959cc072316a4</t>
  </si>
  <si>
    <t>https://zakupivli.pro/gov/tenders/UA-2024-02-08-012868-a/lot-630d0160dbe1449689cdaf7e91fad0fd</t>
  </si>
  <si>
    <t>https://zakupivli.pro/gov/tenders/UA-2024-02-08-012050-a/lot-90e0305d16a74b5396126746675ffb5f</t>
  </si>
  <si>
    <t>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2024):Придбання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</t>
  </si>
  <si>
    <t>https://zakupivli.pro/gov/tenders/UA-2024-02-08-013211-a/lot-11eae538e2d8458fb9212bf62078e3d5</t>
  </si>
  <si>
    <t>Нове будівництво ТП-1479 для переключення мереж КТП-1130 в м. Олександрія Кіровоградської області (Олександрійський РЕМ) (пункт 1.6.9 ІП-2024)</t>
  </si>
  <si>
    <t>Нове будівництво ТП-1474 для переключення мереж 0,4кВ КТП-1044 в м. Олександрія Кіровоградської області (Олександрійський РЕМ) (пункт 1.6.2 ІП-2024)</t>
  </si>
  <si>
    <t>Нове будівництво ТП-1477 для переключення мереж 0,4 кВ від КТП-1129 в м.Олександрія, Кіровоградська область (Олександрійський РЕМ) п.1.6.8 ІП-2024</t>
  </si>
  <si>
    <t>Нове будівництво ТП №1475 для переключення частини мереж КТП-1127 в м. Олександрія Кіровоградської області (Олександрійський РЕМ) (пункт 1.6.6 ІП-2024)</t>
  </si>
  <si>
    <t>https://zakupivli.pro/gov/tenders/UA-2024-02-14-000570-a</t>
  </si>
  <si>
    <t>https://zakupivli.pro/gov/tenders/UA-2024-02-14-000440-a</t>
  </si>
  <si>
    <t>https://zakupivli.pro/gov/tenders/UA-2024-02-14-000408-a</t>
  </si>
  <si>
    <t>https://zakupivli.pro/gov/tenders/UA-2024-02-14-000270-a</t>
  </si>
  <si>
    <t>Елементи електричних схем</t>
  </si>
  <si>
    <t>Апаратура для передавання радіосигналу з приймальним пристроєм, або аналог (пункт 5.2-5.3 Інвестиційної Програми 2024):ЛОТ2</t>
  </si>
  <si>
    <t>Апаратура для передавання радіосигналу з приймальним пристроєм, або аналог (пункт 5.2-5.3 Інвестиційної Програми 2024):ЛОТ1</t>
  </si>
  <si>
    <t>https://zakupivli.pro/gov/tenders/UA-2024-02-15-012214-a/lot-564e8759c96c4ce8a362b8001548200a</t>
  </si>
  <si>
    <t>https://zakupivli.pro/gov/tenders/UA-2024-02-15-012214-a/lot-990f8dfb41a84e0492d0e6e54657e62f</t>
  </si>
  <si>
    <t>https://zakupivli.pro/gov/tenders/UA-2024-02-15-002556-a</t>
  </si>
  <si>
    <t>Виконання робіт згідно робочого проекту: "Нове будівництво зовнішньої мережі водопостачання будівлі Кіровоградського РЕМ по просп.Соколівський, 23 в с. Соколівське, Кропивницького району, Кіровоградської області" (кад.№3522587200:51:000:072)</t>
  </si>
  <si>
    <t>https://zakupivli.pro/gov/tenders/UA-2024-02-19-006735-a</t>
  </si>
  <si>
    <t>Реконструкція КЛ-10 кВ ТП-515 - ТП-516 в м. Кропивницький (Кіровоградський МРЕМ) (п.1.4.9 ІП-2024)</t>
  </si>
  <si>
    <t>Реконструкція КЛ-10 кВ ТП-367 - ТП-516 в м. Кропивницький (Кіровоградський МРЕМ) (п.1.4.7 ІП-2024)</t>
  </si>
  <si>
    <t>Встановлення однофазних шаф обліку, підрядним способом (матеріали підрядника, крім лічильника) в с. Олександрівка, КТП-74,450,470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</si>
  <si>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6-10 кВ в аварійних ситуаціях</t>
  </si>
  <si>
    <t>Встановлення однофазних шаф обліку, підрядним способом (матеріали підрядника, крім лічильника) в с. Олексіївка КТП-481,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</si>
  <si>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0,4 кВ в аварійних ситуаціях</t>
  </si>
  <si>
    <t>Встановлення однофазних шаф обліку, підрядним способом в с. Пасічне КТП-239, 451 Новоукраїнського району (ІП-2024 п.2.2.1 1-ф шафа з комплектуючими (улаштування відгалуження за допомогою гаку)</t>
  </si>
  <si>
    <t>Встановлення однофазніх шаф обліку підрядним способом (матеріали підрядника, крім лічильників) с. Оникієве КТП-428  Новоукраїнського р-ну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</si>
  <si>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</si>
  <si>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Новопавлівка КТП-452, 453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</si>
  <si>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Березівка КТП-116, 118, 119, 259, 318, 456, 457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</si>
  <si>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</si>
  <si>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Олександрівка КТП-74, 450, 470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</si>
  <si>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Олексіївка КТП-481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</si>
  <si>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Березівка КТП-116, 118, 119, 318, 456, 457 Новоукраїнського району (ІП-2024 п.2.2.2 1-ф шафа з комплектуючими (улаштування відгалуження за допомогою трубостійки)</t>
  </si>
  <si>
    <t>Стояки СК-22.1-1.1, СК-22.2-1.1 (або еквівалент) (основна діяльність):Стояки СК-22.1-1.1, СК-22.2-1.1 (або еквівалент) (основна діяльність)</t>
  </si>
  <si>
    <t>https://zakupivli.pro/gov/tenders/UA-2024-02-20-011652-a</t>
  </si>
  <si>
    <t>https://zakupivli.pro/gov/tenders/UA-2024-02-20-011455-a</t>
  </si>
  <si>
    <t>https://zakupivli.pro/gov/tenders/UA-2024-02-20-011273-a</t>
  </si>
  <si>
    <t>https://zakupivli.pro/gov/tenders/UA-2024-02-20-011051-a</t>
  </si>
  <si>
    <t>https://zakupivli.pro/gov/tenders/UA-2024-02-20-010626-a</t>
  </si>
  <si>
    <t>https://zakupivli.pro/gov/tenders/UA-2024-02-20-010616-a</t>
  </si>
  <si>
    <t>https://zakupivli.pro/gov/tenders/UA-2024-02-20-010187-a</t>
  </si>
  <si>
    <t>https://zakupivli.pro/gov/tenders/UA-2024-02-20-010113-a</t>
  </si>
  <si>
    <t>https://zakupivli.pro/gov/tenders/UA-2024-02-20-010042-a</t>
  </si>
  <si>
    <t>https://zakupivli.pro/gov/tenders/UA-2024-02-20-009792-a</t>
  </si>
  <si>
    <t>https://zakupivli.pro/gov/tenders/UA-2024-02-20-009499-a</t>
  </si>
  <si>
    <t>https://zakupivli.pro/gov/tenders/UA-2024-02-20-009222-a</t>
  </si>
  <si>
    <t>https://zakupivli.pro/gov/tenders/UA-2024-02-20-008982-a</t>
  </si>
  <si>
    <t>https://zakupivli.pro/gov/tenders/UA-2024-02-20-008891-a</t>
  </si>
  <si>
    <t>https://zakupivli.pro/gov/tenders/UA-2024-02-20-008382-a</t>
  </si>
  <si>
    <t>https://zakupivli.pro/gov/tenders/UA-2024-02-20-007571-a/lot-d243b17001634d16a5f4556887346f70</t>
  </si>
  <si>
    <t>Реконструкція РП-10 кВ ЗТП-496 в м. Кропивницький для зовнішнього електропостачання виробничої бази ТОВ "АРК ГРУПП 19" по вул. Промислова, 3В</t>
  </si>
  <si>
    <t>Будівництво КЛ-10кВ від ТП-821 в м. Кропивницький для зовнішнього електропостачання виробничої бази ТОВ "АРК ГРУПП 19" по вул. Промислова, 3В</t>
  </si>
  <si>
    <t>Будівництво ТП-821 в м. Кропивницький для зовнішнього електропостачання виробничої бази ТОВ "АРК ГРУПП 19" по вул. Промислова, 3В</t>
  </si>
  <si>
    <t>https://zakupivli.pro/gov/tenders/UA-2024-02-21-000550-a</t>
  </si>
  <si>
    <t>https://zakupivli.pro/gov/tenders/UA-2024-02-21-000366-a</t>
  </si>
  <si>
    <t>https://zakupivli.pro/gov/tenders/UA-2024-02-21-000270-a</t>
  </si>
  <si>
    <t>Будівництво ПЛЗ -10 Ф-16 Бл оп.№10/1,28-36 м.Кропивницький для зовнішнього електропостачання комплексу будівель Фірми Агрогідромаш ТОВ вул. Джерельна, 86</t>
  </si>
  <si>
    <t>Будівництво ПЛІ-0,4кВ Л-2 ЩТП-756 для зовнішнього електропостачання житлового будинку садибного типу с.Соколівське</t>
  </si>
  <si>
    <t>Будівництво ЩТМ-832 в м.Кропивницький для зовнішнього електропостачання комплексу будівель Агрогідромаш ТОВ по вул. Джерельна, 86</t>
  </si>
  <si>
    <t>Капітальний ремонт будівлі цеху з ремонту приладів обліку літ."Х"(оздоблення), комплексу будівель та споруд за адресою: вул. Аджамська, 9 у м. Кропивницький, Кіровоградської області</t>
  </si>
  <si>
    <t>Капітальний ремонт будівлі цеху з ремонту приладів обліку літ. Х (покрівля)комплексу будівель та споруд за адресою вул. Аджамська, 9 у м. Кропивницький, Кіровоградської області</t>
  </si>
  <si>
    <t>https://zakupivli.pro/gov/tenders/UA-2024-02-22-002895-a</t>
  </si>
  <si>
    <t>https://zakupivli.pro/gov/tenders/UA-2024-02-22-001885-a</t>
  </si>
  <si>
    <t>https://zakupivli.pro/gov/tenders/UA-2024-02-22-001148-a</t>
  </si>
  <si>
    <t>https://zakupivli.pro/gov/tenders/UA-2024-02-22-000344-a</t>
  </si>
  <si>
    <t>https://zakupivli.pro/gov/tenders/UA-2024-02-22-000149-a</t>
  </si>
  <si>
    <t>Будівництво ПЛІ-0,4 кВ ТП-800 Л-20 оп.1-13 для зовнішнього електропостачання комплексу будівель, ПП "АВТОГРАД-БОШ" по вул. Перша Виставкова, буд.37-а смт. Нове, м. Кропивницький</t>
  </si>
  <si>
    <t>Будівництво КЛ-0,4 кВ ТП-800 А-20 оп.1 для зовнішнього електропостачання комплексу будівель, ПП "АВТОГРАД-БОШ" по вул. Перша Виставкова, буд.37 смт. Нове, м. Кропивницький</t>
  </si>
  <si>
    <t>https://zakupivli.pro/gov/tenders/UA-2024-02-22-011155-a</t>
  </si>
  <si>
    <t>https://zakupivli.pro/gov/tenders/UA-2024-02-22-011040-a</t>
  </si>
  <si>
    <t>Електронне обладнання (або еквівалент) (основна діяльність):Електронне обладнання (або еквівалент) (основна діяльність)</t>
  </si>
  <si>
    <t>31710000-6 Електронне обладнання</t>
  </si>
  <si>
    <t>https://zakupivli.pro/gov/tenders/UA-2024-02-22-008123-a/lot-e39baa3fa77a42ce898094455d3bd131</t>
  </si>
  <si>
    <t>Нове будівництво ТП№1471 для переключення мереж о,4кВ від КТП-1017 в м. Олександрія Кіровоградської області (Олександрійський РЕМ) (пункт 1.6.1 ІП-2024)</t>
  </si>
  <si>
    <t>Нове будівництво ТП-1476 для переключення мереж 0,4кВ від КТП-1128 в м. Олександрія Кіровоградської області (Олександрійський РЕМ)  (пункт 1.6.7 ІП-2024)</t>
  </si>
  <si>
    <t>https://zakupivli.pro/gov/tenders/UA-2024-02-23-002262-a</t>
  </si>
  <si>
    <t>https://zakupivli.pro/gov/tenders/UA-2024-02-23-001573-a</t>
  </si>
  <si>
    <t>Зовнішнє електропостачання базової станції мобільного зв'язку KD 0222 ТОВ "Лайфселл" в м. Благовіщенське Голованівського району для ТОВ ВКК "Арія"</t>
  </si>
  <si>
    <t>Ремонт обладнання РРЛЗ ЦВЗ-2 РБВ Олександрівського РЕМ</t>
  </si>
  <si>
    <t>https://zakupivli.pro/gov/tenders/UA-2024-02-26-000121-a</t>
  </si>
  <si>
    <t>https://zakupivli.pro/gov/tenders/UA-2024-02-26-000066-a</t>
  </si>
  <si>
    <t>Садова техніка різна (або еквівалент) (основна діяльність):Садова техніка різна (або еквівалент) (основна діяльність)</t>
  </si>
  <si>
    <t>https://zakupivli.pro/gov/tenders/UA-2024-02-27-004245-a/lot-ffe8bed0f0154fb4b699b7235090558c</t>
  </si>
  <si>
    <t>Трансформатори (або еквівалент) (основна діяльність):ЛОТ 1</t>
  </si>
  <si>
    <t>Трансформатори (або еквівалент) (основна діяльність):ЛОТ 2</t>
  </si>
  <si>
    <t>Трансформатори (або еквівалент) (основна діяльність):ЛОТ 3</t>
  </si>
  <si>
    <t>Трансформатори (або еквівалент) (основна діяльність):ЛОТ 4</t>
  </si>
  <si>
    <t>https://zakupivli.pro/gov/tenders/UA-2024-02-28-002778-a/lot-68233ac24358441b8c7a69f827b3f15d</t>
  </si>
  <si>
    <t>https://zakupivli.pro/gov/tenders/UA-2024-02-28-002778-a/lot-7e7d7871dd1d422facc0d678d34387f7</t>
  </si>
  <si>
    <t>https://zakupivli.pro/gov/tenders/UA-2024-02-28-002778-a/lot-f4dc81e09cff47aa8c6415c77d0e35e7</t>
  </si>
  <si>
    <t>https://zakupivli.pro/gov/tenders/UA-2024-02-28-002778-a/lot-37e1bfa351064f48b0cc09d606978fcc</t>
  </si>
  <si>
    <t>Вентиляційне обладнання (або еквівалент) (основна діяльність):Вентиляційне обладнання (або еквівалент) (основна діяльність)</t>
  </si>
  <si>
    <t>https://zakupivli.pro/gov/tenders/UA-2024-02-29-006630-a/lot-1848e7a921f94c98b2964468849001d0</t>
  </si>
  <si>
    <t>42520000-7 Вентиляційне обладнання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</si>
  <si>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</si>
  <si>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</si>
  <si>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https://zakupivli.pro/gov/tenders/UA-2024-03-01-007913-a/lot-8da8a63dd0ce42a380df5552566071d8</t>
  </si>
  <si>
    <t>https://zakupivli.pro/gov/tenders/UA-2024-03-01-007913-a/lot-93b7875b9bb14e36bad78b6b052d45ba</t>
  </si>
  <si>
    <t>Електричні акумулятори ЛОТ 2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</si>
  <si>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1 Реконструкція ЗТП-1002 в м. Олександрія (Олександрійський РЕМ) (пункт 1.8.8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</si>
  <si>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2 Реконструкція КТП-204 в м. Кропивницький (Кіровоградський МРЕМ) (пункт 1.8.11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</si>
  <si>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3 Реконструкція КТП-373 в м. Кропивницький (Кіровоградський МРЕМ) (пункт 1.8.12 Інвестиційної Програми 2024)</t>
  </si>
  <si>
    <t>Капітальний ремонт будівлі цеху з ремонту приладів обліку літ. "Х" (підсилення стін)комплексу будвель та споруд за адресою: вул.Аджамська, 9 у м. Кропивницький, Кіровоградської області</t>
  </si>
  <si>
    <t>Баласти для розрядних ламп чи трубок</t>
  </si>
  <si>
    <t>Технічне переонащення КТП-67 для зовнішнього електропостачання житлового будинку Ковтанюк С.А. в м. Новомиргород</t>
  </si>
  <si>
    <t>https://zakupivli.pro/gov/tenders/UA-2024-03-04-011178-a</t>
  </si>
  <si>
    <t>https://zakupivli.pro/gov/tenders/UA-2024-03-04-011096-a/lot-7050861540fd4359b3415d117930c267</t>
  </si>
  <si>
    <t>https://zakupivli.pro/gov/tenders/UA-2024-03-04-011096-a/lot-803edfe76803430491a2a5e9cc16bc1c</t>
  </si>
  <si>
    <t>https://zakupivli.pro/gov/tenders/UA-2024-03-04-011096-a/lot-190acbd39713427db880d345f23d4854</t>
  </si>
  <si>
    <t>https://zakupivli.pro/gov/tenders/UA-2024-03-04-007678-a</t>
  </si>
  <si>
    <t>https://zakupivli.pro/gov/tenders/UA-2024-03-04-003068-a</t>
  </si>
  <si>
    <t>https://zakupivli.pro/gov/tenders/UA-2024-03-04-002146-a</t>
  </si>
  <si>
    <t>Реконструкція ПЛ-0,4 кВ Л-2 від КТП-67 з перенесенням частини лінії за територію ТОВ "Вересень плюс" на перехресті вул. В.Капніста та вул. Соборності в м. Новомиргород Новоукраїнського району Кіровоградської області</t>
  </si>
  <si>
    <t xml:space="preserve">Реконструкція ділянки КЛ-10 кВ Л-186 від ЗТП-304 до ЗТП-220 в зоні будівництва на перехресті вул. Капніста та Соборності в м. Новомиргород </t>
  </si>
  <si>
    <t>Будівництво ЩТП-520 в с. Федорівка Кропивницького району (Кіровоградський РЕМ) для зовнішнього електропостачання житлового будинку гр. Тертичного О.В. по вул. Шпаченка, буд. 29-Б</t>
  </si>
  <si>
    <t>https://zakupivli.pro/gov/tenders/UA-2024-03-05-012187-a</t>
  </si>
  <si>
    <t>https://zakupivli.pro/gov/tenders/UA-2024-03-05-011904-a</t>
  </si>
  <si>
    <t>https://zakupivli.pro/gov/tenders/UA-2024-03-05-002444-a</t>
  </si>
  <si>
    <t>ЛОТ № 2 Реконструкція ЗТП-522 в смт. Побузьке Голованівського району Кіровоградської області (Голованівський РЕМ) (пункт 1.8.2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</si>
  <si>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ЛОТ № 1 Реконструкція ЗТП-175 в смт. Голованівськ Голованівського району Кіровоградської області (Голованівський РЕМ) (пункт 1.8.1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</si>
  <si>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https://zakupivli.pro/gov/tenders/UA-2024-03-06-001796-a</t>
  </si>
  <si>
    <t>https://zakupivli.pro/gov/tenders/UA-2024-03-06-001512-a</t>
  </si>
  <si>
    <t>Ремонт системи захисту від КЗ на землю "АЛЬТРА" ПС 150/35/10 кВ "Південно-Східна"</t>
  </si>
  <si>
    <t>Модернізація мережевої інфраструктури (ядро) (пункт 4.5 Інвестиційної Програми 2024):Модернізація мережевої інфраструктури (ядро) (пункт 4.5 Інвестиційної Програми 2024)</t>
  </si>
  <si>
    <t>https://zakupivli.pro/gov/tenders/UA-2024-03-07-006789-a</t>
  </si>
  <si>
    <t>https://zakupivli.pro/gov/tenders/UA-2024-03-07-003046-a/lot-8b883bedd1ec460a98fe8a5d22d1b9a6</t>
  </si>
  <si>
    <t>https://zakupivli.pro/gov/tenders/UA-2024-03-11-000863-a</t>
  </si>
  <si>
    <t>https://zakupivli.pro/gov/tenders/UA-2024-03-11-000483-a</t>
  </si>
  <si>
    <t>Нове будівництво КЛ-6кВ від ПЛ 6кВ Л-51 для живлення ТП-1471 в м.Олександрія (пункт 1.3.1. ІП-2024)</t>
  </si>
  <si>
    <t>Нове будівництво ТП-1470 для переключення мереж 0,4кВвід ЗТП-1104 в м. Олександрія (пункт 1.6.5. ІП-2024)</t>
  </si>
  <si>
    <t>https://zakupivli.pro/gov/tenders/UA-2024-03-11-000147-a</t>
  </si>
  <si>
    <t>Нове будівництво КТП-1483 для переключення частини ПЛ-0,4 кВ від ЗТП-1087 по вул. Григорія Усика та частини ПЛ-0,4 кВ від ЗТП-1104 по вул. Райдужна в м. Олександрія Олександрійського району Кіровоградської області (Олександрійський РЕМ) (пункт 1.6.4. ІП-2024)</t>
  </si>
  <si>
    <t>https://zakupivli.pro/gov/tenders/UA-2024-03-11-000098-a</t>
  </si>
  <si>
    <t>Нове будівництво КЛ-6 кВ від ПЛ-6 кВ Л-51 для живлення ТП-1476 в м. Олександрія Кіровоградської області (Олександрійський РЕМ) (пункт 1.3.3. ІП-2024)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</si>
  <si>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</si>
  <si>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</si>
  <si>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Нове будівництво ТП-1473 для переключення мереж 0,4 кВ від КТП-1087 в м. Олександрія Кіровоградської області (Олександрійський РЕМ) (п.1.6.3 ІП-2024)</t>
  </si>
  <si>
    <t>Нове будівництво КЛ-6 кВ від ПЛ-6кВ Л-615 для живлення ТП-1473 в м. Олександрія Кіровоградської області (Олександрійський РЕМ) (пункт.1.3.2 ІП-2024р)</t>
  </si>
  <si>
    <t>Нове будівництво ТП-1472 для переключення мереж 0,4кВ від КТП-1149 в м. Олександрія Олександрійський район, Кіровоградська область (Олександрійський РЕМ) (пункт 1.6.10 ІП -2024)</t>
  </si>
  <si>
    <t>Нове будівництво ділянки ПЛ-6кВ від ПЛ-6кВ Л-602 для живлення ТП-1472 в м. Олександрія Олександрійський район, Кіровоградська область (Олександрійський РЕМ) (пункт 1.1.2 ІП -2024)</t>
  </si>
  <si>
    <t>https://zakupivli.pro/gov/tenders/UA-2024-03-12-011359-a</t>
  </si>
  <si>
    <t>https://zakupivli.pro/gov/tenders/UA-2024-03-12-008558-a</t>
  </si>
  <si>
    <t>https://zakupivli.pro/gov/tenders/UA-2024-03-12-008416-a</t>
  </si>
  <si>
    <t>https://zakupivli.pro/gov/tenders/UA-2024-03-12-008106-a</t>
  </si>
  <si>
    <t>https://zakupivli.pro/gov/tenders/UA-2024-03-12-007781-a</t>
  </si>
  <si>
    <t>https://zakupivli.pro/gov/tenders/UA-2024-03-12-007076-a</t>
  </si>
  <si>
    <t>https://zakupivli.pro/gov/tenders/UA-2024-03-13-002658-a/lot-41c91a583c6b4d88b089ca96a9f09369</t>
  </si>
  <si>
    <t>Знаряддя</t>
  </si>
  <si>
    <t>Строп, канат сталевий (або еквівалент) (основна діяльність):Строп, канат сталевий (або еквівалент) (основна діяльність)</t>
  </si>
  <si>
    <t>Конструкції та їх частини (або еквівалент) (основна діяльність):ЛОТ 1</t>
  </si>
  <si>
    <t>Конструкції та їх частини (або еквівалент) (основна діяльність):ЛОТ 2</t>
  </si>
  <si>
    <t>https://zakupivli.pro/gov/tenders/UA-2024-03-14-009075-a</t>
  </si>
  <si>
    <t>https://zakupivli.pro/gov/tenders/UA-2024-03-14-004029-a/lot-9c2a450121944557b4ff04df82d8bd68</t>
  </si>
  <si>
    <t>https://zakupivli.pro/gov/tenders/UA-2024-03-14-001638-a/lot-05849d1060b84de392d17d138e4058bb</t>
  </si>
  <si>
    <t>https://zakupivli.pro/gov/tenders/UA-2024-03-14-001638-a/lot-83c45c7f7d5348119a35d0c4ac2e1c91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</si>
  <si>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1 Реконструкція КТП-204 в м. Кропивницький (Кіровоградський МРЕМ) (пункт 1.8.11 Інвестиційної Програми 2024)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</si>
  <si>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2 Реконструкція КТП-373 в м. Кропивницький (Кіровоградський МРЕМ) (пункт 1.8.12 Інвестиційної Програми 2024)</t>
  </si>
  <si>
    <t>Електрична апаратура для комутування та захисту електричних кіл (або еквівалент), ЛОТ 3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</si>
  <si>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https://zakupivli.pro/gov/tenders/UA-2024-03-15-009363-a/lot-8c25c7b5af6c4597a603ac45f2841127</t>
  </si>
  <si>
    <t>https://zakupivli.pro/gov/tenders/UA-2024-03-15-009363-a/lot-bfff6f72cd2f440c9d6ffbbe3852a50d</t>
  </si>
  <si>
    <t>https://zakupivli.pro/gov/tenders/UA-2024-03-15-002037-a</t>
  </si>
  <si>
    <t>Придбання комплекту обладнання для віддаленого доступу до стаціонарних аналізаторів якості електроенергії на ПС-150кВ (МС) (пункт 7.2 Інвестиційної програми 2024)</t>
  </si>
  <si>
    <t>https://zakupivli.pro/gov/tenders/UA-2024-03-18-007381-a</t>
  </si>
  <si>
    <t>Продукція, пов'язана з конструкційними матеріалами (або еквівалент) (основна діяльність):Продукція, пов'язана з конструкційними матеріалами (або еквівалент) (основна діяльність)</t>
  </si>
  <si>
    <t>https://zakupivli.pro/gov/tenders/UA-2024-03-20-005051-a/lot-bfb4068314a54ad6a3d5b6fe0f51989f</t>
  </si>
  <si>
    <t>Ручні інструменти пневматичні чи моторизовані</t>
  </si>
  <si>
    <t>42650000-7 Ручні інструменти пневматичні чи моторизовані</t>
  </si>
  <si>
    <t>https://zakupivli.pro/gov/tenders/UA-2024-03-21-008100-a</t>
  </si>
  <si>
    <t>Світильники та освітлювальна арматура</t>
  </si>
  <si>
    <t>Частини до світильників та освітлювального обладнання</t>
  </si>
  <si>
    <t>31520000-7 Світильники та освітлювальна арматура</t>
  </si>
  <si>
    <t>31530000-0 Частини до світильників та освітлювального обладнання</t>
  </si>
  <si>
    <t>https://zakupivli.pro/gov/tenders/UA-2024-03-25-008603-a</t>
  </si>
  <si>
    <t>https://zakupivli.pro/gov/tenders/UA-2024-03-25-008156-a</t>
  </si>
  <si>
    <t>Реконструкція КЛ-6кВ ЗТП-520 - ЗТП-524 в смт. Побузьке Голованівського району (Голованівський РЕМ) (пункт 1.4.4 ІП-2024)</t>
  </si>
  <si>
    <t>Реконструкція КЛ-6кВ від ЗТП-408 до ЗТП-409 в смт. Завалля Гайворонського району Кіровоградської області (Гайворонський РЕМ)(пункт 1.4.1 ІП-2024)</t>
  </si>
  <si>
    <t>Реконструкція КТП-265 в с. Созонівка Кропивницького району Кіровоградської області (Кіровоградський РЕМ) (пункт 1.8.5 ІП-2024)</t>
  </si>
  <si>
    <t>https://zakupivli.pro/gov/tenders/UA-2024-03-25-001536-a</t>
  </si>
  <si>
    <t>https://zakupivli.pro/gov/tenders/UA-2024-03-25-001472-a</t>
  </si>
  <si>
    <t>https://zakupivli.pro/gov/tenders/UA-2024-03-25-001382-a</t>
  </si>
  <si>
    <t>Реконструкція КТП-262 в с. Созонівка Кропивницького району Кіровоградської області (Кіровоградський РЕМ) (пункт 1.8.4 ІП-2024)</t>
  </si>
  <si>
    <t>Реконструкція КТП-266 в с. Созонівка Кропивницького району Кіровоградської області (Кіровоградський РЕМ) (пункт 1.8.6 ІП-2024)</t>
  </si>
  <si>
    <t>Реконструкція КТП-237 в м. Кропивницький (Кіровоградський МРЕМ) (пункт 1.8.10 ІП-2024)</t>
  </si>
  <si>
    <t>Реконструкція ПЛ-0,4кВ від КТП-266 в с. Созонівка Кропивницького району Кіровоградської області (Кіровоградський РЕМ) (пункт 1.5.5 ІП-2024)</t>
  </si>
  <si>
    <t>Реконструкція КЛ-6кВ від ЗТП-411 до ЗТП-410 в смт. Завалля Голованівського району Кіровоградської області (Гайворонський РЕМ)(пункт 1.4.2 ІП-2024)</t>
  </si>
  <si>
    <t>https://zakupivli.pro/gov/tenders/UA-2024-03-25-001186-a</t>
  </si>
  <si>
    <t>https://zakupivli.pro/gov/tenders/UA-2024-03-25-000945-a</t>
  </si>
  <si>
    <t>https://zakupivli.pro/gov/tenders/UA-2024-03-25-000827-a</t>
  </si>
  <si>
    <t>https://zakupivli.pro/gov/tenders/UA-2024-03-25-000641-a</t>
  </si>
  <si>
    <t>https://zakupivli.pro/gov/tenders/UA-2024-03-25-000613-a</t>
  </si>
  <si>
    <t>Реконструкція ЗТП-347 в м. Кропивницький Кіровоградської області (Кіровоградський МРЕМ) (пункт 1.8.9 ІП-2024)</t>
  </si>
  <si>
    <t>Реконструкція КЛ-6кВ від ЗТП-408 до ЗТП-411 в смт. Завалля Голованівського району Кіровоградської області (Гайворонський РЕМ)(пункт 1.4.3 ІП-2024)</t>
  </si>
  <si>
    <t>Реконструкція ПЛ-0,4кВ КТП-263 з переключенням побутових споживачів на КТП-266 в с. Созонівка Кропивницького району Кіровоградської області (Кіровоградський РЕМ) (пункт.1.5.3. ІП-2024)</t>
  </si>
  <si>
    <t>Реконструкція ЗТП-105 в м. Новоукраїнка (Новоукраїнський РЕМ) (пункт 1.8.7 ІП-2024)</t>
  </si>
  <si>
    <t>Реконструкція ЗТП-525 в смт. Побузьке Голованівського району Кіровоградської області (Голованівський РЕМ) (пункт 1.8.3 ІП-2024)</t>
  </si>
  <si>
    <t>https://zakupivli.pro/gov/tenders/UA-2024-03-25-000494-a</t>
  </si>
  <si>
    <t>https://zakupivli.pro/gov/tenders/UA-2024-03-25-000416-a</t>
  </si>
  <si>
    <t>https://zakupivli.pro/gov/tenders/UA-2024-03-25-000383-a</t>
  </si>
  <si>
    <t>https://zakupivli.pro/gov/tenders/UA-2024-03-25-000272-a</t>
  </si>
  <si>
    <t>https://zakupivli.pro/gov/tenders/UA-2024-03-25-000171-a</t>
  </si>
  <si>
    <t>Впровадження програмного комплексу "АСТОР 8" (пункт 4.8 Інвестиційної Програми 2024) (відповідно до п.п. 5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</si>
  <si>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https://zakupivli.pro/gov/tenders/UA-2024-03-28-009986-a</t>
  </si>
  <si>
    <t>Капітальний ремонт будівлі ЗТП-1155 по вул. Миру, м. Олександрія, Кіровоградської області (улаштування покрівлі з металопрофілю)</t>
  </si>
  <si>
    <t>Капітальний ремонт будівлі ЗТП-1088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</si>
  <si>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ЗТП-1161 по вул. Кременчуцька, м. Олександрія, Кіровоградська область (улаштування покрівлі з металопрофілю, вимощення)</t>
  </si>
  <si>
    <t>Капітальний ремонт будувлі ЗТП-1060 по вул. Покровська площа, м. Олександрія, Кіровоградська область (улаштування покрівлі з металопрофілю, вимощення, фасад)</t>
  </si>
  <si>
    <t>Капітальний ремонт будівлі ЗТП-1009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</si>
  <si>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ЗТП-1016 по вул. Канатенко, м. Олександрія, Кіровоградська область (улаштування покрівлі з металопрофілю, вимощення)</t>
  </si>
  <si>
    <t>https://zakupivli.pro/gov/tenders/UA-2024-04-01-005782-a</t>
  </si>
  <si>
    <t>https://zakupivli.pro/gov/tenders/UA-2024-04-01-005332-a</t>
  </si>
  <si>
    <t>https://zakupivli.pro/gov/tenders/UA-2024-04-01-005080-a</t>
  </si>
  <si>
    <t>https://zakupivli.pro/gov/tenders/UA-2024-04-01-003935-a</t>
  </si>
  <si>
    <t>https://zakupivli.pro/gov/tenders/UA-2024-04-01-003767-a</t>
  </si>
  <si>
    <t>https://zakupivli.pro/gov/tenders/UA-2024-04-01-003479-a</t>
  </si>
  <si>
    <t>Будівництво ПЛ, ПЛІ-0,4 кВ Л-2 від КТП-141 для зовнішнього електропостачання житлового будинку з будівельним майданчиком гр. Соломко А.М. по вул. Лісова, буд.55 в с. Українка Кропивницького району</t>
  </si>
  <si>
    <t>Будівництво ПЛ-10 кВ Л-171 оп.208-370 в с. Велика Андрусівка Олександрійського району (по старому Світловодського району) для зовнішнього електропостачання водонапірної станції Грушки В.І.</t>
  </si>
  <si>
    <t>Будівництво КЛ-0,4 кВ А-40 від ТП-208 в м. Кропивницький для зовнішнього електропостачання частини нежитлового приміщення ФОП Калинюк О.М. по вул. В'ячеслава Чорновола, буд. 2Г</t>
  </si>
  <si>
    <t>Будівництво КЛ-0,4 кВ від ЗТП-393 для зовнішнього електропостачання нежитлової будівлі Петросяна Я.О. в м. Кропивницький по вул. Космонавта Попова, 13</t>
  </si>
  <si>
    <t>Телекомунікаційні кабелі та обладнання (або еквівалент) (основна діяльність):Телекомунікаційні кабелі та обладнання (або еквівалент) (основна діяльність)</t>
  </si>
  <si>
    <t>32520000-4 Телекомунікаційні кабелі та обладнання</t>
  </si>
  <si>
    <t>https://zakupivli.pro/gov/tenders/UA-2024-04-03-008285-a</t>
  </si>
  <si>
    <t>https://zakupivli.pro/gov/tenders/UA-2024-04-03-008011-a</t>
  </si>
  <si>
    <t>https://zakupivli.pro/gov/tenders/UA-2024-04-03-007759-a</t>
  </si>
  <si>
    <t>https://zakupivli.pro/gov/tenders/UA-2024-04-03-007567-a</t>
  </si>
  <si>
    <t>https://zakupivli.pro/gov/tenders/UA-2024-04-03-003922-a/lot-240932b8881a47c281f0f869225cfa6c</t>
  </si>
  <si>
    <t>Технічне переоснащення КТП-1028 м.Олександрія</t>
  </si>
  <si>
    <t>Технічне переоснащення РУ 0,4кВ ЗТП-208 м.Кропивницький</t>
  </si>
  <si>
    <t>https://zakupivli.pro/gov/tenders/UA-2024-04-03-011648-a</t>
  </si>
  <si>
    <t>https://zakupivli.pro/gov/tenders/UA-2024-04-03-011525-a</t>
  </si>
  <si>
    <t>https://zakupivli.pro/gov/tenders/UA-2024-04-03-011369-a</t>
  </si>
  <si>
    <t>Вузол термозакріплення в зборі</t>
  </si>
  <si>
    <t>https://zakupivli.pro/gov/tenders/UA-2024-04-03-011788-a</t>
  </si>
  <si>
    <t>ЛОТ 1 Мережеве обладнання (або еквівалент) (основна діяльність)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</si>
  <si>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https://zakupivli.pro/gov/tenders/UA-2024-04-04-007798-a</t>
  </si>
  <si>
    <t>Електротехнічне обладнання (або еквівалент) (основна діяльність):Електротехнічне обладнання (або еквівалент) (основна діяльність)</t>
  </si>
  <si>
    <t>31730000-2 Електротехнічне обладнання</t>
  </si>
  <si>
    <t>https://zakupivli.pro/gov/tenders/UA-2024-04-04-010434-a/lot-428e5fc348a04f2b95b483219ef01b28</t>
  </si>
  <si>
    <t>Частини електророзподільної чи контрольної апаратури</t>
  </si>
  <si>
    <t>31230000-7 Частини електророзподільної чи контрольної апаратури</t>
  </si>
  <si>
    <t>https://zakupivli.pro/gov/tenders/UA-2024-04-08-004905-a</t>
  </si>
  <si>
    <t>Улаштування захисної споруди трансформатора 2Т П/СТ 150/35/10кВ "Кіровоградська" по вул. Героїв України, 47 м. Кропивницький, Кіровоградської області (Черга ІІ)</t>
  </si>
  <si>
    <t>Улаштування захисної споруди тр-ра 1Т П/СТ 150/35/10 кВ "Кіровоградська" по вул. Героїв України, 47 в м. Кропивницький</t>
  </si>
  <si>
    <t>Акумуляторні батареї</t>
  </si>
  <si>
    <t>Електричні інструменти</t>
  </si>
  <si>
    <t>31440000-2 Акумуляторні батареї</t>
  </si>
  <si>
    <t>43830000-0 Електричні інструменти</t>
  </si>
  <si>
    <t>https://zakupivli.pro/gov/tenders/UA-2024-04-09-001535-a</t>
  </si>
  <si>
    <t>https://zakupivli.pro/gov/tenders/UA-2024-04-09-001245-a</t>
  </si>
  <si>
    <t>https://zakupivli.pro/gov/tenders/UA-2024-04-09-000302-a</t>
  </si>
  <si>
    <t>https://zakupivli.pro/gov/tenders/UA-2024-04-09-000106-a</t>
  </si>
  <si>
    <t>Послуги з очищення та освітлення трансформаторної оливи об'ємом 2800 літрів</t>
  </si>
  <si>
    <t>послуга</t>
  </si>
  <si>
    <t>Послуги</t>
  </si>
  <si>
    <t>https://zakupivli.pro/gov/tenders/UA-2024-04-09-011832-a</t>
  </si>
  <si>
    <t>90740000-6 Послуги з відстеження, моніторингу забруднювачів і відновлення</t>
  </si>
  <si>
    <t>Трансформатори (або еквівалент) (основна діяльність):Трансформатори (або еквівалент) (основна діяльність)</t>
  </si>
  <si>
    <t>Силікагель</t>
  </si>
  <si>
    <t>24310000-0 Основні неорганічні хімічні речовини</t>
  </si>
  <si>
    <t>https://zakupivli.pro/gov/tenders/UA-2024-04-10-010420-a/lot-e271c08ebeb94133bfb9152f7f8c743e</t>
  </si>
  <si>
    <t>https://zakupivli.pro/gov/tenders/UA-2024-04-10-002649-a</t>
  </si>
  <si>
    <t>кг</t>
  </si>
  <si>
    <t>Капітальний ремонт будівлі ОПУ П/СТ 35/10 кВ "Подорожня" по вул. Колгоспна с. Подорожнє, Кіровоградської області (Улаштування покрівлі з металопрофілю, фасад)</t>
  </si>
  <si>
    <t>https://zakupivli.pro/gov/tenders/UA-2024-04-11-009544-a</t>
  </si>
  <si>
    <t>https://zakupivli.pro/gov/tenders/UA-2024-04-12-009467-a</t>
  </si>
  <si>
    <t>Замки, ключі та петлі</t>
  </si>
  <si>
    <t>44520000-1 Замки, ключі та петлі</t>
  </si>
  <si>
    <t>https://zakupivli.pro/gov/tenders/UA-2024-04-16-000092-a</t>
  </si>
  <si>
    <t>Сервери (або еквівалент) (основна діяльність):Сервери (або еквівалент) (основна діяльність)</t>
  </si>
  <si>
    <t>Будівництво ПЛІ 0,4кВ Л-1 оп.32 КТП-1038 м.Олександрія</t>
  </si>
  <si>
    <t>Роботи по новому будівництву системи пожежної сигналізації</t>
  </si>
  <si>
    <t>48820000-2 Сервери</t>
  </si>
  <si>
    <t>https://zakupivli.pro/gov/tenders/UA-2024-04-18-012162-a/lot-0e3b9723f71d48d78613891998020cd8</t>
  </si>
  <si>
    <t>https://zakupivli.pro/gov/tenders/UA-2024-04-18-011880-a</t>
  </si>
  <si>
    <t>https://zakupivli.pro/gov/tenders/UA-2024-04-18-009207-a</t>
  </si>
  <si>
    <t>04.04.20424</t>
  </si>
  <si>
    <t>Технічне переоснащення КЛ-0,4кВ Л-6 від ЗТП-1199 для зовнішнього електропостачання нежитлового приміщення гр. Макаренко К.А. по вул. Айвазовського, буд.42-а в м.Олександрія</t>
  </si>
  <si>
    <t>https://zakupivli.pro/gov/tenders/UA-2024-04-24-006858-a</t>
  </si>
  <si>
    <t>Трансформатори (або еквівалент) (основна діяльність)</t>
  </si>
  <si>
    <t>https://zakupivli.pro/gov/tenders/UA-2024-04-25-005173-a/lot-8ff0641e6de74e8f86042b3700b8a53f</t>
  </si>
  <si>
    <t>UA-2024-04-25-005173-a</t>
  </si>
  <si>
    <t>31170000-8 Трансформатори</t>
  </si>
  <si>
    <t>Будівництво ПЛІ-0,4кВ Л-9 КТП-320 в с. Протопопівка Олександрійського району (Олександрійські ЕМ) для зовнішнього електропостачання базової станції мобільного зв'язку "Лайфселл"</t>
  </si>
  <si>
    <t>https://zakupivli.pro/gov/tenders/UA-2024-04-26-001577-a</t>
  </si>
  <si>
    <t>Капітальний ремонт будівлі ЗТП-754 м. Кропивницький</t>
  </si>
  <si>
    <t>Технічне переоснащення КТП-99 для зовнішнього електропостачання комплексу будівель СФГ Романюка В.А. по вул.Західна, буд.1 в с. Тарасівка Кропивницького району (Бобринецькі ЕМ)</t>
  </si>
  <si>
    <t>Будівництво ЩТП-833 в м.Кропивницький для зовнішнього електропостачання житлового будинку гр. Макртишевська П.О. по вул. Кавказька, буд.6</t>
  </si>
  <si>
    <t>https://zakupivli.pro/gov/tenders/UA-2024-04-30-008406-a</t>
  </si>
  <si>
    <t>https://zakupivli.pro/gov/tenders/UA-2024-04-30-007763-a</t>
  </si>
  <si>
    <t>https://zakupivli.pro/gov/tenders/UA-2024-04-30-007691-a</t>
  </si>
  <si>
    <t>Електричне приладдя та супутні товари до електричного обладнання</t>
  </si>
  <si>
    <t>https://zakupivli.pro/gov/tenders/UA-2024-05-06-000775-a</t>
  </si>
  <si>
    <t>Будiвництво КЛ-10 кВ Л-139 оп.13 ТП-7 (КП: Електротранс) для зовнiшнього електропостачання електрозарядної станцiї №1 КП Електротранс по вул. Холодноярська, в м. Кропивницький</t>
  </si>
  <si>
    <t>https://zakupivli.pro/gov/tenders/UA-2024-05-06-005957-a</t>
  </si>
  <si>
    <t>Ремонтно-відновлювальні роботи енергооб'єктів 0,4кВ в аварійних ситуаціях</t>
  </si>
  <si>
    <t>Ремонтно-відновлювальні роботи енергооб'єктів 6-10кВ в аварійних ситуаціях</t>
  </si>
  <si>
    <t>https://zakupivli.pro/gov/tenders/UA-2024-05-08-001172-a</t>
  </si>
  <si>
    <t>https://zakupivli.pro/gov/tenders/UA-2024-05-08-000784-a</t>
  </si>
  <si>
    <t>Цифрова передавальна апаратура</t>
  </si>
  <si>
    <t>32270000-6 Цифрова передавальна апаратура</t>
  </si>
  <si>
    <t>https://zakupivli.pro/gov/tenders/UA-2024-05-09-002161-a</t>
  </si>
  <si>
    <t>https://zakupivli.pro/gov/tenders/UA-2024-05-09-001892-a</t>
  </si>
  <si>
    <t>Улаштування захисної споруди тр-ра 1Т ПС 150/35/10 кВ (Черга ІІ)</t>
  </si>
  <si>
    <t>Улаштування захисної споруди тр-ра 2Т ПС 150/35/10 кВ (Черга ІІ)</t>
  </si>
  <si>
    <t>Реконструкція ЗТП-1112 в м. Олександрія для зовнішнього електропостачання АЗС АТ "КОНЦЕРН ГАЛНАФТОГАЗ" по вул. Козацький шлях, 95</t>
  </si>
  <si>
    <t>Будівництво ЩТП-834 для зовнішнього електропостачання житлового будинку з будівельним майданчиком гр.Грош І.Б., за адресою: м. Кропивницький, проїзд Підлісний (кад.№3510100000:04:046:0037)</t>
  </si>
  <si>
    <t>https://zakupivli.pro/gov/tenders/UA-2024-05-10-008517-a/lot-1ee185c5fd264090b8f76f8b2beb6263</t>
  </si>
  <si>
    <t>https://zakupivli.pro/gov/tenders/UA-2024-05-10-008137-a</t>
  </si>
  <si>
    <t>https://zakupivli.pro/gov/tenders/UA-2024-05-10-007968-a</t>
  </si>
  <si>
    <t>https://zakupivli.pro/gov/tenders/UA-2024-05-10-004917-a</t>
  </si>
  <si>
    <t>https://zakupivli.pro/gov/tenders/UA-2024-05-10-004381-a</t>
  </si>
  <si>
    <t>Інформаційне обладнання</t>
  </si>
  <si>
    <t>32580000-2 Інформаційне обладнання</t>
  </si>
  <si>
    <t>https://zakupivli.pro/gov/tenders/UA-2024-05-13-000046-a</t>
  </si>
  <si>
    <t>https://zakupivli.pro/gov/tenders/UA-2024-05-14-010620-a</t>
  </si>
  <si>
    <t>Конструкційні матеріали (або еквівалент) (основна діяльність):Конструкційні матеріали (або еквівалент) (основна діяльність)</t>
  </si>
  <si>
    <t>https://zakupivli.pro/gov/tenders/UA-2024-05-17-000118-a/lot-311058576deb4cf79d53d580154014bd</t>
  </si>
  <si>
    <t>https://zakupivli.pro/gov/tenders/UA-2024-05-20-009265-a</t>
  </si>
  <si>
    <t>https://zakupivli.pro/gov/tenders/UA-2024-05-21-002810-a</t>
  </si>
  <si>
    <t xml:space="preserve">Шини для транспортних засобів  </t>
  </si>
  <si>
    <t>34350000-5 Шини для транспортних засобів великої та малої тоннажності</t>
  </si>
  <si>
    <t>https://zakupivli.pro/gov/tenders/UA-2024-05-22-000727-a</t>
  </si>
  <si>
    <t>09210000-4 Мастильні засоби</t>
  </si>
  <si>
    <t>Олива трансформаторна Т-1500 (або еквівалент) (Основна діяльність):Олива трансформаторна Т-1500 (або еквівалент) (Основна діяльність)</t>
  </si>
  <si>
    <t>Частини до трансформаторів</t>
  </si>
  <si>
    <t>Електротехнічне обладнання</t>
  </si>
  <si>
    <t>тонн</t>
  </si>
  <si>
    <t>https://zakupivli.pro/gov/tenders/UA-2024-05-23-004824-a/lot-984d3017e6ad48438ba3eee4225804b7</t>
  </si>
  <si>
    <t>https://zakupivli.pro/gov/tenders/UA-2024-05-23-000397-a</t>
  </si>
  <si>
    <t>https://zakupivli.pro/gov/tenders/UA-2024-05-23-000094-a</t>
  </si>
  <si>
    <t>Ремонт плат АТС цифрової *Меридіан-1* 61 опц. (інв.№0109026)</t>
  </si>
  <si>
    <t>Роботи по технічному переоснащенню комірки 10кВ Л-145 п/ст 35/10кВ "Тишківка" для завнішнього електропостачання елеваторного комплексу "Світанок"</t>
  </si>
  <si>
    <t>Технічне переонащення РП-6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</si>
  <si>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Будівництво ЩТП-280 для зовнішнього електропостачання квартири Лівандовської Ю.С. в с.Добронадіївка, вул. Привокзальна, 60, Олександрійського району, Кіровоградської області</t>
  </si>
  <si>
    <t>Роботи по технічному переоснащенню КТП-435 для зовнішнього електропостачання Елеваторного комплексу "Світанок"</t>
  </si>
  <si>
    <t>Будівництво КЛ-6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</si>
  <si>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</si>
  <si>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https://zakupivli.pro/gov/tenders/UA-2024-05-27-011689-a</t>
  </si>
  <si>
    <t>https://zakupivli.pro/gov/tenders/UA-2024-05-27-006967-a</t>
  </si>
  <si>
    <t>https://zakupivli.pro/gov/tenders/UA-2024-05-27-006416-a</t>
  </si>
  <si>
    <t>https://zakupivli.pro/gov/tenders/UA-2024-05-27-006318-a</t>
  </si>
  <si>
    <t>https://zakupivli.pro/gov/tenders/UA-2024-05-27-006168-a</t>
  </si>
  <si>
    <t>https://zakupivli.pro/gov/tenders/UA-2024-05-27-006163-a</t>
  </si>
  <si>
    <t>https://zakupivli.pro/gov/tenders/UA-2024-05-27-006049-a</t>
  </si>
  <si>
    <t xml:space="preserve">Капітальний ремонт будівлі ЗТП-133 по вул. Сонячна, 6И, м. Долинська, Кіровоградської області (Улаштування покрівлі з метало профілю, вимощення) </t>
  </si>
  <si>
    <t>Капітальний ремонт будівлі ЗТП-123 м. Долинська (Улаштування покрівлі з металопрофілю)</t>
  </si>
  <si>
    <t>https://zakupivli.pro/gov/tenders/UA-2024-05-30-000099-a</t>
  </si>
  <si>
    <t>https://zakupivli.pro/gov/tenders/UA-2024-05-30-000116-a</t>
  </si>
  <si>
    <t>Мікрофони та гучномовці</t>
  </si>
  <si>
    <t>Роботи з розчистки трас охоронної зони повітряної лінії 10кВ  Л-1102 оп.№3-12, 87-106, 110-144, 321-338, 340-359, 393-407 Олександрійський район Кіровоградська область</t>
  </si>
  <si>
    <t>32340000-8 Мікрофони та гучномовці</t>
  </si>
  <si>
    <t>77341000-2 Підрізання дерев</t>
  </si>
  <si>
    <t>https://zakupivli.pro/gov/tenders/UA-2024-05-31-003514-a</t>
  </si>
  <si>
    <t>https://zakupivli.pro/gov/tenders/UA-2024-05-31-006948-a</t>
  </si>
  <si>
    <t>Роботи з ремонту плат АТС Цифрової "Меридіан-1" версія 11С</t>
  </si>
  <si>
    <t>https://zakupivli.pro/gov/tenders/UA-2024-06-04-001790-a</t>
  </si>
  <si>
    <t>Мережеве обладнання</t>
  </si>
  <si>
    <t>https://zakupivli.pro/gov/tenders/UA-2024-06-06-001299-a</t>
  </si>
  <si>
    <t>Блок керування, блок живлення</t>
  </si>
  <si>
    <t>Реле</t>
  </si>
  <si>
    <t>https://zakupivli.pro/gov/tenders/UA-2024-06-10-003519-a</t>
  </si>
  <si>
    <t>https://zakupivli.pro/gov/tenders/UA-2024-06-10-003597-a</t>
  </si>
  <si>
    <t>Прилади для вимірювання величин</t>
  </si>
  <si>
    <t>https://zakupivli.pro/gov/tenders/UA-2024-06-11-004453-a</t>
  </si>
  <si>
    <t>Будівництво ЩТП-536 в с. Сонячне для зовнішнього електропостачання нежитлової будівлі Шаповалова А.О. по вул. Івана Миколайчука, 32</t>
  </si>
  <si>
    <t>https://zakupivli.pro/gov/tenders/UA-2024-06-13-006939-a</t>
  </si>
  <si>
    <t>Технічне переоснащення ПС "Созонівка" 35/10кВ (комірка Л-134) для зовнішнього електропостачання комплексу будівель "Агропроммонтаж" по вул.Холодноярська буд.190 м.Кропивницький</t>
  </si>
  <si>
    <t>https://zakupivli.pro/gov/tenders/UA-2024-06-13-011394-a</t>
  </si>
  <si>
    <t>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(приєднання):Технічне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</t>
  </si>
  <si>
    <t>https://zakupivli.pro/gov/tenders/UA-2024-06-14-000434-a/lot-6260dbe8be7343c1bb1acb90f5d6f6fb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</si>
  <si>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</si>
  <si>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Придбання комплекту автомобільної УКХ радіостанції типу HYTERA HM785U UHF (440-470 МГц), або аналог (пункт 5.3 Інвестиційної Програми 2024):Придбання комплекту автомобільної УКХ радіостанції типу HYTERA HM785U UHF (440-470 МГц), або аналог (пункт 5.3 Інвестиційної Програми 2024)</t>
  </si>
  <si>
    <t>https://zakupivli.pro/gov/tenders/UA-2024-06-18-008358-a/lot-e9e0f5a7498c45d487bcaa4b6fdd453f</t>
  </si>
  <si>
    <t>https://zakupivli.pro/gov/tenders/UA-2024-06-18-010109-a/lot-884438cd3b75496ea79f1b5df73420e8</t>
  </si>
  <si>
    <t>https://zakupivli.pro/gov/tenders/UA-2024-06-19-006845-a</t>
  </si>
  <si>
    <t>Блок живлення</t>
  </si>
  <si>
    <t>Трансформатор струму CTSO 38</t>
  </si>
  <si>
    <t>https://zakupivli.pro/gov/tenders/UA-2024-06-20-010267-a</t>
  </si>
  <si>
    <t>https://zakupivli.pro/gov/tenders/UA-2024-06-20-010243-a</t>
  </si>
  <si>
    <t>https://zakupivli.pro/gov/tenders/UA-2024-06-20-010026-a</t>
  </si>
  <si>
    <t>Будівництво ПЛ, ПЛІ-0,4 кВ Л-1, Л-6 КТП-341 в с.Паращине Поле Кіровоградських ЕМ для зовнішнього електропостачання житлового будинку гр.Катаман А.С. по вул. Квітковій</t>
  </si>
  <si>
    <t>Будівництво ПЛІ-0,4кВ Л-2 ЩТП-819 оп.3 - оп.9 в м.Кропивницький для зовнішнього електропостачання житлового будинку Шуварікова О.Ю. кад.№3510100000:46:393:0047</t>
  </si>
  <si>
    <t>Кабелі та супутня продукція</t>
  </si>
  <si>
    <t>Будівництво ПЛ-10 кВ Л-201 до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</si>
  <si>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ПЛІ-0,4 кВ від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</si>
  <si>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</si>
  <si>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Технічне переоснащення ЩТП-832 для зовнішнього електропостачання комплексу будівель Фірми "АГРОГІДРОМАШ" ТОВ по вул. Родникова, 86 в м. Кропивницький</t>
  </si>
  <si>
    <t>Будівництво ПЛІ-0,4кВ Л-3  КТП-786 оп. 76-83 для зовнішнього електропостачання житлового будинку з будівельним майданчиком гр. Скрипка О.С. кад. №3510166900:09:060:0135 в смт. Нове м. Кропивницький</t>
  </si>
  <si>
    <t>44320000-9 Кабелі та супутня продукція</t>
  </si>
  <si>
    <t>https://zakupivli.pro/gov/tenders/UA-2024-06-25-002869-a</t>
  </si>
  <si>
    <t>https://zakupivli.pro/gov/tenders/UA-2024-06-25-001923-a</t>
  </si>
  <si>
    <t>https://zakupivli.pro/gov/tenders/UA-2024-06-25-001166-a</t>
  </si>
  <si>
    <t>https://zakupivli.pro/gov/tenders/UA-2024-06-25-000716-a</t>
  </si>
  <si>
    <t>https://zakupivli.pro/gov/tenders/UA-2024-06-25-000624-a</t>
  </si>
  <si>
    <t>https://zakupivli.pro/gov/tenders/UA-2024-06-25-000567-a</t>
  </si>
  <si>
    <t>https://zakupivli.pro/gov/tenders/UA-2024-06-25-000508-a</t>
  </si>
  <si>
    <t>https://zakupivli.pro/gov/tenders/UA-2024-06-25-000445-a</t>
  </si>
  <si>
    <t>Капітальний ремонт будівлі гаражу ОВБ Добровеличківського РЕМ по вул.Європейська 2а  в смт. Добровеличківка,   Кіровоградської обл. (Улаштування покрівлі з металопрофілю)</t>
  </si>
  <si>
    <t>https://zakupivli.pro/gov/tenders/UA-2024-06-26-010363-a</t>
  </si>
  <si>
    <t>Шафа КТПС 100 кВА (приєднання)</t>
  </si>
  <si>
    <t>https://zakupivli.pro/gov/tenders/UA-2024-07-01-004453-a</t>
  </si>
  <si>
    <t>Технічне переоснащення ЗТП-253 для зовнішнього електропостачання адмінбудівлі ТОВ "АВГУСТ СИСТЕМ" по вул. Шевченка буд.12 в м.Кропивницький</t>
  </si>
  <si>
    <t>https://zakupivli.pro/gov/tenders/UA-2024-07-02-000094-a</t>
  </si>
  <si>
    <t>Різак кабельний дистанційний РКГ-100</t>
  </si>
  <si>
    <t>Капітальний ремонт душової кімнати адмінбудівлі с.Соколівське за адресою: прос.Соколівський, 23, с.Соколівське, Кропивницького району Кіровоградської області</t>
  </si>
  <si>
    <t>39240000-6 Різальні інструменти</t>
  </si>
  <si>
    <t>https://zakupivli.pro/gov/tenders/UA-2024-07-03-002336-a</t>
  </si>
  <si>
    <t>https://zakupivli.pro/gov/tenders/UA-2024-07-03-007270-a</t>
  </si>
  <si>
    <t>Пристрій автоматичного вмикання резерву зі стабілізацією вихідної постійної напруги АВР-СТ</t>
  </si>
  <si>
    <t>Трансформатор напруги</t>
  </si>
  <si>
    <t>https://zakupivli.pro/gov/tenders/UA-2024-07-08-006396-a</t>
  </si>
  <si>
    <t>https://zakupivli.pro/gov/tenders/UA-2024-07-08-006915-a</t>
  </si>
  <si>
    <t>Роботи з ремонту плат обладнання РРЛЗ ЦВЗ-2 - Олександрівський РЕМ</t>
  </si>
  <si>
    <t>https://zakupivli.pro/gov/tenders/UA-2024-07-10-008265-a</t>
  </si>
  <si>
    <t>Будівництво КЛ-6 кВ Л-641 оп.42/2-42/3 в с.Звенигородка Олександрійського району Кіровоградської області</t>
  </si>
  <si>
    <t>Будівництво ПЛІ-0,4кВ Л-1 ЩТП-1113 в с. Звенигородка Олександрійського району Кіровоградської області</t>
  </si>
  <si>
    <t>Кондиціонери</t>
  </si>
  <si>
    <t>42510000-4 Теплообмінники, кондиціонери повітря, холодильне обладнання та фільтрувальні пристрої</t>
  </si>
  <si>
    <t>https://zakupivli.pro/gov/tenders/UA-2024-07-15-002029-a</t>
  </si>
  <si>
    <t>https://zakupivli.pro/gov/tenders/UA-2024-07-15-002322-a</t>
  </si>
  <si>
    <t>https://zakupivli.pro/gov/tenders/UA-2024-07-15-004574-a</t>
  </si>
  <si>
    <t>Будівництво ПЛ,ПЛІ-0,4кВ Л-4,5 КТП-1069 оп.19-12 для зовнішнього електропостачання житлового будинку гр.Четверня О.С. по пров. Михайла Іванова, 38 в м.Олександрія</t>
  </si>
  <si>
    <t>https://zakupivli.pro/gov/tenders/UA-2024-07-16-006910-a</t>
  </si>
  <si>
    <t>Технічне обслуговування (ТО), діагностика та ремонт офісної техніки</t>
  </si>
  <si>
    <t>Світильники</t>
  </si>
  <si>
    <t>50310000-1 Технічне обслуговування і ремонт офісної техніки</t>
  </si>
  <si>
    <t>https://zakupivli.pro/gov/tenders/UA-2024-07-18-003108-a</t>
  </si>
  <si>
    <t>https://zakupivli.pro/gov/tenders/UA-2024-07-18-003762-a</t>
  </si>
  <si>
    <t>Будівництво ПЛІ-0,4кВ Л-1 від ЩТП-185 в с. Нова Осота Олександрівські ЕМ для зовнішнього електропостачання житлового будинку гр. Краплина О.В. по вул. Лісова, буд.3-а</t>
  </si>
  <si>
    <t>Будівництво ЩТП-185 в с.Нова Осота Олександрівські ЕМ для зовнішнього електропостачання житлового будинку гр. Краплина О.В. по вул. Лісова, буд.3-а</t>
  </si>
  <si>
    <t>Шафа КТП 160кВА (приєднання)</t>
  </si>
  <si>
    <t>Нове будівництво ЩТП-1311 (100кВА) в с.Звенигородка Олександрійського району Кіровоградської області</t>
  </si>
  <si>
    <t>Будівництво ПЛ-6кВ Л-641 оп.№42 в с.Звенигородка Олександрійського району Кіровоградської області</t>
  </si>
  <si>
    <t>https://zakupivli.pro/gov/tenders/UA-2024-07-22-001735-a</t>
  </si>
  <si>
    <t>https://zakupivli.pro/gov/tenders/UA-2024-07-22-002244-a</t>
  </si>
  <si>
    <t>https://zakupivli.pro/gov/tenders/UA-2024-07-22-008778-a</t>
  </si>
  <si>
    <t>https://zakupivli.pro/gov/tenders/UA-2024-07-22-009143-a</t>
  </si>
  <si>
    <t>https://zakupivli.pro/gov/tenders/UA-2024-07-22-009312-a</t>
  </si>
  <si>
    <t>Будіництво КЛ-0,4кВ ТП-441 А-60 для зовнішнього електропостачання магазину ТОВ "ЄВРОТЕХНІКА-2007" по вул. Кропивницького, кад.№3510100000:25:156:0111 в м.Кропивницький</t>
  </si>
  <si>
    <t>Ремонт автоматизованої системи диспетчерського управління Олександрійських ЕМ (інв.№2001931)</t>
  </si>
  <si>
    <t>https://zakupivli.pro/gov/tenders/UA-2024-07-23-006360-a</t>
  </si>
  <si>
    <t>https://zakupivli.pro/gov/tenders/UA-2024-07-23-006477-a</t>
  </si>
  <si>
    <t>Будівництво ПЛІ-0,4кВ від ЩТП-180 в с. Червоновершка Компаніївських ЕМ для зовнішнього електропостачання житлового будинку з господарськими будівлями гр. Лебідєв М.Д. по вул. Шкільна, буд.15</t>
  </si>
  <si>
    <t>Будівництво ЩТП-180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</si>
  <si>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Технічне переоснащення ПЛ-0,4кВ Л-3 від КТП-99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</si>
  <si>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(приєднання):Реконструкція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</t>
  </si>
  <si>
    <t>https://zakupivli.pro/gov/tenders/UA-2024-07-24-001383-a</t>
  </si>
  <si>
    <t>https://zakupivli.pro/gov/tenders/UA-2024-07-24-001792-a</t>
  </si>
  <si>
    <t>https://zakupivli.pro/gov/tenders/UA-2024-07-24-001967-a</t>
  </si>
  <si>
    <t>https://zakupivli.pro/gov/tenders/UA-2024-07-24-010258-a/lot-a5a25b4308ba4cde9465599aa591a3ad</t>
  </si>
  <si>
    <t>Акумулятор стаціонарний MARATHON M 12V 100FT</t>
  </si>
  <si>
    <t>Вакуумний вимикач ВР35НСМ (або еквівалент) (основна діяльність):Вакуумний вимикач ВР35НСМ (або еквівалент) (основна діяльність)</t>
  </si>
  <si>
    <t>Будівництво ПЛЗ-10кВ Л-205 до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</si>
  <si>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</si>
  <si>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ПЛІ-0,4кВ від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</si>
  <si>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https://zakupivli.pro/gov/tenders/UA-2024-07-25-002699-a</t>
  </si>
  <si>
    <t>https://zakupivli.pro/gov/tenders/UA-2024-07-25-003393-a</t>
  </si>
  <si>
    <t>https://zakupivli.pro/gov/tenders/UA-2024-07-25-003656-a</t>
  </si>
  <si>
    <t>https://zakupivli.pro/gov/tenders/UA-2024-07-25-005997-a/lot-718bcc6bbbbf473d87faab00b57b3872</t>
  </si>
  <si>
    <t>https://zakupivli.pro/gov/tenders/UA-2024-07-25-008020-a</t>
  </si>
  <si>
    <t>Шафа КТПС 100кВА (приєднання)</t>
  </si>
  <si>
    <t>https://zakupivli.pro/gov/tenders/UA-2024-07-29-002334-a</t>
  </si>
  <si>
    <t>Будівництво 2ПЛІ-0,4 кВ ТП-64 Л-3, 20 оп. В82-11 в м. Кропивницький для зовнішнього електропостачання житлового будинку Ковальової С.А.</t>
  </si>
  <si>
    <t>https://zakupivli.pro/gov/tenders/UA-2024-08-01-006484-a</t>
  </si>
  <si>
    <t>Капітальний ремонт будівлі ЗТП-290 по вул. Паркова, 1а, смт. Компаніївка Кропивницького р-ну Кіровоградської обл.</t>
  </si>
  <si>
    <t>Капітальний ремонт будівлі ЗТП-307 по вул. Перемоги, 158Б, смт. Компаніївка Кропивницького р-ну Кіровоградської обл. (Улаштування покрівлі, мет. двері, вимощення)</t>
  </si>
  <si>
    <t>Картриджі</t>
  </si>
  <si>
    <t>30120000-6 Фотокопіювальне та поліграфічне обладнання для офсетного друку</t>
  </si>
  <si>
    <t>https://zakupivli.pro/gov/tenders/UA-2024-08-05-006471-a</t>
  </si>
  <si>
    <t>https://zakupivli.pro/gov/tenders/UA-2024-08-05-006635-a</t>
  </si>
  <si>
    <t>https://zakupivli.pro/gov/tenders/UA-2024-08-05-007656-a</t>
  </si>
  <si>
    <t>https://zakupivli.pro/gov/tenders/UA-2024-08-05-009986-a</t>
  </si>
  <si>
    <t>Набір інструменту електромонтера</t>
  </si>
  <si>
    <t>Будівництво ПЛ-10 кВ Л-201 оп.192, 192/1 - 192/5 для зовнішнього електропостачання абонентської станції мобільного зв'язку, ТОВ "УКРТАУЕР" на території Первозванівської с/р Кропивницького району, Кіровоградської області</t>
  </si>
  <si>
    <t>Технічне обслуговування, ремонт ліфтів та підйомників</t>
  </si>
  <si>
    <t>50750000-7 Послуги з технічного обслуговування ліфтів</t>
  </si>
  <si>
    <t>https://zakupivli.pro/gov/tenders/UA-2024-08-08-003012-a</t>
  </si>
  <si>
    <t>https://zakupivli.pro/gov/tenders/UA-2024-08-08-003155-a</t>
  </si>
  <si>
    <t>https://zakupivli.pro/gov/tenders/UA-2024-08-08-003747-a</t>
  </si>
  <si>
    <t>Будівництво ПЛ-10 кВ Ф-1 оп.83-83/12 ПС "Знам.тягова" - 150/35/10 кВ в м. Знам'янка для зовнішнього електропостачання житлового будинку з будівельним майданчиком Бакуліної І.В. по вул. Світанкова</t>
  </si>
  <si>
    <t>Будівництво ЩТП-10110г в м.Знам'янка для зовнішнього електропостачання житлового будинку з будівельним майданчиком Бакуліної І.В. по вул. Світанкова (кад.№3510600000:50:001:0086), 44</t>
  </si>
  <si>
    <t>Будівництво ПЛІ-0,4 кВ ТП-272 Л-20 оп. 50-50/5 в м. Кропивницький для зовнішнього електропостачання абонентської станції мобільного зв'язку ТОВ "УКРТАУЕР"</t>
  </si>
  <si>
    <t xml:space="preserve">Будівництво 2ПЛ, ПЛІ-0,4кВ ТП-272 Л-4,20 оп.1-3 в м. Кропивницький для зовнішнього електропостачання абонентської станції мобільного зв'язку, ТОВ "УКРТАУЕР" </t>
  </si>
  <si>
    <t>https://zakupivli.pro/gov/tenders/UA-2024-08-08-010883-a</t>
  </si>
  <si>
    <t>https://zakupivli.pro/gov/tenders/UA-2024-08-08-010980-a</t>
  </si>
  <si>
    <t>https://zakupivli.pro/gov/tenders/UA-2024-08-08-011072-a</t>
  </si>
  <si>
    <t>https://zakupivli.pro/gov/tenders/UA-2024-08-08-011169-a</t>
  </si>
  <si>
    <t>Технічне переоснащення в с.Гайове Кропивницького району (Олександрівських ЕМ)</t>
  </si>
  <si>
    <t>Технічне переоснащення КТП-153 для зовнішнього електропостачання комплексу будівель ТДВ "2-ге ім. Петровського" по вул. Набережна, буд. 1-б в с. Веселе Кропивницького району</t>
  </si>
  <si>
    <t>Шафа КТПС 160 кВА (приєднання)</t>
  </si>
  <si>
    <t>Будівництво ПЛІ-0,4 кВ ТП-610 А-20 оп.№1-13 в м. Кропивницький для зовнішнього електропостачання нежитлової будівлі Бондаренко В. В. по вул. Аджамська, 10-а</t>
  </si>
  <si>
    <t>Будівництво КТП-835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</si>
  <si>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Будівництво КЛ-10 кВ ТП-78-ТП-835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</si>
  <si>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Надання послуг по технічному обслуговуванню АВР Замовника</t>
  </si>
  <si>
    <t>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2024):Придбання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</t>
  </si>
  <si>
    <t>БФП Konica Minolta Bizhub 223</t>
  </si>
  <si>
    <t>Супутниковий модем Starlink SpaseX REV4 Gen3 Standart Kit</t>
  </si>
  <si>
    <t>Лічильники електроенергії (пункти Інвестиційної програми 2024 п. 2.1.1.1; 2.1.1.2; 2.1.2.1; 2.1.2.2; 2.1.2.4) (або еквівалент):Лічильники електроенергії (пункти Інвестиційної програми 2024 п. 2.1.1.1; 2.1.1.2; 2.1.2.1; 2.1.2.2; 2.1.2.4) (або еквівалент)</t>
  </si>
  <si>
    <t>Модуль комутаційний на базі вакуумного вимикача ВВ/TEL-10, або еквівалент (ІП 2024 року):Модуль комутаційний на базі вакуумного вимикача ВВ/TEL-10, або еквівалент (ІП 2024 року)</t>
  </si>
  <si>
    <t>Трансформатори струму (пункти 2.1.2.5. 2.1.2.6. 2.1.2.7. Інвестиційної Програми 2024).:Трансформатори струму (пункти 2.1.2.5. 2.1.2.6. 2.1.2.7. Інвестиційної Програми 2024).</t>
  </si>
  <si>
    <t xml:space="preserve">Будівництво 2ПЛІ-0,4кВ ТП-77 Л-4,20 оп.14-14/1 в м. Кропивницький для зовнішнього електропостачання нежитлової будівлі Журавки О.М. по пров. Госпітальний, 3 </t>
  </si>
  <si>
    <t>Будівництво 2ПЛІ-0,4 кВ ТП-77 Л-3, 20 оп.1-9 в м. Кропивницький для зовнішнього електропостачання нежитлової будівлі Журавки О. М. по пров. Госпітальний, 3</t>
  </si>
  <si>
    <t>Муфти кабельні</t>
  </si>
  <si>
    <t>50530000-9 Послуги з ремонту і технічного обслуговування техніки</t>
  </si>
  <si>
    <t>32530000-7 Телекомунікаційне супутникове обладнання</t>
  </si>
  <si>
    <t>Ремонт КЛ зв'язку РВБ Новоархангельський РЕМ - ПС Новоархангельська - ПС Березівка (ділянка від РВБ Новоархангельський РЕМ до ПС Новоархангельська), в частині зварювання оптоволоконного кабелю</t>
  </si>
  <si>
    <t>https://zakupivli.pro/gov/tenders/UA-2024-08-22-004345-a</t>
  </si>
  <si>
    <t>https://zakupivli.pro/gov/tenders/UA-2024-08-22-004238-a</t>
  </si>
  <si>
    <t>https://zakupivli.pro/gov/tenders/UA-2024-08-22-003941-a</t>
  </si>
  <si>
    <t>https://zakupivli.pro/gov/tenders/UA-2024-08-21-003135-a</t>
  </si>
  <si>
    <t>https://zakupivli.pro/gov/tenders/UA-2024-08-21-003975-a</t>
  </si>
  <si>
    <t>https://zakupivli.pro/gov/tenders/UA-2024-08-21-003447-a</t>
  </si>
  <si>
    <t>https://zakupivli.pro/gov/tenders/UA-2024-08-20-011009-a</t>
  </si>
  <si>
    <t>https://zakupivli.pro/gov/tenders/UA-2024-08-16-002910-a/lot-c6893bc9d2e647f9898277bf8dc55fab</t>
  </si>
  <si>
    <t>https://zakupivli.pro/gov/tenders/UA-2024-08-16-002605-a</t>
  </si>
  <si>
    <t>https://zakupivli.pro/gov/tenders/UA-2024-08-16-004297-a</t>
  </si>
  <si>
    <t>https://zakupivli.pro/gov/tenders/UA-2024-08-16-007878-a/lot-d825321c11524c23946505d178b1c702</t>
  </si>
  <si>
    <t>https://zakupivli.pro/gov/tenders/UA-2024-08-16-008358-a/lot-b9419c8bfa9f4b428da81c1e04e0bece</t>
  </si>
  <si>
    <t>https://zakupivli.pro/gov/tenders/UA-2024-08-16-008563-a/lot-45de53746c6340e5bb1629753e326403</t>
  </si>
  <si>
    <t>https://zakupivli.pro/gov/tenders/UA-2024-08-15-004257-a</t>
  </si>
  <si>
    <t>https://zakupivli.pro/gov/tenders/UA-2024-08-15-004128-a</t>
  </si>
  <si>
    <t>https://zakupivli.pro/gov/tenders/UA-2024-08-14-000304-a</t>
  </si>
  <si>
    <t>https://zakupivli.pro/gov/tenders/UA-2024-08-14-008653-a</t>
  </si>
  <si>
    <t>https://zakupivli.pro/gov/tenders/UA-2024-08-13-010928-a</t>
  </si>
  <si>
    <t>https://zakupivli.pro/gov/tenders/UA-2024-08-12-006182-a</t>
  </si>
  <si>
    <t>https://zakupivli.pro/gov/tenders/UA-2024-08-09-003010-a</t>
  </si>
  <si>
    <t>Котел твердопаливний ALTEP DUO PLUS (або еквівалент) (інвестиційна програма):Котел твердопаливний ALTEP DUO PLUS (або еквівалент) (інвестиційна програма)</t>
  </si>
  <si>
    <t>Теплоакумулятори Altep з теплообмінником (або еквівалент) (інвестиційна програма):Теплоакумулятори Altep з теплообмінником (або еквівалент) (інвестиційна програма)</t>
  </si>
  <si>
    <t>44620000-2 Радіатори і котли для систем центрального опалення та їх деталі</t>
  </si>
  <si>
    <t>44610000-9 Цистерни, резервуари, контейнери та посудини високого тиску</t>
  </si>
  <si>
    <t>https://zakupivli.pro/gov/tenders/UA-2024-08-29-007868-a/lot-cb7a0070271445bcac54725802fdc157</t>
  </si>
  <si>
    <t>https://zakupivli.pro/gov/tenders/UA-2024-08-29-008281-a/lot-bbb40fd8b5e34e94ba309455cc86056c</t>
  </si>
  <si>
    <t>Ремонт КПП</t>
  </si>
  <si>
    <t>https://zakupivli.pro/gov/tenders/UA-2024-09-02-005487-a</t>
  </si>
  <si>
    <t>Контроллер АВР</t>
  </si>
  <si>
    <t>https://zakupivli.pro/gov/tenders/UA-2024-09-06-000103-a</t>
  </si>
  <si>
    <t>Насоси циркуляційні DAB EVOPLUS(або еквівалент) (інвестиційна програма):Насоси циркуляційні DAB EVOPLUS(або еквівалент) (інвестиційна програма)</t>
  </si>
  <si>
    <t>Роботи по тенхнічному переоснащенню КТП-144 в с. Веселе Кропивницького району (Олександрівські ЕМ) для зовнішнього електропостачання комплексу будівель ТДВ "2-ге ім. Пертовського" по вул. Набережна буд. 1а</t>
  </si>
  <si>
    <t>42120000-6 Насоси та компресори</t>
  </si>
  <si>
    <t>https://zakupivli.pro/gov/tenders/UA-2024-09-09-007168-a/lot-49901563156c4bae92ed375affbc0b3d</t>
  </si>
  <si>
    <t>https://zakupivli.pro/gov/tenders/UA-2024-09-09-012658-a</t>
  </si>
  <si>
    <t>Капітальний ремонт будівлі ЗТП-63 по вул.Маяковського, 20а в м. Новомиргород, Кіровоградської області (Улаштування покрівлі з металопрофілю, вимощення)</t>
  </si>
  <si>
    <t>https://zakupivli.pro/gov/tenders/UA-2024-09-10-007035-a</t>
  </si>
  <si>
    <t>Пристрої релейного захисту та допоміжних матеріалів, або еквівалент (ІП 2024 року):Пристрої релейного захисту та допоміжних матеріалів, або еквівалент (ІП 2024 року)</t>
  </si>
  <si>
    <t>https://zakupivli.pro/gov/tenders/ua-2024-09-11-004952-a/lot-b56fa9551a6146e0901282ea176993f9</t>
  </si>
  <si>
    <t>Комп'ютерне обладнання (пункти 4.1, 4.2 Інвестиційної Програми 2024, ОД):Комп'ютерне обладнання (пункти 4.1, 4.2 Інвестиційної Програми 2024, ОД)</t>
  </si>
  <si>
    <t>Будівельні товари (або еквівалент) (основна діяльність):Будівельні товари (або еквівалент) (основна діяльність)</t>
  </si>
  <si>
    <t>44420000-0 Будівельні товари</t>
  </si>
  <si>
    <t>https://zakupivli.pro/gov/tenders/ua-2024-09-12-009706-a/lot-b4c1da4dfc3f4311834341bd6131103a</t>
  </si>
  <si>
    <t>https://zakupivli.pro/gov/tenders/ua-2024-09-12-010471-a/lot-4b4b3bb6233b497487c702bf630a3036</t>
  </si>
  <si>
    <t xml:space="preserve"> Елементи електричних схем</t>
  </si>
  <si>
    <t>Будівництво ПЛІ-0,4 кВ ТП-246 Л-30 оп.№1-7 в м.Кропивницький для зовнішнього електропостачання нежитлового приміщення ТОВ "Універсал-Плюс" по вул. Віктора Френчка, буд. 25, корп. 1</t>
  </si>
  <si>
    <t>Будівництво ПЛ, ПЛІ-0,4 кВ ТП-81 Л-20, 30 оп.1-10/1 в м. Кропивницький для зовнішнього електропостачання житлового будинку гр. Лебедьова О.А. по пров. Квітки Цісик (Мухіної), буд. 13</t>
  </si>
  <si>
    <t>Комплект димоходів (або еквівалент) (інвестиційна програма)
:Комплект димоходів (або еквівалент) (інвестиційна програма)</t>
  </si>
  <si>
    <t>44160000-9 Магістралі, трубопроводи, труби, обсадні труби, тюбінги та супутні вироби</t>
  </si>
  <si>
    <t>https://zakupivli.pro/gov/tenders/ua-2024-09-13-002771-a</t>
  </si>
  <si>
    <t>https://zakupivli.pro/gov/tenders/ua-2024-09-13-003709-a</t>
  </si>
  <si>
    <t>https://zakupivli.pro/gov/tenders/ua-2024-09-13-010422-a</t>
  </si>
  <si>
    <t>https://zakupivli.pro/gov/tenders/ua-2024-09-13-010785-a/lot-34eac7e1ffcb433f884b9f524b4234e4</t>
  </si>
  <si>
    <t>Крани, клапани, змішувачі, або еквівалент (ІП 2024 року):Крани, клапани, змішувачі, або еквівалент (ІП 2024 року)</t>
  </si>
  <si>
    <t>Насоси циркуляційні DAB EVOPLUS (або еквівалент) (інвестиційна програма):Насоси циркуляційні DAB EVOPLUS (або еквівалент) (інвестиційна програма)</t>
  </si>
  <si>
    <t>42130000-9 Арматура трубопровідна: крани, вентилі, клапани та подібні пристрої</t>
  </si>
  <si>
    <t>https://zakupivli.pro/gov/tenders/ua-2024-09-20-001099-a/lot-7f3cf0e67a7f4039be31f0df67d5990e</t>
  </si>
  <si>
    <t>https://zakupivli.pro/gov/tenders/ua-2024-09-19-013922-a/lot-a9e65b5158bb4cdeb7f3a2eebb30b671</t>
  </si>
  <si>
    <t>Будівництво 2ПЛІ-0,4кВ ТП-689 Л-2,20 оп.1-6 для зовнішнього електропостачання житлового будинку з будівельним майданчиком гр. Байбароша М.О. по вул. Ксенії Ерделі, буд. 18 в м. Кропивницькому</t>
  </si>
  <si>
    <t>Роботи по будівництву ПЛІ-0,4кВ ТП-689 Л-20 оп.24/03-24/06 для зовнішнього електропостачання житлового будинку з будівельним майданчиком гр. Байбароша М.О. по вул. Ксенії Ерделі буд.18 в м. Кропивницький</t>
  </si>
  <si>
    <t>Будівництво ПЛІ-0,4 кВ Л-5 оп.3 ЗТП-1035 в м. Олександрія для зовнішнього електропостачання житлового будинку гр. Ходак Т.М. по просп. Соборний, буд. 77 в м. Олександрія</t>
  </si>
  <si>
    <t>Ремонт вузлів та агрегатів автокрана КС3577</t>
  </si>
  <si>
    <t>Послуги з обслуговування наземних видів транспорту</t>
  </si>
  <si>
    <t>63710000-9 Послуги з обслуговування наземних видів транспорту</t>
  </si>
  <si>
    <t>https://zakupivli.pro/gov/tenders/ua-2024-09-23-009602-a</t>
  </si>
  <si>
    <t>https://zakupivli.pro/gov/tenders/ua-2024-09-23-004972-a</t>
  </si>
  <si>
    <t>https://zakupivli.pro/gov/tenders/ua-2024-09-23-004311-a</t>
  </si>
  <si>
    <t>https://zakupivli.pro/gov/tenders/ua-2024-09-23-002326-a</t>
  </si>
  <si>
    <t>https://zakupivli.pro/gov/tenders/ua-2024-09-23-001580-a</t>
  </si>
  <si>
    <t>Роботи по будівництву ЩТП - 475 для зовнішнього електропостачання житлового будинку гр. Стріхарської Р.Ф. по вул. Чкалова 5 в с.Дівоче Поле Олександрійського району</t>
  </si>
  <si>
    <t>Шини для транспортних засобів (або еквівалент) Основна діяльність:Шини для транспортних засобів (або еквівалент) Основна діяльність</t>
  </si>
  <si>
    <t>Роботи по будівництву ПЛІ-0,4кВ Л-1 ЩТП-475 для зовнішнього електропостачання житлового будинку гр. Стріхарської Р.Ф. по вул. Чкалова, 5 с. Дівоче Поле Олександрійського району</t>
  </si>
  <si>
    <t>Будівництво ПЛЗ-10кВ Л-117 ПС "Новоукраїнка" для зовнішнього електропостачання незавершеного будівництва нежитлового приміщення ТОВ "ІСТРЕЙТ" по вул. Соборна, 54</t>
  </si>
  <si>
    <t>Шафа АСКОЕ "ПОБУТ-PLC2" (п.2.1.2.11 ІП-2024)</t>
  </si>
  <si>
    <t>Комутаційний контролер КК-01-10 R (п.2.1.2.10 ІП-2024)</t>
  </si>
  <si>
    <t>32260000-3 Обладнання для передавання даних</t>
  </si>
  <si>
    <t>https://zakupivli.pro/gov/tenders/ua-2024-09-25-012201-a</t>
  </si>
  <si>
    <t>https://zakupivli.pro/gov/tenders/ua-2024-09-25-009794-a/lot-726c9645d8664293946e2f9fb5c14294</t>
  </si>
  <si>
    <t>https://zakupivli.pro/gov/tenders/ua-2024-09-25-000210-a</t>
  </si>
  <si>
    <t>https://zakupivli.pro/gov/tenders/ua-2024-09-25-000110-a</t>
  </si>
  <si>
    <t>https://zakupivli.pro/gov/tenders/ua-2024-09-25-000091-a</t>
  </si>
  <si>
    <t>https://zakupivli.pro/gov/tenders/ua-2024-09-25-000083-a</t>
  </si>
  <si>
    <t>Будівництво ПЛІ-0,4кВ ЗТП-449, оп.1-оп.6 для зовнішнього електропостачання торговельно-побутового комплексу ТОВ "ФМ-АЛЬЯНС" на розі вул.Космонавта Попова та Юрія Коваленка в м. Кропивницький (Кропивницькі міські ЕМ)</t>
  </si>
  <si>
    <t>Будівництво КЛ-0,4 кВ РБ-2 ЗТП-449 для зовнішнього електропостачання торговельно-побутового комплексу ТОВ "ФМ-АЛЬЯНС" на розі вул. Космонавта Попова та Юрія Коваленка в м. Кропивницький (Кропивницькі міські ЕМ)</t>
  </si>
  <si>
    <t>https://zakupivli.pro/gov/tenders/ua-2024-09-27-000167-a</t>
  </si>
  <si>
    <t>https://zakupivli.pro/gov/tenders/ua-2024-09-27-000136-a</t>
  </si>
  <si>
    <t>Переможця дискваліфікрвано(не виправив помилки за 24 години), закупівля не відбулась</t>
  </si>
  <si>
    <t>Послуги з технічного обслуговування та ремонту транспортних засобів ПрАТ "Кіровоградобленерго"
:Послуги з технічного обслуговування та ремонту транспортних засобів ПрАТ "Кіровоградобленерго"</t>
  </si>
  <si>
    <t>Шафи КТП, КТПс та ЩО (або еквівалент) (приєднання):Шафи КТП, КТПс та ЩО (або еквівалент) (приєднання)</t>
  </si>
  <si>
    <t>https://zakupivli.pro/gov/tenders/ua-2024-10-03-012179-a/lot-224b3e3103c845148449157ba432a748</t>
  </si>
  <si>
    <t>https://zakupivli.pro/gov/tenders/ua-2024-10-03-012005-a/lot-977c4db819034b64934a5a4a92132bf6</t>
  </si>
  <si>
    <t>Комплектуючі до котлів (труба сталева, відвід кован., згін сталевий) (інвестиційна програма)</t>
  </si>
  <si>
    <t>https://zakupivli.pro/gov/tenders/ua-2024-10-09-000575-a</t>
  </si>
  <si>
    <t>ПОСЛУГИ З ПЕРЕВЕЗЕННЯ ВАНТАЖІВ ТА МОНТАЖУ/ДЕМОНТАЖУ КОНСТРУКЦІЙ</t>
  </si>
  <si>
    <t>Ремонт блоків та модулів до вакуумних вимикачів 6-10кВ</t>
  </si>
  <si>
    <t>60180000-3 Прокат вантажних транспортних засобів із водієм для перевезення товарів</t>
  </si>
  <si>
    <t>https://zakupivli.pro/gov/tenders/ua-2024-10-14-011744-a</t>
  </si>
  <si>
    <t>https://zakupivli.pro/gov/tenders/ua-2024-10-14-000539-a</t>
  </si>
  <si>
    <t xml:space="preserve"> Послуги з ремонту і технічного обслуговування техніки</t>
  </si>
  <si>
    <t>https://zakupivli.pro/gov/tenders/ua-2024-10-16-012402-a</t>
  </si>
  <si>
    <t>Будівництво ПЛ-10 кВ оп.201/1 Л-108 ПС "Гайворонська ГЕС"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</si>
  <si>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ПЛ-10кВ Л-173 ПС "Березівка"-150/35/10кВ для зовнішнього електропостачання сонятної електростанції "ТЕРЦІЯ СОЛАР" ТОВ "ТЕРЦІЯ СОЛАР" кад.№3523183800:55:000:0248 на території Смолінської селищної ради Новоукраїнського району Кіровоградської області</t>
  </si>
  <si>
    <t>Будівництво КТП-29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</si>
  <si>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 кВ Л-173 ПС "Березівка" - 150/35/10 кВ для зовнішнього електропостачання сонячної електростанції "СІРІУС ПІВІ" ТОВ "СІРІУС ПІВІ" на території Смолінської селищної ради Новоукраїнського району Кіровоградської області</t>
  </si>
  <si>
    <t>https://zakupivli.pro/gov/tenders/ua-2024-10-17-014832-a</t>
  </si>
  <si>
    <t>https://zakupivli.pro/gov/tenders/ua-2024-10-17-014759-a</t>
  </si>
  <si>
    <t>https://zakupivli.pro/gov/tenders/ua-2024-10-17-014694-a</t>
  </si>
  <si>
    <t>https://zakupivli.pro/gov/tenders/ua-2024-10-17-014575-a</t>
  </si>
  <si>
    <t>Будівництво ПЛ-10 кВ оп.10-10/5 Ф-1У в м. Кропивницький для зовнішнього електропостачання нежитлової будівлі гр.Пономаренко О.О. по проїзду Аджамському, буд.5</t>
  </si>
  <si>
    <t>https://zakupivli.pro/gov/tenders/ua-2024-10-21-012894-a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</si>
</sst>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0"/>
    <numFmt numFmtId="166" formatCode="#,##0.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31415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rgb="FF00A1CD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2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my.zakupki.prom.ua/remote/dispatcher/state_purchase_view/40091965" TargetMode="External"/><Relationship Id="rId170" Type="http://schemas.openxmlformats.org/officeDocument/2006/relationships/hyperlink" Target="https://zakupki.prom.ua/gov/tenders/UA-2023-03-15-006780-a/lot-fbe52bc4cc5a469ead68c9f1a58a023a" TargetMode="External"/><Relationship Id="rId268" Type="http://schemas.openxmlformats.org/officeDocument/2006/relationships/hyperlink" Target="https://my.zakupki.prom.ua/remote/dispatcher/state_purchase_view/41780913" TargetMode="External"/><Relationship Id="rId475" Type="http://schemas.openxmlformats.org/officeDocument/2006/relationships/hyperlink" Target="https://zakupki.prom.ua/gov/tenders/UA-2023-09-05-007575-a/lot-896f824bd23949ff9ec40f9904f04ad8" TargetMode="External"/><Relationship Id="rId682" Type="http://schemas.openxmlformats.org/officeDocument/2006/relationships/hyperlink" Target="https://my.zakupivli.pro/remote/dispatcher/state_purchase_view/48825190" TargetMode="External"/><Relationship Id="rId128" Type="http://schemas.openxmlformats.org/officeDocument/2006/relationships/hyperlink" Target="https://zakupki.prom.ua/gov/tenders/UA-2023-03-02-008908-a/lot-738e2b54f77f4b5c87911d7f7077a53d" TargetMode="External"/><Relationship Id="rId335" Type="http://schemas.openxmlformats.org/officeDocument/2006/relationships/hyperlink" Target="https://my.zakupki.prom.ua/remote/dispatcher/state_purchase_view/42220687" TargetMode="External"/><Relationship Id="rId542" Type="http://schemas.openxmlformats.org/officeDocument/2006/relationships/hyperlink" Target="https://zakupivli.pro/gov/tenders/UA-2023-12-11-019550-a" TargetMode="External"/><Relationship Id="rId987" Type="http://schemas.openxmlformats.org/officeDocument/2006/relationships/hyperlink" Target="https://zakupivli.pro/gov/tenders/UA-2024-03-25-001186-a" TargetMode="External"/><Relationship Id="rId1172" Type="http://schemas.openxmlformats.org/officeDocument/2006/relationships/hyperlink" Target="https://my.zakupivli.pro/remote/dispatcher/state_purchase_view/51817314" TargetMode="External"/><Relationship Id="rId402" Type="http://schemas.openxmlformats.org/officeDocument/2006/relationships/hyperlink" Target="https://zakupki.prom.ua/gov/tenders/UA-2023-07-24-009279-a" TargetMode="External"/><Relationship Id="rId847" Type="http://schemas.openxmlformats.org/officeDocument/2006/relationships/hyperlink" Target="https://zakupivli.pro/gov/tenders/UA-2024-02-20-009792-a" TargetMode="External"/><Relationship Id="rId1032" Type="http://schemas.openxmlformats.org/officeDocument/2006/relationships/hyperlink" Target="https://my.zakupivli.pro/remote/dispatcher/state_purchase_view/50200587" TargetMode="External"/><Relationship Id="rId707" Type="http://schemas.openxmlformats.org/officeDocument/2006/relationships/hyperlink" Target="https://my.zakupivli.pro/remote/dispatcher/state_purchase_view/48907510" TargetMode="External"/><Relationship Id="rId914" Type="http://schemas.openxmlformats.org/officeDocument/2006/relationships/hyperlink" Target="https://my.zakupivli.pro/remote/dispatcher/state_purchase_view/49603204" TargetMode="External"/><Relationship Id="rId1337" Type="http://schemas.openxmlformats.org/officeDocument/2006/relationships/hyperlink" Target="https://zakupivli.pro/gov/tenders/ua-2024-09-13-010785-a/lot-34eac7e1ffcb433f884b9f524b4234e4" TargetMode="External"/><Relationship Id="rId43" Type="http://schemas.openxmlformats.org/officeDocument/2006/relationships/hyperlink" Target="https://my.zakupki.prom.ua/remote/dispatcher/state_purchase_view/41520067" TargetMode="External"/><Relationship Id="rId192" Type="http://schemas.openxmlformats.org/officeDocument/2006/relationships/hyperlink" Target="https://zakupki.prom.ua/gov/tenders/UA-2023-03-20-009888-a" TargetMode="External"/><Relationship Id="rId497" Type="http://schemas.openxmlformats.org/officeDocument/2006/relationships/hyperlink" Target="https://my.zakupki.prom.ua/remote/dispatcher/state_purchase_view/45723610" TargetMode="External"/><Relationship Id="rId357" Type="http://schemas.openxmlformats.org/officeDocument/2006/relationships/hyperlink" Target="https://zakupki.prom.ua/gov/tenders/UA-2023-05-10-013084-a" TargetMode="External"/><Relationship Id="rId1194" Type="http://schemas.openxmlformats.org/officeDocument/2006/relationships/hyperlink" Target="https://my.zakupivli.pro/remote/dispatcher/state_purchase_view/52043167" TargetMode="External"/><Relationship Id="rId217" Type="http://schemas.openxmlformats.org/officeDocument/2006/relationships/hyperlink" Target="https://zakupki.prom.ua/gov/tenders/UA-2023-03-27-006723-a" TargetMode="External"/><Relationship Id="rId564" Type="http://schemas.openxmlformats.org/officeDocument/2006/relationships/hyperlink" Target="https://my.zakupivli.pro/remote/dispatcher/state_purchase_view/48111316" TargetMode="External"/><Relationship Id="rId771" Type="http://schemas.openxmlformats.org/officeDocument/2006/relationships/hyperlink" Target="https://my.zakupivli.pro/remote/dispatcher/state_purchase_view/48971877" TargetMode="External"/><Relationship Id="rId869" Type="http://schemas.openxmlformats.org/officeDocument/2006/relationships/hyperlink" Target="https://zakupivli.pro/gov/tenders/UA-2024-02-22-000149-a" TargetMode="External"/><Relationship Id="rId424" Type="http://schemas.openxmlformats.org/officeDocument/2006/relationships/hyperlink" Target="https://zakupki.prom.ua/gov/tenders/UA-2023-08-09-003000-a/lot-d4a4536a59314e52a58dc77f503c93ca" TargetMode="External"/><Relationship Id="rId631" Type="http://schemas.openxmlformats.org/officeDocument/2006/relationships/hyperlink" Target="https://zakupivli.pro/gov/tenders/UA-2024-01-22-014388-a" TargetMode="External"/><Relationship Id="rId729" Type="http://schemas.openxmlformats.org/officeDocument/2006/relationships/hyperlink" Target="https://zakupivli.pro/gov/tenders/UA-2024-02-02-011984-a/lot-431928540d9a43159a6e3b8238f584ef" TargetMode="External"/><Relationship Id="rId1054" Type="http://schemas.openxmlformats.org/officeDocument/2006/relationships/hyperlink" Target="https://my.zakupivli.pro/remote/dispatcher/state_purchase_view/50369574" TargetMode="External"/><Relationship Id="rId1261" Type="http://schemas.openxmlformats.org/officeDocument/2006/relationships/hyperlink" Target="https://zakupivli.pro/gov/tenders/UA-2024-08-08-003747-a" TargetMode="External"/><Relationship Id="rId1359" Type="http://schemas.openxmlformats.org/officeDocument/2006/relationships/hyperlink" Target="https://zakupivli.pro/gov/tenders/ua-2024-09-25-009794-a/lot-726c9645d8664293946e2f9fb5c14294" TargetMode="External"/><Relationship Id="rId936" Type="http://schemas.openxmlformats.org/officeDocument/2006/relationships/hyperlink" Target="https://my.zakupivli.pro/remote/dispatcher/state_purchase_view/49743496" TargetMode="External"/><Relationship Id="rId1121" Type="http://schemas.openxmlformats.org/officeDocument/2006/relationships/hyperlink" Target="https://my.zakupivli.pro/remote/dispatcher/state_purchase_view/51251419" TargetMode="External"/><Relationship Id="rId1219" Type="http://schemas.openxmlformats.org/officeDocument/2006/relationships/hyperlink" Target="https://zakupivli.pro/gov/tenders/UA-2024-07-22-008778-a" TargetMode="External"/><Relationship Id="rId65" Type="http://schemas.openxmlformats.org/officeDocument/2006/relationships/hyperlink" Target="https://my.zakupki.prom.ua/remote/dispatcher/state_purchase_view/41426508" TargetMode="External"/><Relationship Id="rId281" Type="http://schemas.openxmlformats.org/officeDocument/2006/relationships/hyperlink" Target="https://zakupki.prom.ua/gov/tenders/UA-2023-04-03-010145-a" TargetMode="External"/><Relationship Id="rId141" Type="http://schemas.openxmlformats.org/officeDocument/2006/relationships/hyperlink" Target="https://my.zakupki.prom.ua/remote/dispatcher/state_purchase_view/41606245" TargetMode="External"/><Relationship Id="rId379" Type="http://schemas.openxmlformats.org/officeDocument/2006/relationships/hyperlink" Target="https://zakupki.prom.ua/gov/tenders/UA-2023-07-04-003582-a" TargetMode="External"/><Relationship Id="rId586" Type="http://schemas.openxmlformats.org/officeDocument/2006/relationships/hyperlink" Target="https://zakupivli.pro/gov/tenders/UA-2024-01-08-005490-a" TargetMode="External"/><Relationship Id="rId793" Type="http://schemas.openxmlformats.org/officeDocument/2006/relationships/hyperlink" Target="https://zakupivli.pro/gov/tenders/UA-2024-02-08-002419-a" TargetMode="External"/><Relationship Id="rId7" Type="http://schemas.openxmlformats.org/officeDocument/2006/relationships/hyperlink" Target="https://zakupki.prom.ua/gov/tenders/UA-2022-11-14-013851-a" TargetMode="External"/><Relationship Id="rId239" Type="http://schemas.openxmlformats.org/officeDocument/2006/relationships/hyperlink" Target="https://my.zakupki.prom.ua/remote/dispatcher/state_purchase_view/41719988" TargetMode="External"/><Relationship Id="rId446" Type="http://schemas.openxmlformats.org/officeDocument/2006/relationships/hyperlink" Target="https://zakupki.prom.ua/gov/tenders/UA-2023-08-28-000647-a" TargetMode="External"/><Relationship Id="rId653" Type="http://schemas.openxmlformats.org/officeDocument/2006/relationships/hyperlink" Target="https://zakupivli.pro/gov/tenders/UA-2024-01-24-010255-a/lot-5ba3acf01d964a4abc56d6441d99b463" TargetMode="External"/><Relationship Id="rId1076" Type="http://schemas.openxmlformats.org/officeDocument/2006/relationships/hyperlink" Target="https://zakupivli.pro/gov/tenders/UA-2024-04-30-007763-a" TargetMode="External"/><Relationship Id="rId1283" Type="http://schemas.openxmlformats.org/officeDocument/2006/relationships/hyperlink" Target="https://my.zakupivli.pro/remote/dispatcher/state_purchase_view/52723728" TargetMode="External"/><Relationship Id="rId306" Type="http://schemas.openxmlformats.org/officeDocument/2006/relationships/hyperlink" Target="https://zakupki.prom.ua/gov/tenders/UA-2023-04-04-000779-a" TargetMode="External"/><Relationship Id="rId860" Type="http://schemas.openxmlformats.org/officeDocument/2006/relationships/hyperlink" Target="https://my.zakupivli.pro/remote/dispatcher/state_purchase_view/49350980" TargetMode="External"/><Relationship Id="rId958" Type="http://schemas.openxmlformats.org/officeDocument/2006/relationships/hyperlink" Target="https://zakupivli.pro/gov/tenders/UA-2024-03-14-001638-a/lot-05849d1060b84de392d17d138e4058bb" TargetMode="External"/><Relationship Id="rId1143" Type="http://schemas.openxmlformats.org/officeDocument/2006/relationships/hyperlink" Target="https://zakupivli.pro/gov/tenders/UA-2024-06-06-001299-a" TargetMode="External"/><Relationship Id="rId87" Type="http://schemas.openxmlformats.org/officeDocument/2006/relationships/hyperlink" Target="https://my.zakupki.prom.ua/remote/dispatcher/state_purchase_view/41222289" TargetMode="External"/><Relationship Id="rId513" Type="http://schemas.openxmlformats.org/officeDocument/2006/relationships/hyperlink" Target="https://my.zakupivli.pro/remote/dispatcher/state_purchase_view/46516934" TargetMode="External"/><Relationship Id="rId720" Type="http://schemas.openxmlformats.org/officeDocument/2006/relationships/hyperlink" Target="https://my.zakupivli.pro/remote/dispatcher/state_purchase_view/48906433" TargetMode="External"/><Relationship Id="rId818" Type="http://schemas.openxmlformats.org/officeDocument/2006/relationships/hyperlink" Target="https://zakupivli.pro/gov/tenders/UA-2024-02-15-012214-a/lot-990f8dfb41a84e0492d0e6e54657e62f" TargetMode="External"/><Relationship Id="rId1350" Type="http://schemas.openxmlformats.org/officeDocument/2006/relationships/hyperlink" Target="https://zakupivli.pro/gov/tenders/ua-2024-09-23-002326-a" TargetMode="External"/><Relationship Id="rId1003" Type="http://schemas.openxmlformats.org/officeDocument/2006/relationships/hyperlink" Target="https://zakupivli.pro/gov/tenders/UA-2024-03-28-009986-a" TargetMode="External"/><Relationship Id="rId1210" Type="http://schemas.openxmlformats.org/officeDocument/2006/relationships/hyperlink" Target="https://zakupivli.pro/gov/tenders/UA-2024-07-18-003108-a" TargetMode="External"/><Relationship Id="rId1308" Type="http://schemas.openxmlformats.org/officeDocument/2006/relationships/hyperlink" Target="https://zakupivli.pro/gov/tenders/UA-2024-08-12-006182-a" TargetMode="External"/><Relationship Id="rId14" Type="http://schemas.openxmlformats.org/officeDocument/2006/relationships/hyperlink" Target="https://zakupki.prom.ua/gov/tenders/UA-2022-12-21-012032-a" TargetMode="External"/><Relationship Id="rId163" Type="http://schemas.openxmlformats.org/officeDocument/2006/relationships/hyperlink" Target="https://zakupki.prom.ua/gov/tenders/UA-2023-03-15-009913-a/lot-269f00fd99a34af28eaf6b998301eff5" TargetMode="External"/><Relationship Id="rId370" Type="http://schemas.openxmlformats.org/officeDocument/2006/relationships/hyperlink" Target="https://my.zakupki.prom.ua/remote/dispatcher/state_purchase_view/43724189" TargetMode="External"/><Relationship Id="rId230" Type="http://schemas.openxmlformats.org/officeDocument/2006/relationships/hyperlink" Target="https://zakupki.prom.ua/gov/tenders/UA-2023-03-30-000276-a" TargetMode="External"/><Relationship Id="rId468" Type="http://schemas.openxmlformats.org/officeDocument/2006/relationships/hyperlink" Target="https://my.zakupki.prom.ua/remote/dispatcher/state_purchase_view/44981628" TargetMode="External"/><Relationship Id="rId675" Type="http://schemas.openxmlformats.org/officeDocument/2006/relationships/hyperlink" Target="https://my.zakupivli.pro/remote/dispatcher/state_purchase_view/48819624" TargetMode="External"/><Relationship Id="rId882" Type="http://schemas.openxmlformats.org/officeDocument/2006/relationships/hyperlink" Target="https://zakupivli.pro/gov/tenders/UA-2024-02-26-000121-a" TargetMode="External"/><Relationship Id="rId1098" Type="http://schemas.openxmlformats.org/officeDocument/2006/relationships/hyperlink" Target="https://zakupivli.pro/gov/tenders/UA-2024-05-10-004917-a" TargetMode="External"/><Relationship Id="rId328" Type="http://schemas.openxmlformats.org/officeDocument/2006/relationships/hyperlink" Target="https://my.zakupki.prom.ua/remote/dispatcher/state_purchase_view/42379010" TargetMode="External"/><Relationship Id="rId535" Type="http://schemas.openxmlformats.org/officeDocument/2006/relationships/hyperlink" Target="https://my.zakupivli.pro/remote/dispatcher/state_purchase_view/47317977" TargetMode="External"/><Relationship Id="rId742" Type="http://schemas.openxmlformats.org/officeDocument/2006/relationships/hyperlink" Target="https://my.zakupivli.pro/remote/dispatcher/state_purchase_view/48903690" TargetMode="External"/><Relationship Id="rId1165" Type="http://schemas.openxmlformats.org/officeDocument/2006/relationships/hyperlink" Target="https://zakupivli.pro/gov/tenders/UA-2024-06-20-010267-a" TargetMode="External"/><Relationship Id="rId1372" Type="http://schemas.openxmlformats.org/officeDocument/2006/relationships/hyperlink" Target="https://my.zakupivli.pro/remote/dispatcher/state_purchase_view/53861267" TargetMode="External"/><Relationship Id="rId602" Type="http://schemas.openxmlformats.org/officeDocument/2006/relationships/hyperlink" Target="https://zakupivli.pro/gov/tenders/UA-2024-01-17-000372-a" TargetMode="External"/><Relationship Id="rId1025" Type="http://schemas.openxmlformats.org/officeDocument/2006/relationships/hyperlink" Target="https://zakupivli.pro/gov/tenders/UA-2024-04-03-003922-a/lot-240932b8881a47c281f0f869225cfa6c" TargetMode="External"/><Relationship Id="rId1232" Type="http://schemas.openxmlformats.org/officeDocument/2006/relationships/hyperlink" Target="https://zakupivli.pro/gov/tenders/UA-2024-07-24-001967-a" TargetMode="External"/><Relationship Id="rId907" Type="http://schemas.openxmlformats.org/officeDocument/2006/relationships/hyperlink" Target="https://zakupivli.pro/gov/tenders/UA-2024-03-04-011178-a" TargetMode="External"/><Relationship Id="rId36" Type="http://schemas.openxmlformats.org/officeDocument/2006/relationships/hyperlink" Target="https://my.zakupki.prom.ua/remote/dispatcher/state_purchase_view/41521176" TargetMode="External"/><Relationship Id="rId185" Type="http://schemas.openxmlformats.org/officeDocument/2006/relationships/hyperlink" Target="https://zakupki.prom.ua/gov/tenders/UA-2023-03-20-010273-a" TargetMode="External"/><Relationship Id="rId392" Type="http://schemas.openxmlformats.org/officeDocument/2006/relationships/hyperlink" Target="https://my.zakupki.prom.ua/remote/dispatcher/state_purchase_view/44101024" TargetMode="External"/><Relationship Id="rId697" Type="http://schemas.openxmlformats.org/officeDocument/2006/relationships/hyperlink" Target="https://my.zakupivli.pro/remote/dispatcher/state_purchase_view/48871901" TargetMode="External"/><Relationship Id="rId252" Type="http://schemas.openxmlformats.org/officeDocument/2006/relationships/hyperlink" Target="https://zakupki.prom.ua/gov/tenders/UA-2023-03-30-005086-a" TargetMode="External"/><Relationship Id="rId1187" Type="http://schemas.openxmlformats.org/officeDocument/2006/relationships/hyperlink" Target="https://zakupivli.pro/gov/tenders/UA-2024-07-01-004453-a" TargetMode="External"/><Relationship Id="rId112" Type="http://schemas.openxmlformats.org/officeDocument/2006/relationships/hyperlink" Target="https://zakupki.prom.ua/gov/tenders/UA-2023-02-13-012766-a" TargetMode="External"/><Relationship Id="rId557" Type="http://schemas.openxmlformats.org/officeDocument/2006/relationships/hyperlink" Target="https://my.zakupivli.pro/remote/dispatcher/state_purchase_view/48106223" TargetMode="External"/><Relationship Id="rId764" Type="http://schemas.openxmlformats.org/officeDocument/2006/relationships/hyperlink" Target="https://my.zakupivli.pro/remote/dispatcher/state_purchase_view/48907725" TargetMode="External"/><Relationship Id="rId971" Type="http://schemas.openxmlformats.org/officeDocument/2006/relationships/hyperlink" Target="https://zakupivli.pro/gov/tenders/UA-2024-03-21-008100-a" TargetMode="External"/><Relationship Id="rId417" Type="http://schemas.openxmlformats.org/officeDocument/2006/relationships/hyperlink" Target="https://my.zakupki.prom.ua/remote/dispatcher/state_purchase_view/44441521" TargetMode="External"/><Relationship Id="rId624" Type="http://schemas.openxmlformats.org/officeDocument/2006/relationships/hyperlink" Target="https://zakupivli.pro/gov/tenders/UA-2024-01-18-016148-a/lot-aec47e57b80445e6a012a23c508facff" TargetMode="External"/><Relationship Id="rId831" Type="http://schemas.openxmlformats.org/officeDocument/2006/relationships/hyperlink" Target="https://my.zakupivli.pro/remote/dispatcher/state_purchase_view/49301487" TargetMode="External"/><Relationship Id="rId1047" Type="http://schemas.openxmlformats.org/officeDocument/2006/relationships/hyperlink" Target="https://zakupivli.pro/gov/tenders/UA-2024-04-09-000106-a" TargetMode="External"/><Relationship Id="rId1254" Type="http://schemas.openxmlformats.org/officeDocument/2006/relationships/hyperlink" Target="https://zakupivli.pro/gov/tenders/UA-2024-08-05-007656-a" TargetMode="External"/><Relationship Id="rId929" Type="http://schemas.openxmlformats.org/officeDocument/2006/relationships/hyperlink" Target="https://my.zakupivli.pro/remote/dispatcher/state_purchase_view/49690092" TargetMode="External"/><Relationship Id="rId1114" Type="http://schemas.openxmlformats.org/officeDocument/2006/relationships/hyperlink" Target="https://my.zakupivli.pro/remote/dispatcher/state_purchase_view/51179925" TargetMode="External"/><Relationship Id="rId1321" Type="http://schemas.openxmlformats.org/officeDocument/2006/relationships/hyperlink" Target="https://zakupivli.pro/gov/tenders/UA-2024-09-09-012658-a" TargetMode="External"/><Relationship Id="rId58" Type="http://schemas.openxmlformats.org/officeDocument/2006/relationships/hyperlink" Target="https://my.zakupki.prom.ua/remote/dispatcher/state_purchase_view/41428016" TargetMode="External"/><Relationship Id="rId274" Type="http://schemas.openxmlformats.org/officeDocument/2006/relationships/hyperlink" Target="https://my.zakupki.prom.ua/remote/dispatcher/state_purchase_view/41777421" TargetMode="External"/><Relationship Id="rId481" Type="http://schemas.openxmlformats.org/officeDocument/2006/relationships/hyperlink" Target="https://zakupki.prom.ua/gov/tenders/UA-2023-09-20-010554-a" TargetMode="External"/><Relationship Id="rId134" Type="http://schemas.openxmlformats.org/officeDocument/2006/relationships/hyperlink" Target="https://zakupki.prom.ua/gov/tenders/UA-2023-03-03-001590-a" TargetMode="External"/><Relationship Id="rId579" Type="http://schemas.openxmlformats.org/officeDocument/2006/relationships/hyperlink" Target="https://my.zakupivli.pro/remote/dispatcher/state_purchase_view/48207479" TargetMode="External"/><Relationship Id="rId786" Type="http://schemas.openxmlformats.org/officeDocument/2006/relationships/hyperlink" Target="https://zakupivli.pro/gov/tenders/UA-2024-02-07-011926-a/lot-ea104699074e425e9237c4c23d7a5ccf" TargetMode="External"/><Relationship Id="rId993" Type="http://schemas.openxmlformats.org/officeDocument/2006/relationships/hyperlink" Target="https://my.zakupivli.pro/remote/dispatcher/state_purchase_view/49990900" TargetMode="External"/><Relationship Id="rId341" Type="http://schemas.openxmlformats.org/officeDocument/2006/relationships/hyperlink" Target="https://zakupki.prom.ua/gov/tenders/UA-2023-04-27-003600-a" TargetMode="External"/><Relationship Id="rId439" Type="http://schemas.openxmlformats.org/officeDocument/2006/relationships/hyperlink" Target="https://zakupki.prom.ua/gov/tenders/UA-2023-08-23-006097-a" TargetMode="External"/><Relationship Id="rId646" Type="http://schemas.openxmlformats.org/officeDocument/2006/relationships/hyperlink" Target="https://zakupivli.pro/gov/tenders/UA-2024-01-23-002308-a" TargetMode="External"/><Relationship Id="rId1069" Type="http://schemas.openxmlformats.org/officeDocument/2006/relationships/hyperlink" Target="UA-2024-04-25-005173-a" TargetMode="External"/><Relationship Id="rId1276" Type="http://schemas.openxmlformats.org/officeDocument/2006/relationships/hyperlink" Target="https://my.zakupivli.pro/remote/dispatcher/state_purchase_view/52816266" TargetMode="External"/><Relationship Id="rId201" Type="http://schemas.openxmlformats.org/officeDocument/2006/relationships/hyperlink" Target="https://zakupki.prom.ua/gov/tenders/UA-2023-03-23-010751-a" TargetMode="External"/><Relationship Id="rId506" Type="http://schemas.openxmlformats.org/officeDocument/2006/relationships/hyperlink" Target="https://zakupivli.pro/gov/tenders/UA-2023-10-24-012659-a" TargetMode="External"/><Relationship Id="rId853" Type="http://schemas.openxmlformats.org/officeDocument/2006/relationships/hyperlink" Target="https://zakupivli.pro/gov/tenders/UA-2024-02-20-007571-a/lot-d243b17001634d16a5f4556887346f70" TargetMode="External"/><Relationship Id="rId1136" Type="http://schemas.openxmlformats.org/officeDocument/2006/relationships/hyperlink" Target="https://my.zakupivli.pro/remote/dispatcher/state_purchase_view/51354614" TargetMode="External"/><Relationship Id="rId713" Type="http://schemas.openxmlformats.org/officeDocument/2006/relationships/hyperlink" Target="https://my.zakupivli.pro/remote/dispatcher/state_purchase_view/48907249" TargetMode="External"/><Relationship Id="rId920" Type="http://schemas.openxmlformats.org/officeDocument/2006/relationships/hyperlink" Target="https://my.zakupivli.pro/remote/dispatcher/state_purchase_view/49613449" TargetMode="External"/><Relationship Id="rId1343" Type="http://schemas.openxmlformats.org/officeDocument/2006/relationships/hyperlink" Target="https://my.zakupivli.pro/remote/dispatcher/state_purchase_view/53498923" TargetMode="External"/><Relationship Id="rId1203" Type="http://schemas.openxmlformats.org/officeDocument/2006/relationships/hyperlink" Target="https://zakupivli.pro/gov/tenders/UA-2024-07-15-002029-a" TargetMode="External"/><Relationship Id="rId296" Type="http://schemas.openxmlformats.org/officeDocument/2006/relationships/hyperlink" Target="https://my.zakupki.prom.ua/remote/dispatcher/state_purchase_view/41829038" TargetMode="External"/><Relationship Id="rId156" Type="http://schemas.openxmlformats.org/officeDocument/2006/relationships/hyperlink" Target="https://zakupki.prom.ua/gov/tenders/UA-2023-03-10-000148-a/lot-a85007dba86c422192a47483f5ef0ac1" TargetMode="External"/><Relationship Id="rId363" Type="http://schemas.openxmlformats.org/officeDocument/2006/relationships/hyperlink" Target="https://zakupki.prom.ua/gov/tenders/UA-2023-05-12-007007-a" TargetMode="External"/><Relationship Id="rId570" Type="http://schemas.openxmlformats.org/officeDocument/2006/relationships/hyperlink" Target="https://zakupivli.pro/gov/tenders/UA-2023-12-29-001754-a" TargetMode="External"/><Relationship Id="rId223" Type="http://schemas.openxmlformats.org/officeDocument/2006/relationships/hyperlink" Target="https://zakupki.prom.ua/gov/tenders/UA-2023-03-27-004027-a" TargetMode="External"/><Relationship Id="rId430" Type="http://schemas.openxmlformats.org/officeDocument/2006/relationships/hyperlink" Target="https://zakupki.prom.ua/gov/tenders/UA-2023-08-10-000166-a" TargetMode="External"/><Relationship Id="rId668" Type="http://schemas.openxmlformats.org/officeDocument/2006/relationships/hyperlink" Target="https://zakupivli.pro/gov/tenders/UA-2024-01-25-013604-a" TargetMode="External"/><Relationship Id="rId875" Type="http://schemas.openxmlformats.org/officeDocument/2006/relationships/hyperlink" Target="https://zakupivli.pro/gov/tenders/UA-2024-02-22-008123-a/lot-e39baa3fa77a42ce898094455d3bd131" TargetMode="External"/><Relationship Id="rId1060" Type="http://schemas.openxmlformats.org/officeDocument/2006/relationships/hyperlink" Target="https://my.zakupivli.pro/remote/dispatcher/state_purchase_view/50523737" TargetMode="External"/><Relationship Id="rId1298" Type="http://schemas.openxmlformats.org/officeDocument/2006/relationships/hyperlink" Target="https://zakupivli.pro/gov/tenders/UA-2024-08-16-002605-a" TargetMode="External"/><Relationship Id="rId528" Type="http://schemas.openxmlformats.org/officeDocument/2006/relationships/hyperlink" Target="https://zakupivli.pro/gov/tenders/UA-2023-12-01-004762-a" TargetMode="External"/><Relationship Id="rId735" Type="http://schemas.openxmlformats.org/officeDocument/2006/relationships/hyperlink" Target="https://zakupivli.pro/gov/tenders/UA-2024-02-02-011602-a/lot-e225c19f54204a91a5a74f086a0c2b78" TargetMode="External"/><Relationship Id="rId942" Type="http://schemas.openxmlformats.org/officeDocument/2006/relationships/hyperlink" Target="https://my.zakupivli.pro/remote/dispatcher/state_purchase_view/49733918" TargetMode="External"/><Relationship Id="rId1158" Type="http://schemas.openxmlformats.org/officeDocument/2006/relationships/hyperlink" Target="https://zakupivli.pro/gov/tenders/UA-2024-06-18-008358-a/lot-e9e0f5a7498c45d487bcaa4b6fdd453f" TargetMode="External"/><Relationship Id="rId1365" Type="http://schemas.openxmlformats.org/officeDocument/2006/relationships/hyperlink" Target="https://my.zakupivli.pro/remote/dispatcher/state_purchase_view/53622364" TargetMode="External"/><Relationship Id="rId1018" Type="http://schemas.openxmlformats.org/officeDocument/2006/relationships/hyperlink" Target="https://my.zakupivli.pro/remote/dispatcher/state_purchase_view/50191401" TargetMode="External"/><Relationship Id="rId1225" Type="http://schemas.openxmlformats.org/officeDocument/2006/relationships/hyperlink" Target="https://zakupivli.pro/gov/tenders/UA-2024-07-23-006477-a" TargetMode="External"/><Relationship Id="rId71" Type="http://schemas.openxmlformats.org/officeDocument/2006/relationships/hyperlink" Target="https://my.zakupki.prom.ua/remote/dispatcher/state_purchase_view/41371338" TargetMode="External"/><Relationship Id="rId802" Type="http://schemas.openxmlformats.org/officeDocument/2006/relationships/hyperlink" Target="https://zakupivli.pro/gov/tenders/UA-2024-02-08-012868-a/lot-630d0160dbe1449689cdaf7e91fad0fd" TargetMode="External"/><Relationship Id="rId29" Type="http://schemas.openxmlformats.org/officeDocument/2006/relationships/hyperlink" Target="https://zakupki.prom.ua/gov/tenders/UA-2023-02-01-009402-a/lot-cdc0f5a6dac2418db68318cb50f81b7a" TargetMode="External"/><Relationship Id="rId178" Type="http://schemas.openxmlformats.org/officeDocument/2006/relationships/hyperlink" Target="https://zakupki.prom.ua/gov/tenders/UA-2023-03-20-010821-a" TargetMode="External"/><Relationship Id="rId385" Type="http://schemas.openxmlformats.org/officeDocument/2006/relationships/hyperlink" Target="https://my.zakupki.prom.ua/remote/dispatcher/state_purchase_view/44239007" TargetMode="External"/><Relationship Id="rId592" Type="http://schemas.openxmlformats.org/officeDocument/2006/relationships/hyperlink" Target="https://my.zakupivli.pro/remote/dispatcher/state_purchase_view/48324529" TargetMode="External"/><Relationship Id="rId245" Type="http://schemas.openxmlformats.org/officeDocument/2006/relationships/hyperlink" Target="https://zakupki.prom.ua/gov/tenders/UA-2023-03-30-003251-a" TargetMode="External"/><Relationship Id="rId452" Type="http://schemas.openxmlformats.org/officeDocument/2006/relationships/hyperlink" Target="https://my.zakupki.prom.ua/remote/dispatcher/state_purchase_view/44854535" TargetMode="External"/><Relationship Id="rId897" Type="http://schemas.openxmlformats.org/officeDocument/2006/relationships/hyperlink" Target="https://my.zakupivli.pro/remote/dispatcher/state_purchase_view/49535400" TargetMode="External"/><Relationship Id="rId1082" Type="http://schemas.openxmlformats.org/officeDocument/2006/relationships/hyperlink" Target="https://my.zakupivli.pro/remote/dispatcher/state_purchase_view/50870545" TargetMode="External"/><Relationship Id="rId105" Type="http://schemas.openxmlformats.org/officeDocument/2006/relationships/hyperlink" Target="https://my.zakupki.prom.ua/remote/dispatcher/state_purchase_view/40896071" TargetMode="External"/><Relationship Id="rId312" Type="http://schemas.openxmlformats.org/officeDocument/2006/relationships/hyperlink" Target="https://zakupki.prom.ua/gov/tenders/UA-2023-04-05-010348-a" TargetMode="External"/><Relationship Id="rId757" Type="http://schemas.openxmlformats.org/officeDocument/2006/relationships/hyperlink" Target="https://my.zakupivli.pro/remote/dispatcher/state_purchase_view/48908032" TargetMode="External"/><Relationship Id="rId964" Type="http://schemas.openxmlformats.org/officeDocument/2006/relationships/hyperlink" Target="https://zakupivli.pro/gov/tenders/UA-2024-03-15-009363-a/lot-bfff6f72cd2f440c9d6ffbbe3852a50d" TargetMode="External"/><Relationship Id="rId1387" Type="http://schemas.openxmlformats.org/officeDocument/2006/relationships/hyperlink" Target="https://zakupivli.pro/gov/tenders/ua-2024-10-17-014575-a" TargetMode="External"/><Relationship Id="rId93" Type="http://schemas.openxmlformats.org/officeDocument/2006/relationships/hyperlink" Target="https://my.zakupki.prom.ua/remote/dispatcher/state_purchase_view/41190509" TargetMode="External"/><Relationship Id="rId617" Type="http://schemas.openxmlformats.org/officeDocument/2006/relationships/hyperlink" Target="https://my.zakupivli.pro/remote/dispatcher/state_purchase_view/48484797" TargetMode="External"/><Relationship Id="rId824" Type="http://schemas.openxmlformats.org/officeDocument/2006/relationships/hyperlink" Target="https://my.zakupivli.pro/remote/dispatcher/state_purchase_view/49304806" TargetMode="External"/><Relationship Id="rId1247" Type="http://schemas.openxmlformats.org/officeDocument/2006/relationships/hyperlink" Target="https://zakupivli.pro/gov/tenders/UA-2024-08-01-006484-a" TargetMode="External"/><Relationship Id="rId1107" Type="http://schemas.openxmlformats.org/officeDocument/2006/relationships/hyperlink" Target="https://zakupivli.pro/gov/tenders/UA-2024-05-20-009265-a" TargetMode="External"/><Relationship Id="rId1314" Type="http://schemas.openxmlformats.org/officeDocument/2006/relationships/hyperlink" Target="https://my.zakupivli.pro/remote/dispatcher/state_purchase_view/53031151" TargetMode="External"/><Relationship Id="rId20" Type="http://schemas.openxmlformats.org/officeDocument/2006/relationships/hyperlink" Target="https://my.zakupki.prom.ua/remote/dispatcher/state_purchase_view/40091969" TargetMode="External"/><Relationship Id="rId267" Type="http://schemas.openxmlformats.org/officeDocument/2006/relationships/hyperlink" Target="https://my.zakupki.prom.ua/remote/dispatcher/state_purchase_view/41781166" TargetMode="External"/><Relationship Id="rId474" Type="http://schemas.openxmlformats.org/officeDocument/2006/relationships/hyperlink" Target="https://zakupki.prom.ua/gov/tenders/UA-2023-09-06-007510-a/lot-ddd47924b96643848ed653cb9b1df1da" TargetMode="External"/><Relationship Id="rId127" Type="http://schemas.openxmlformats.org/officeDocument/2006/relationships/hyperlink" Target="https://zakupki.prom.ua/gov/tenders/UA-2023-03-02-009369-a/lot-78babed45489468387c6b0be896d083e" TargetMode="External"/><Relationship Id="rId681" Type="http://schemas.openxmlformats.org/officeDocument/2006/relationships/hyperlink" Target="https://my.zakupivli.pro/remote/dispatcher/state_purchase_view/48825205" TargetMode="External"/><Relationship Id="rId779" Type="http://schemas.openxmlformats.org/officeDocument/2006/relationships/hyperlink" Target="https://zakupivli.pro/gov/tenders/UA-2024-02-06-009098-a" TargetMode="External"/><Relationship Id="rId986" Type="http://schemas.openxmlformats.org/officeDocument/2006/relationships/hyperlink" Target="https://my.zakupivli.pro/remote/dispatcher/state_purchase_view/49991359" TargetMode="External"/><Relationship Id="rId334" Type="http://schemas.openxmlformats.org/officeDocument/2006/relationships/hyperlink" Target="https://my.zakupki.prom.ua/remote/dispatcher/state_purchase_view/42221401" TargetMode="External"/><Relationship Id="rId541" Type="http://schemas.openxmlformats.org/officeDocument/2006/relationships/hyperlink" Target="https://my.zakupivli.pro/remote/dispatcher/state_purchase_view/47491667" TargetMode="External"/><Relationship Id="rId639" Type="http://schemas.openxmlformats.org/officeDocument/2006/relationships/hyperlink" Target="https://my.zakupivli.pro/remote/dispatcher/state_purchase_view/48579121" TargetMode="External"/><Relationship Id="rId1171" Type="http://schemas.openxmlformats.org/officeDocument/2006/relationships/hyperlink" Target="https://my.zakupivli.pro/remote/dispatcher/state_purchase_view/51817543" TargetMode="External"/><Relationship Id="rId1269" Type="http://schemas.openxmlformats.org/officeDocument/2006/relationships/hyperlink" Target="https://zakupivli.pro/gov/tenders/UA-2024-08-08-011169-a" TargetMode="External"/><Relationship Id="rId401" Type="http://schemas.openxmlformats.org/officeDocument/2006/relationships/hyperlink" Target="https://zakupki.prom.ua/gov/tenders/UA-2023-07-24-008868-a" TargetMode="External"/><Relationship Id="rId846" Type="http://schemas.openxmlformats.org/officeDocument/2006/relationships/hyperlink" Target="https://zakupivli.pro/gov/tenders/UA-2024-02-20-010042-a" TargetMode="External"/><Relationship Id="rId1031" Type="http://schemas.openxmlformats.org/officeDocument/2006/relationships/hyperlink" Target="https://zakupivli.pro/gov/tenders/UA-2024-04-03-011369-a" TargetMode="External"/><Relationship Id="rId1129" Type="http://schemas.openxmlformats.org/officeDocument/2006/relationships/hyperlink" Target="https://zakupivli.pro/gov/tenders/UA-2024-05-27-006168-a" TargetMode="External"/><Relationship Id="rId706" Type="http://schemas.openxmlformats.org/officeDocument/2006/relationships/hyperlink" Target="https://zakupivli.pro/gov/tenders/UA-2024-02-02-013046-a" TargetMode="External"/><Relationship Id="rId913" Type="http://schemas.openxmlformats.org/officeDocument/2006/relationships/hyperlink" Target="https://zakupivli.pro/gov/tenders/UA-2024-03-04-002146-a" TargetMode="External"/><Relationship Id="rId1336" Type="http://schemas.openxmlformats.org/officeDocument/2006/relationships/hyperlink" Target="https://zakupivli.pro/gov/tenders/ua-2024-09-13-010422-a" TargetMode="External"/><Relationship Id="rId42" Type="http://schemas.openxmlformats.org/officeDocument/2006/relationships/hyperlink" Target="https://my.zakupki.prom.ua/remote/dispatcher/state_purchase_view/41520193" TargetMode="External"/><Relationship Id="rId191" Type="http://schemas.openxmlformats.org/officeDocument/2006/relationships/hyperlink" Target="https://zakupki.prom.ua/gov/tenders/UA-2023-03-20-010007-a" TargetMode="External"/><Relationship Id="rId289" Type="http://schemas.openxmlformats.org/officeDocument/2006/relationships/hyperlink" Target="https://zakupki.prom.ua/gov/tenders/UA-2023-04-04-000133-a" TargetMode="External"/><Relationship Id="rId496" Type="http://schemas.openxmlformats.org/officeDocument/2006/relationships/hyperlink" Target="https://zakupki.prom.ua/gov/tenders/UA-2023-10-03-002362-a" TargetMode="External"/><Relationship Id="rId149" Type="http://schemas.openxmlformats.org/officeDocument/2006/relationships/hyperlink" Target="https://zakupki.prom.ua/gov/tenders/UA-2023-03-10-000555-a/lot-cd85c8f4588b4591bc93310fe1e7fe1b" TargetMode="External"/><Relationship Id="rId356" Type="http://schemas.openxmlformats.org/officeDocument/2006/relationships/hyperlink" Target="https://my.zakupki.prom.ua/remote/dispatcher/state_purchase_view/42504562" TargetMode="External"/><Relationship Id="rId563" Type="http://schemas.openxmlformats.org/officeDocument/2006/relationships/hyperlink" Target="https://my.zakupivli.pro/remote/dispatcher/state_purchase_view/48111319" TargetMode="External"/><Relationship Id="rId770" Type="http://schemas.openxmlformats.org/officeDocument/2006/relationships/hyperlink" Target="https://my.zakupivli.pro/remote/dispatcher/state_purchase_view/48971877" TargetMode="External"/><Relationship Id="rId1193" Type="http://schemas.openxmlformats.org/officeDocument/2006/relationships/hyperlink" Target="https://zakupivli.pro/gov/tenders/UA-2024-07-03-007270-a" TargetMode="External"/><Relationship Id="rId216" Type="http://schemas.openxmlformats.org/officeDocument/2006/relationships/hyperlink" Target="https://my.zakupki.prom.ua/remote/dispatcher/state_purchase_view/41644671" TargetMode="External"/><Relationship Id="rId423" Type="http://schemas.openxmlformats.org/officeDocument/2006/relationships/hyperlink" Target="https://zakupki.prom.ua/gov/tenders/UA-2023-08-09-006222-a/lot-54fe11372eb745f5a0360f700d959367" TargetMode="External"/><Relationship Id="rId868" Type="http://schemas.openxmlformats.org/officeDocument/2006/relationships/hyperlink" Target="https://zakupivli.pro/gov/tenders/UA-2024-02-22-000344-a" TargetMode="External"/><Relationship Id="rId1053" Type="http://schemas.openxmlformats.org/officeDocument/2006/relationships/hyperlink" Target="https://zakupivli.pro/gov/tenders/UA-2024-04-10-002649-a" TargetMode="External"/><Relationship Id="rId1260" Type="http://schemas.openxmlformats.org/officeDocument/2006/relationships/hyperlink" Target="https://zakupivli.pro/gov/tenders/UA-2024-08-08-003155-a" TargetMode="External"/><Relationship Id="rId630" Type="http://schemas.openxmlformats.org/officeDocument/2006/relationships/hyperlink" Target="https://my.zakupivli.pro/remote/dispatcher/state_purchase_view/48552028" TargetMode="External"/><Relationship Id="rId728" Type="http://schemas.openxmlformats.org/officeDocument/2006/relationships/hyperlink" Target="https://my.zakupivli.pro/remote/dispatcher/state_purchase_view/48905205" TargetMode="External"/><Relationship Id="rId935" Type="http://schemas.openxmlformats.org/officeDocument/2006/relationships/hyperlink" Target="https://zakupivli.pro/gov/tenders/UA-2024-03-11-000098-a" TargetMode="External"/><Relationship Id="rId1358" Type="http://schemas.openxmlformats.org/officeDocument/2006/relationships/hyperlink" Target="https://zakupivli.pro/gov/tenders/ua-2024-09-25-012201-a" TargetMode="External"/><Relationship Id="rId64" Type="http://schemas.openxmlformats.org/officeDocument/2006/relationships/hyperlink" Target="https://my.zakupki.prom.ua/remote/dispatcher/state_purchase_view/41426613" TargetMode="External"/><Relationship Id="rId1120" Type="http://schemas.openxmlformats.org/officeDocument/2006/relationships/hyperlink" Target="https://my.zakupivli.pro/remote/dispatcher/state_purchase_view/51251693" TargetMode="External"/><Relationship Id="rId1218" Type="http://schemas.openxmlformats.org/officeDocument/2006/relationships/hyperlink" Target="https://zakupivli.pro/gov/tenders/UA-2024-07-22-002244-a" TargetMode="External"/><Relationship Id="rId280" Type="http://schemas.openxmlformats.org/officeDocument/2006/relationships/hyperlink" Target="https://zakupki.prom.ua/gov/tenders/UA-2023-04-03-000950-a/lot-44d17cfb5b2f434d89437c54c8b6faf6" TargetMode="External"/><Relationship Id="rId140" Type="http://schemas.openxmlformats.org/officeDocument/2006/relationships/hyperlink" Target="https://my.zakupki.prom.ua/remote/dispatcher/state_purchase_view/41606604" TargetMode="External"/><Relationship Id="rId378" Type="http://schemas.openxmlformats.org/officeDocument/2006/relationships/hyperlink" Target="https://zakupki.prom.ua/gov/tenders/UA-2023-06-15-008882-a" TargetMode="External"/><Relationship Id="rId585" Type="http://schemas.openxmlformats.org/officeDocument/2006/relationships/hyperlink" Target="https://my.zakupivli.pro/remote/dispatcher/state_purchase_view/48216345" TargetMode="External"/><Relationship Id="rId792" Type="http://schemas.openxmlformats.org/officeDocument/2006/relationships/hyperlink" Target="https://my.zakupivli.pro/remote/dispatcher/state_purchase_view/49025987" TargetMode="External"/><Relationship Id="rId6" Type="http://schemas.openxmlformats.org/officeDocument/2006/relationships/hyperlink" Target="https://zakupki.prom.ua/gov/tenders/UA-2022-11-14-010662-a" TargetMode="External"/><Relationship Id="rId238" Type="http://schemas.openxmlformats.org/officeDocument/2006/relationships/hyperlink" Target="https://my.zakupki.prom.ua/remote/dispatcher/state_purchase_view/41720050" TargetMode="External"/><Relationship Id="rId445" Type="http://schemas.openxmlformats.org/officeDocument/2006/relationships/hyperlink" Target="https://zakupki.prom.ua/gov/tenders/UA-2023-09-04-001378-a" TargetMode="External"/><Relationship Id="rId652" Type="http://schemas.openxmlformats.org/officeDocument/2006/relationships/hyperlink" Target="https://my.zakupivli.pro/remote/dispatcher/state_purchase_view/48637783" TargetMode="External"/><Relationship Id="rId1075" Type="http://schemas.openxmlformats.org/officeDocument/2006/relationships/hyperlink" Target="https://zakupivli.pro/gov/tenders/UA-2024-04-30-008406-a" TargetMode="External"/><Relationship Id="rId1282" Type="http://schemas.openxmlformats.org/officeDocument/2006/relationships/hyperlink" Target="https://my.zakupivli.pro/remote/dispatcher/state_purchase_view/52758890" TargetMode="External"/><Relationship Id="rId305" Type="http://schemas.openxmlformats.org/officeDocument/2006/relationships/hyperlink" Target="https://zakupki.prom.ua/gov/tenders/UA-2023-04-04-001043-a" TargetMode="External"/><Relationship Id="rId512" Type="http://schemas.openxmlformats.org/officeDocument/2006/relationships/hyperlink" Target="https://zakupivli.pro/gov/tenders/UA-2023-10-25-013765-a" TargetMode="External"/><Relationship Id="rId957" Type="http://schemas.openxmlformats.org/officeDocument/2006/relationships/hyperlink" Target="https://zakupivli.pro/gov/tenders/UA-2024-03-14-004029-a/lot-9c2a450121944557b4ff04df82d8bd68" TargetMode="External"/><Relationship Id="rId1142" Type="http://schemas.openxmlformats.org/officeDocument/2006/relationships/hyperlink" Target="https://my.zakupivli.pro/remote/dispatcher/state_purchase_view/51454131" TargetMode="External"/><Relationship Id="rId86" Type="http://schemas.openxmlformats.org/officeDocument/2006/relationships/hyperlink" Target="https://my.zakupki.prom.ua/remote/dispatcher/state_purchase_view/41234545" TargetMode="External"/><Relationship Id="rId817" Type="http://schemas.openxmlformats.org/officeDocument/2006/relationships/hyperlink" Target="https://zakupivli.pro/gov/tenders/UA-2024-02-15-012214-a/lot-564e8759c96c4ce8a362b8001548200a" TargetMode="External"/><Relationship Id="rId1002" Type="http://schemas.openxmlformats.org/officeDocument/2006/relationships/hyperlink" Target="https://my.zakupivli.pro/remote/dispatcher/state_purchase_view/50096341" TargetMode="External"/><Relationship Id="rId1307" Type="http://schemas.openxmlformats.org/officeDocument/2006/relationships/hyperlink" Target="https://zakupivli.pro/gov/tenders/UA-2024-08-13-010928-a" TargetMode="External"/><Relationship Id="rId13" Type="http://schemas.openxmlformats.org/officeDocument/2006/relationships/hyperlink" Target="https://zakupki.prom.ua/gov/tenders/UA-2022-12-08-017620-a" TargetMode="External"/><Relationship Id="rId162" Type="http://schemas.openxmlformats.org/officeDocument/2006/relationships/hyperlink" Target="https://zakupki.prom.ua/gov/tenders/UA-2023-03-15-010399-a/lot-f58568e690d642f59d278c4589415449" TargetMode="External"/><Relationship Id="rId467" Type="http://schemas.openxmlformats.org/officeDocument/2006/relationships/hyperlink" Target="https://zakupki.prom.ua/gov/tenders/UA-2023-09-06-008139-a/lot-93a24d6c4fdb4ddba53a8d2ec00ae2b8" TargetMode="External"/><Relationship Id="rId1097" Type="http://schemas.openxmlformats.org/officeDocument/2006/relationships/hyperlink" Target="https://zakupivli.pro/gov/tenders/UA-2024-05-10-007968-a" TargetMode="External"/><Relationship Id="rId674" Type="http://schemas.openxmlformats.org/officeDocument/2006/relationships/hyperlink" Target="https://zakupivli.pro/gov/tenders/UA-2024-01-29-003400-a" TargetMode="External"/><Relationship Id="rId881" Type="http://schemas.openxmlformats.org/officeDocument/2006/relationships/hyperlink" Target="https://my.zakupivli.pro/remote/dispatcher/state_purchase_view/49407682" TargetMode="External"/><Relationship Id="rId979" Type="http://schemas.openxmlformats.org/officeDocument/2006/relationships/hyperlink" Target="https://zakupivli.pro/gov/tenders/UA-2024-03-25-001536-a" TargetMode="External"/><Relationship Id="rId327" Type="http://schemas.openxmlformats.org/officeDocument/2006/relationships/hyperlink" Target="https://zakupki.prom.ua/gov/tenders/UA-2023-04-25-003327-a" TargetMode="External"/><Relationship Id="rId534" Type="http://schemas.openxmlformats.org/officeDocument/2006/relationships/hyperlink" Target="https://zakupivli.pro/gov/tenders/UA-2023-12-06-005920-a" TargetMode="External"/><Relationship Id="rId741" Type="http://schemas.openxmlformats.org/officeDocument/2006/relationships/hyperlink" Target="https://zakupivli.pro/gov/tenders/UA-2024-02-02-011398-a/lot-115c1ccee836457595f6efd525a149e8" TargetMode="External"/><Relationship Id="rId839" Type="http://schemas.openxmlformats.org/officeDocument/2006/relationships/hyperlink" Target="https://zakupivli.pro/gov/tenders/UA-2024-02-20-011455-a" TargetMode="External"/><Relationship Id="rId1164" Type="http://schemas.openxmlformats.org/officeDocument/2006/relationships/hyperlink" Target="https://my.zakupivli.pro/remote/dispatcher/state_purchase_view/51759365" TargetMode="External"/><Relationship Id="rId1371" Type="http://schemas.openxmlformats.org/officeDocument/2006/relationships/hyperlink" Target="https://zakupivli.pro/gov/tenders/ua-2024-10-03-012005-a/lot-977c4db819034b64934a5a4a92132bf6" TargetMode="External"/><Relationship Id="rId601" Type="http://schemas.openxmlformats.org/officeDocument/2006/relationships/hyperlink" Target="https://zakupivli.pro/gov/tenders/UA-2024-01-17-000623-a" TargetMode="External"/><Relationship Id="rId1024" Type="http://schemas.openxmlformats.org/officeDocument/2006/relationships/hyperlink" Target="https://zakupivli.pro/gov/tenders/UA-2024-04-03-007567-a" TargetMode="External"/><Relationship Id="rId1231" Type="http://schemas.openxmlformats.org/officeDocument/2006/relationships/hyperlink" Target="https://zakupivli.pro/gov/tenders/UA-2024-07-24-001792-a" TargetMode="External"/><Relationship Id="rId906" Type="http://schemas.openxmlformats.org/officeDocument/2006/relationships/hyperlink" Target="https://my.zakupivli.pro/remote/dispatcher/state_purchase_view/49550686" TargetMode="External"/><Relationship Id="rId1329" Type="http://schemas.openxmlformats.org/officeDocument/2006/relationships/hyperlink" Target="https://zakupivli.pro/gov/tenders/ua-2024-09-12-010471-a/lot-4b4b3bb6233b497487c702bf630a3036" TargetMode="External"/><Relationship Id="rId35" Type="http://schemas.openxmlformats.org/officeDocument/2006/relationships/hyperlink" Target="https://my.zakupki.prom.ua/remote/dispatcher/state_purchase_view/41521877" TargetMode="External"/><Relationship Id="rId184" Type="http://schemas.openxmlformats.org/officeDocument/2006/relationships/hyperlink" Target="https://zakupki.prom.ua/gov/tenders/UA-2023-03-20-010348-a" TargetMode="External"/><Relationship Id="rId391" Type="http://schemas.openxmlformats.org/officeDocument/2006/relationships/hyperlink" Target="https://my.zakupki.prom.ua/remote/dispatcher/state_purchase_view/44101829" TargetMode="External"/><Relationship Id="rId251" Type="http://schemas.openxmlformats.org/officeDocument/2006/relationships/hyperlink" Target="https://zakupki.prom.ua/gov/tenders/UA-2023-03-30-004919-a" TargetMode="External"/><Relationship Id="rId489" Type="http://schemas.openxmlformats.org/officeDocument/2006/relationships/hyperlink" Target="https://my.zakupki.prom.ua/remote/dispatcher/state_purchase_view/45482565" TargetMode="External"/><Relationship Id="rId696" Type="http://schemas.openxmlformats.org/officeDocument/2006/relationships/hyperlink" Target="https://zakupivli.pro/gov/tenders/UA-2024-02-01-010457-a" TargetMode="External"/><Relationship Id="rId349" Type="http://schemas.openxmlformats.org/officeDocument/2006/relationships/hyperlink" Target="https://my.zakupki.prom.ua/remote/dispatcher/state_purchase_view/42556878" TargetMode="External"/><Relationship Id="rId556" Type="http://schemas.openxmlformats.org/officeDocument/2006/relationships/hyperlink" Target="https://zakupivli.pro/gov/tenders/UA-2023-12-28-008817-a" TargetMode="External"/><Relationship Id="rId763" Type="http://schemas.openxmlformats.org/officeDocument/2006/relationships/hyperlink" Target="https://zakupivli.pro/gov/tenders/UA-2024-02-02-013167-a" TargetMode="External"/><Relationship Id="rId1186" Type="http://schemas.openxmlformats.org/officeDocument/2006/relationships/hyperlink" Target="https://my.zakupivli.pro/remote/dispatcher/state_purchase_view/51920404" TargetMode="External"/><Relationship Id="rId111" Type="http://schemas.openxmlformats.org/officeDocument/2006/relationships/hyperlink" Target="https://zakupki.prom.ua/gov/tenders/UA-2023-02-08-015986-a" TargetMode="External"/><Relationship Id="rId209" Type="http://schemas.openxmlformats.org/officeDocument/2006/relationships/hyperlink" Target="https://my.zakupki.prom.ua/remote/dispatcher/state_purchase_view/41675869" TargetMode="External"/><Relationship Id="rId416" Type="http://schemas.openxmlformats.org/officeDocument/2006/relationships/hyperlink" Target="https://my.zakupki.prom.ua/remote/dispatcher/state_purchase_view/44442189" TargetMode="External"/><Relationship Id="rId970" Type="http://schemas.openxmlformats.org/officeDocument/2006/relationships/hyperlink" Target="https://my.zakupivli.pro/remote/dispatcher/state_purchase_view/49949189" TargetMode="External"/><Relationship Id="rId1046" Type="http://schemas.openxmlformats.org/officeDocument/2006/relationships/hyperlink" Target="https://zakupivli.pro/gov/tenders/UA-2024-04-09-000302-a" TargetMode="External"/><Relationship Id="rId1253" Type="http://schemas.openxmlformats.org/officeDocument/2006/relationships/hyperlink" Target="https://zakupivli.pro/gov/tenders/UA-2024-08-05-006635-a" TargetMode="External"/><Relationship Id="rId623" Type="http://schemas.openxmlformats.org/officeDocument/2006/relationships/hyperlink" Target="https://my.zakupivli.pro/remote/dispatcher/state_purchase_view/48488090" TargetMode="External"/><Relationship Id="rId830" Type="http://schemas.openxmlformats.org/officeDocument/2006/relationships/hyperlink" Target="https://my.zakupivli.pro/remote/dispatcher/state_purchase_view/49301958" TargetMode="External"/><Relationship Id="rId928" Type="http://schemas.openxmlformats.org/officeDocument/2006/relationships/hyperlink" Target="https://my.zakupivli.pro/remote/dispatcher/state_purchase_view/49691053" TargetMode="External"/><Relationship Id="rId57" Type="http://schemas.openxmlformats.org/officeDocument/2006/relationships/hyperlink" Target="https://my.zakupki.prom.ua/remote/dispatcher/state_purchase_view/41428807" TargetMode="External"/><Relationship Id="rId262" Type="http://schemas.openxmlformats.org/officeDocument/2006/relationships/hyperlink" Target="https://zakupki.prom.ua/gov/tenders/UA-2023-03-31-003446-a" TargetMode="External"/><Relationship Id="rId567" Type="http://schemas.openxmlformats.org/officeDocument/2006/relationships/hyperlink" Target="https://my.zakupivli.pro/remote/dispatcher/state_purchase_view/48114851" TargetMode="External"/><Relationship Id="rId1113" Type="http://schemas.openxmlformats.org/officeDocument/2006/relationships/hyperlink" Target="https://my.zakupivli.pro/remote/dispatcher/state_purchase_view/51180705" TargetMode="External"/><Relationship Id="rId1197" Type="http://schemas.openxmlformats.org/officeDocument/2006/relationships/hyperlink" Target="https://zakupivli.pro/gov/tenders/UA-2024-07-08-006915-a" TargetMode="External"/><Relationship Id="rId1320" Type="http://schemas.openxmlformats.org/officeDocument/2006/relationships/hyperlink" Target="https://zakupivli.pro/gov/tenders/UA-2024-09-09-007168-a/lot-49901563156c4bae92ed375affbc0b3d" TargetMode="External"/><Relationship Id="rId122" Type="http://schemas.openxmlformats.org/officeDocument/2006/relationships/hyperlink" Target="https://zakupki.prom.ua/gov/tenders/UA-2023-02-24-003521-a/lot-70199d51c2624e4ead41842be2f5db6a" TargetMode="External"/><Relationship Id="rId774" Type="http://schemas.openxmlformats.org/officeDocument/2006/relationships/hyperlink" Target="https://my.zakupivli.pro/remote/dispatcher/state_purchase_view/48971877" TargetMode="External"/><Relationship Id="rId981" Type="http://schemas.openxmlformats.org/officeDocument/2006/relationships/hyperlink" Target="https://zakupivli.pro/gov/tenders/UA-2024-03-25-001382-a" TargetMode="External"/><Relationship Id="rId1057" Type="http://schemas.openxmlformats.org/officeDocument/2006/relationships/hyperlink" Target="https://zakupivli.pro/gov/tenders/UA-2024-04-12-009467-a" TargetMode="External"/><Relationship Id="rId427" Type="http://schemas.openxmlformats.org/officeDocument/2006/relationships/hyperlink" Target="https://zakupki.prom.ua/gov/tenders/UA-2023-08-10-004148-a/lot-60095470beea46aa904181de3a644481" TargetMode="External"/><Relationship Id="rId634" Type="http://schemas.openxmlformats.org/officeDocument/2006/relationships/hyperlink" Target="https://zakupivli.pro/gov/tenders/UA-2024-01-22-007945-a" TargetMode="External"/><Relationship Id="rId841" Type="http://schemas.openxmlformats.org/officeDocument/2006/relationships/hyperlink" Target="https://zakupivli.pro/gov/tenders/UA-2024-02-20-011051-a" TargetMode="External"/><Relationship Id="rId1264" Type="http://schemas.openxmlformats.org/officeDocument/2006/relationships/hyperlink" Target="https://my.zakupivli.pro/remote/dispatcher/state_purchase_view/52605307" TargetMode="External"/><Relationship Id="rId273" Type="http://schemas.openxmlformats.org/officeDocument/2006/relationships/hyperlink" Target="https://my.zakupki.prom.ua/remote/dispatcher/state_purchase_view/41777563" TargetMode="External"/><Relationship Id="rId480" Type="http://schemas.openxmlformats.org/officeDocument/2006/relationships/hyperlink" Target="https://my.zakupki.prom.ua/remote/dispatcher/state_purchase_view/45319690" TargetMode="External"/><Relationship Id="rId701" Type="http://schemas.openxmlformats.org/officeDocument/2006/relationships/hyperlink" Target="https://zakupivli.pro/gov/tenders/UA-2024-02-01-013588-a" TargetMode="External"/><Relationship Id="rId939" Type="http://schemas.openxmlformats.org/officeDocument/2006/relationships/hyperlink" Target="https://my.zakupivli.pro/remote/dispatcher/state_purchase_view/49736995" TargetMode="External"/><Relationship Id="rId1124" Type="http://schemas.openxmlformats.org/officeDocument/2006/relationships/hyperlink" Target="https://my.zakupivli.pro/remote/dispatcher/state_purchase_view/51250880" TargetMode="External"/><Relationship Id="rId1331" Type="http://schemas.openxmlformats.org/officeDocument/2006/relationships/hyperlink" Target="https://my.zakupivli.pro/remote/dispatcher/state_purchase_view/53297243" TargetMode="External"/><Relationship Id="rId68" Type="http://schemas.openxmlformats.org/officeDocument/2006/relationships/hyperlink" Target="https://my.zakupki.prom.ua/remote/dispatcher/state_purchase_view/41401307" TargetMode="External"/><Relationship Id="rId133" Type="http://schemas.openxmlformats.org/officeDocument/2006/relationships/hyperlink" Target="https://zakupki.prom.ua/gov/tenders/UA-2023-03-03-009686-a" TargetMode="External"/><Relationship Id="rId340" Type="http://schemas.openxmlformats.org/officeDocument/2006/relationships/hyperlink" Target="https://zakupki.prom.ua/gov/tenders/UA-2023-04-27-002688-a" TargetMode="External"/><Relationship Id="rId578" Type="http://schemas.openxmlformats.org/officeDocument/2006/relationships/hyperlink" Target="https://my.zakupivli.pro/remote/dispatcher/state_purchase_view/48208212" TargetMode="External"/><Relationship Id="rId785" Type="http://schemas.openxmlformats.org/officeDocument/2006/relationships/hyperlink" Target="https://my.zakupivli.pro/remote/dispatcher/state_purchase_view/49012404" TargetMode="External"/><Relationship Id="rId992" Type="http://schemas.openxmlformats.org/officeDocument/2006/relationships/hyperlink" Target="https://my.zakupivli.pro/remote/dispatcher/state_purchase_view/49991087" TargetMode="External"/><Relationship Id="rId200" Type="http://schemas.openxmlformats.org/officeDocument/2006/relationships/hyperlink" Target="https://zakupki.prom.ua/gov/tenders/UA-2023-03-23-010947-a" TargetMode="External"/><Relationship Id="rId438" Type="http://schemas.openxmlformats.org/officeDocument/2006/relationships/hyperlink" Target="https://my.zakupki.prom.ua/remote/dispatcher/state_purchase_view/44701962" TargetMode="External"/><Relationship Id="rId645" Type="http://schemas.openxmlformats.org/officeDocument/2006/relationships/hyperlink" Target="https://zakupivli.pro/gov/tenders/UA-2024-01-23-002308-a" TargetMode="External"/><Relationship Id="rId852" Type="http://schemas.openxmlformats.org/officeDocument/2006/relationships/hyperlink" Target="https://zakupivli.pro/gov/tenders/UA-2024-02-20-008382-a" TargetMode="External"/><Relationship Id="rId1068" Type="http://schemas.openxmlformats.org/officeDocument/2006/relationships/hyperlink" Target="https://zakupivli.pro/gov/tenders/UA-2024-04-25-005173-a/lot-8ff0641e6de74e8f86042b3700b8a53f" TargetMode="External"/><Relationship Id="rId1275" Type="http://schemas.openxmlformats.org/officeDocument/2006/relationships/hyperlink" Target="https://my.zakupivli.pro/remote/dispatcher/state_purchase_view/52827119" TargetMode="External"/><Relationship Id="rId284" Type="http://schemas.openxmlformats.org/officeDocument/2006/relationships/hyperlink" Target="https://zakupki.prom.ua/gov/tenders/UA-2023-04-03-010551-a" TargetMode="External"/><Relationship Id="rId491" Type="http://schemas.openxmlformats.org/officeDocument/2006/relationships/hyperlink" Target="https://my.zakupki.prom.ua/remote/dispatcher/state_purchase_view/45483418" TargetMode="External"/><Relationship Id="rId505" Type="http://schemas.openxmlformats.org/officeDocument/2006/relationships/hyperlink" Target="https://my.zakupivli.pro/remote/dispatcher/state_purchase_view/46132051" TargetMode="External"/><Relationship Id="rId712" Type="http://schemas.openxmlformats.org/officeDocument/2006/relationships/hyperlink" Target="https://zakupivli.pro/gov/tenders/UA-2024-02-02-012973-a/lot-5deb52649e1c4ed58761c3f4b810a4d4" TargetMode="External"/><Relationship Id="rId1135" Type="http://schemas.openxmlformats.org/officeDocument/2006/relationships/hyperlink" Target="https://zakupivli.pro/gov/tenders/UA-2024-05-30-000116-a" TargetMode="External"/><Relationship Id="rId1342" Type="http://schemas.openxmlformats.org/officeDocument/2006/relationships/hyperlink" Target="https://my.zakupivli.pro/remote/dispatcher/state_purchase_view/53509367" TargetMode="External"/><Relationship Id="rId79" Type="http://schemas.openxmlformats.org/officeDocument/2006/relationships/hyperlink" Target="https://my.zakupki.prom.ua/remote/dispatcher/state_purchase_view/41328890" TargetMode="External"/><Relationship Id="rId144" Type="http://schemas.openxmlformats.org/officeDocument/2006/relationships/hyperlink" Target="https://my.zakupki.prom.ua/remote/dispatcher/state_purchase_view/41605571" TargetMode="External"/><Relationship Id="rId589" Type="http://schemas.openxmlformats.org/officeDocument/2006/relationships/hyperlink" Target="https://my.zakupivli.pro/remote/dispatcher/state_purchase_view/48292143" TargetMode="External"/><Relationship Id="rId796" Type="http://schemas.openxmlformats.org/officeDocument/2006/relationships/hyperlink" Target="https://zakupivli.pro/gov/tenders/UA-2024-02-08-001861-a" TargetMode="External"/><Relationship Id="rId1202" Type="http://schemas.openxmlformats.org/officeDocument/2006/relationships/hyperlink" Target="https://my.zakupivli.pro/remote/dispatcher/state_purchase_view/52158746" TargetMode="External"/><Relationship Id="rId351" Type="http://schemas.openxmlformats.org/officeDocument/2006/relationships/hyperlink" Target="https://my.zakupki.prom.ua/remote/dispatcher/state_purchase_view/42556155" TargetMode="External"/><Relationship Id="rId449" Type="http://schemas.openxmlformats.org/officeDocument/2006/relationships/hyperlink" Target="https://zakupki.prom.ua/gov/tenders/UA-2023-08-29-004307-a/lot-29de64d61f3c4a659508a7ed55f85965" TargetMode="External"/><Relationship Id="rId656" Type="http://schemas.openxmlformats.org/officeDocument/2006/relationships/hyperlink" Target="https://zakupivli.pro/gov/tenders/UA-2024-01-24-009975-a/lot-004106e949e24df4a3df0d3e17208f6d" TargetMode="External"/><Relationship Id="rId863" Type="http://schemas.openxmlformats.org/officeDocument/2006/relationships/hyperlink" Target="https://my.zakupivli.pro/remote/dispatcher/state_purchase_view/49345061" TargetMode="External"/><Relationship Id="rId1079" Type="http://schemas.openxmlformats.org/officeDocument/2006/relationships/hyperlink" Target="https://zakupivli.pro/gov/tenders/UA-2024-05-06-000775-a" TargetMode="External"/><Relationship Id="rId1286" Type="http://schemas.openxmlformats.org/officeDocument/2006/relationships/hyperlink" Target="https://my.zakupivli.pro/remote/dispatcher/state_purchase_view/52706129" TargetMode="External"/><Relationship Id="rId211" Type="http://schemas.openxmlformats.org/officeDocument/2006/relationships/hyperlink" Target="https://my.zakupki.prom.ua/remote/dispatcher/state_purchase_view/41649991" TargetMode="External"/><Relationship Id="rId295" Type="http://schemas.openxmlformats.org/officeDocument/2006/relationships/hyperlink" Target="https://my.zakupki.prom.ua/remote/dispatcher/state_purchase_view/41830605" TargetMode="External"/><Relationship Id="rId309" Type="http://schemas.openxmlformats.org/officeDocument/2006/relationships/hyperlink" Target="https://zakupki.prom.ua/gov/tenders/UA-2023-04-04-000133-a" TargetMode="External"/><Relationship Id="rId516" Type="http://schemas.openxmlformats.org/officeDocument/2006/relationships/hyperlink" Target="https://zakupivli.pro/gov/tenders/UA-2023-11-09-002876-a" TargetMode="External"/><Relationship Id="rId1146" Type="http://schemas.openxmlformats.org/officeDocument/2006/relationships/hyperlink" Target="https://zakupivli.pro/gov/tenders/UA-2024-06-10-003519-a" TargetMode="External"/><Relationship Id="rId723" Type="http://schemas.openxmlformats.org/officeDocument/2006/relationships/hyperlink" Target="https://my.zakupivli.pro/remote/dispatcher/state_purchase_view/48906057" TargetMode="External"/><Relationship Id="rId930" Type="http://schemas.openxmlformats.org/officeDocument/2006/relationships/hyperlink" Target="https://my.zakupivli.pro/remote/dispatcher/state_purchase_view/49689165" TargetMode="External"/><Relationship Id="rId1006" Type="http://schemas.openxmlformats.org/officeDocument/2006/relationships/hyperlink" Target="https://my.zakupivli.pro/remote/dispatcher/state_purchase_view/50131614" TargetMode="External"/><Relationship Id="rId1353" Type="http://schemas.openxmlformats.org/officeDocument/2006/relationships/hyperlink" Target="https://my.zakupivli.pro/remote/dispatcher/state_purchase_view/53577857" TargetMode="External"/><Relationship Id="rId155" Type="http://schemas.openxmlformats.org/officeDocument/2006/relationships/hyperlink" Target="https://zakupki.prom.ua/gov/tenders/UA-2023-03-10-000196-a/lot-e70ea0f5de5048daa8bb8709b9d66874" TargetMode="External"/><Relationship Id="rId362" Type="http://schemas.openxmlformats.org/officeDocument/2006/relationships/hyperlink" Target="https://zakupki.prom.ua/gov/tenders/UA-2023-05-12-007145-a" TargetMode="External"/><Relationship Id="rId1213" Type="http://schemas.openxmlformats.org/officeDocument/2006/relationships/hyperlink" Target="https://my.zakupivli.pro/remote/dispatcher/state_purchase_view/52266655" TargetMode="External"/><Relationship Id="rId1297" Type="http://schemas.openxmlformats.org/officeDocument/2006/relationships/hyperlink" Target="https://zakupivli.pro/gov/tenders/UA-2024-08-16-002910-a/lot-c6893bc9d2e647f9898277bf8dc55fab" TargetMode="External"/><Relationship Id="rId222" Type="http://schemas.openxmlformats.org/officeDocument/2006/relationships/hyperlink" Target="https://zakupki.prom.ua/gov/tenders/UA-2023-03-27-004288-a" TargetMode="External"/><Relationship Id="rId667" Type="http://schemas.openxmlformats.org/officeDocument/2006/relationships/hyperlink" Target="https://zakupivli.pro/gov/tenders/UA-2024-01-25-013828-a" TargetMode="External"/><Relationship Id="rId874" Type="http://schemas.openxmlformats.org/officeDocument/2006/relationships/hyperlink" Target="https://my.zakupivli.pro/remote/dispatcher/state_purchase_view/49362827" TargetMode="External"/><Relationship Id="rId17" Type="http://schemas.openxmlformats.org/officeDocument/2006/relationships/hyperlink" Target="https://my.zakupki.prom.ua/remote/dispatcher/state_purchase_view/39730352" TargetMode="External"/><Relationship Id="rId527" Type="http://schemas.openxmlformats.org/officeDocument/2006/relationships/hyperlink" Target="https://my.zakupivli.pro/remote/dispatcher/state_purchase_view/47164745" TargetMode="External"/><Relationship Id="rId734" Type="http://schemas.openxmlformats.org/officeDocument/2006/relationships/hyperlink" Target="https://my.zakupivli.pro/remote/dispatcher/state_purchase_view/48904066" TargetMode="External"/><Relationship Id="rId941" Type="http://schemas.openxmlformats.org/officeDocument/2006/relationships/hyperlink" Target="https://my.zakupivli.pro/remote/dispatcher/state_purchase_view/49735637" TargetMode="External"/><Relationship Id="rId1157" Type="http://schemas.openxmlformats.org/officeDocument/2006/relationships/hyperlink" Target="https://my.zakupivli.pro/remote/dispatcher/state_purchase_view/51701959" TargetMode="External"/><Relationship Id="rId1364" Type="http://schemas.openxmlformats.org/officeDocument/2006/relationships/hyperlink" Target="https://my.zakupivli.pro/remote/dispatcher/state_purchase_view/53622436" TargetMode="External"/><Relationship Id="rId70" Type="http://schemas.openxmlformats.org/officeDocument/2006/relationships/hyperlink" Target="https://my.zakupki.prom.ua/remote/dispatcher/state_purchase_view/41385337" TargetMode="External"/><Relationship Id="rId166" Type="http://schemas.openxmlformats.org/officeDocument/2006/relationships/hyperlink" Target="https://zakupki.prom.ua/gov/tenders/UA-2023-03-15-007484-a/lot-edc6c3a5c9f143a0941996a3cc36cef8" TargetMode="External"/><Relationship Id="rId373" Type="http://schemas.openxmlformats.org/officeDocument/2006/relationships/hyperlink" Target="https://my.zakupki.prom.ua/remote/dispatcher/state_purchase_view/43318727" TargetMode="External"/><Relationship Id="rId580" Type="http://schemas.openxmlformats.org/officeDocument/2006/relationships/hyperlink" Target="https://zakupivli.pro/gov/tenders/UA-2024-01-08-000900-a" TargetMode="External"/><Relationship Id="rId801" Type="http://schemas.openxmlformats.org/officeDocument/2006/relationships/hyperlink" Target="https://zakupivli.pro/gov/tenders/UA-2024-02-08-012979-a/lot-c58714133ad84545a9c959cc072316a4" TargetMode="External"/><Relationship Id="rId1017" Type="http://schemas.openxmlformats.org/officeDocument/2006/relationships/hyperlink" Target="https://my.zakupivli.pro/remote/dispatcher/state_purchase_view/50192096" TargetMode="External"/><Relationship Id="rId1224" Type="http://schemas.openxmlformats.org/officeDocument/2006/relationships/hyperlink" Target="https://zakupivli.pro/gov/tenders/UA-2024-07-23-006360-a" TargetMode="External"/><Relationship Id="rId1" Type="http://schemas.openxmlformats.org/officeDocument/2006/relationships/hyperlink" Target="https://zakupki.prom.ua/gov/tenders/UA-2022-11-08-012151-a/lot-9ee039b896a54960858560f927dd3687" TargetMode="External"/><Relationship Id="rId233" Type="http://schemas.openxmlformats.org/officeDocument/2006/relationships/hyperlink" Target="https://zakupki.prom.ua/gov/tenders/UA-2023-03-28-006365-a" TargetMode="External"/><Relationship Id="rId440" Type="http://schemas.openxmlformats.org/officeDocument/2006/relationships/hyperlink" Target="https://zakupki.prom.ua/gov/tenders/UA-2023-08-23-006676-a" TargetMode="External"/><Relationship Id="rId678" Type="http://schemas.openxmlformats.org/officeDocument/2006/relationships/hyperlink" Target="https://zakupivli.pro/gov/tenders/UA-2024-01-31-007241-a" TargetMode="External"/><Relationship Id="rId885" Type="http://schemas.openxmlformats.org/officeDocument/2006/relationships/hyperlink" Target="https://zakupivli.pro/gov/tenders/UA-2024-02-27-004245-a/lot-ffe8bed0f0154fb4b699b7235090558c" TargetMode="External"/><Relationship Id="rId1070" Type="http://schemas.openxmlformats.org/officeDocument/2006/relationships/hyperlink" Target="https://my.zakupivli.pro/remote/dispatcher/state_purchase_view/50678782" TargetMode="External"/><Relationship Id="rId28" Type="http://schemas.openxmlformats.org/officeDocument/2006/relationships/hyperlink" Target="https://zakupki.prom.ua/gov/tenders/UA-2023-02-01-009698-a" TargetMode="External"/><Relationship Id="rId300" Type="http://schemas.openxmlformats.org/officeDocument/2006/relationships/hyperlink" Target="https://my.zakupki.prom.ua/remote/dispatcher/state_purchase_view/41780913" TargetMode="External"/><Relationship Id="rId538" Type="http://schemas.openxmlformats.org/officeDocument/2006/relationships/hyperlink" Target="https://zakupivli.pro/gov/tenders/UA-2023-12-07-000379-a" TargetMode="External"/><Relationship Id="rId745" Type="http://schemas.openxmlformats.org/officeDocument/2006/relationships/hyperlink" Target="https://zakupivli.pro/gov/tenders/UA-2024-02-02-011124-a/lot-f08f3bbfaee243ae8b9e01cf1d2d9c5b" TargetMode="External"/><Relationship Id="rId952" Type="http://schemas.openxmlformats.org/officeDocument/2006/relationships/hyperlink" Target="https://my.zakupivli.pro/remote/dispatcher/state_purchase_view/49800155" TargetMode="External"/><Relationship Id="rId1168" Type="http://schemas.openxmlformats.org/officeDocument/2006/relationships/hyperlink" Target="https://my.zakupivli.pro/remote/dispatcher/state_purchase_view/51822469" TargetMode="External"/><Relationship Id="rId1375" Type="http://schemas.openxmlformats.org/officeDocument/2006/relationships/hyperlink" Target="https://my.zakupivli.pro/remote/dispatcher/state_purchase_view/53959780" TargetMode="External"/><Relationship Id="rId81" Type="http://schemas.openxmlformats.org/officeDocument/2006/relationships/hyperlink" Target="https://my.zakupki.prom.ua/remote/dispatcher/state_purchase_view/41328752" TargetMode="External"/><Relationship Id="rId177" Type="http://schemas.openxmlformats.org/officeDocument/2006/relationships/hyperlink" Target="https://zakupki.prom.ua/gov/tenders/UA-2023-03-20-011139-a" TargetMode="External"/><Relationship Id="rId384" Type="http://schemas.openxmlformats.org/officeDocument/2006/relationships/hyperlink" Target="https://my.zakupki.prom.ua/remote/dispatcher/state_purchase_view/44239848" TargetMode="External"/><Relationship Id="rId591" Type="http://schemas.openxmlformats.org/officeDocument/2006/relationships/hyperlink" Target="https://my.zakupivli.pro/remote/dispatcher/state_purchase_view/48324796" TargetMode="External"/><Relationship Id="rId605" Type="http://schemas.openxmlformats.org/officeDocument/2006/relationships/hyperlink" Target="https://my.zakupivli.pro/remote/dispatcher/state_purchase_view/48458403" TargetMode="External"/><Relationship Id="rId812" Type="http://schemas.openxmlformats.org/officeDocument/2006/relationships/hyperlink" Target="https://zakupivli.pro/gov/tenders/UA-2024-02-14-000408-a" TargetMode="External"/><Relationship Id="rId1028" Type="http://schemas.openxmlformats.org/officeDocument/2006/relationships/hyperlink" Target="https://my.zakupivli.pro/remote/dispatcher/state_purchase_view/50199730" TargetMode="External"/><Relationship Id="rId1235" Type="http://schemas.openxmlformats.org/officeDocument/2006/relationships/hyperlink" Target="https://my.zakupivli.pro/remote/dispatcher/state_purchase_view/52343625" TargetMode="External"/><Relationship Id="rId244" Type="http://schemas.openxmlformats.org/officeDocument/2006/relationships/hyperlink" Target="https://zakupki.prom.ua/gov/tenders/UA-2023-03-30-003304-a" TargetMode="External"/><Relationship Id="rId689" Type="http://schemas.openxmlformats.org/officeDocument/2006/relationships/hyperlink" Target="https://my.zakupivli.pro/remote/dispatcher/state_purchase_view/48826700" TargetMode="External"/><Relationship Id="rId896" Type="http://schemas.openxmlformats.org/officeDocument/2006/relationships/hyperlink" Target="https://my.zakupivli.pro/remote/dispatcher/state_purchase_view/49535400" TargetMode="External"/><Relationship Id="rId1081" Type="http://schemas.openxmlformats.org/officeDocument/2006/relationships/hyperlink" Target="https://zakupivli.pro/gov/tenders/UA-2024-05-06-005957-a" TargetMode="External"/><Relationship Id="rId1302" Type="http://schemas.openxmlformats.org/officeDocument/2006/relationships/hyperlink" Target="https://zakupivli.pro/gov/tenders/UA-2024-08-16-008563-a/lot-45de53746c6340e5bb1629753e326403" TargetMode="External"/><Relationship Id="rId39" Type="http://schemas.openxmlformats.org/officeDocument/2006/relationships/hyperlink" Target="https://my.zakupki.prom.ua/remote/dispatcher/state_purchase_view/41520444" TargetMode="External"/><Relationship Id="rId451" Type="http://schemas.openxmlformats.org/officeDocument/2006/relationships/hyperlink" Target="https://my.zakupki.prom.ua/remote/dispatcher/state_purchase_view/44854320" TargetMode="External"/><Relationship Id="rId549" Type="http://schemas.openxmlformats.org/officeDocument/2006/relationships/hyperlink" Target="https://my.zakupivli.pro/remote/dispatcher/state_purchase_view/48101499" TargetMode="External"/><Relationship Id="rId756" Type="http://schemas.openxmlformats.org/officeDocument/2006/relationships/hyperlink" Target="https://my.zakupivli.pro/remote/dispatcher/state_purchase_view/48908032" TargetMode="External"/><Relationship Id="rId1179" Type="http://schemas.openxmlformats.org/officeDocument/2006/relationships/hyperlink" Target="https://zakupivli.pro/gov/tenders/UA-2024-06-25-000716-a" TargetMode="External"/><Relationship Id="rId1386" Type="http://schemas.openxmlformats.org/officeDocument/2006/relationships/hyperlink" Target="https://zakupivli.pro/gov/tenders/ua-2024-10-17-014694-a" TargetMode="External"/><Relationship Id="rId104" Type="http://schemas.openxmlformats.org/officeDocument/2006/relationships/hyperlink" Target="https://my.zakupki.prom.ua/remote/dispatcher/state_purchase_view/40975514" TargetMode="External"/><Relationship Id="rId188" Type="http://schemas.openxmlformats.org/officeDocument/2006/relationships/hyperlink" Target="https://zakupki.prom.ua/gov/tenders/UA-2023-03-20-010114-a" TargetMode="External"/><Relationship Id="rId311" Type="http://schemas.openxmlformats.org/officeDocument/2006/relationships/hyperlink" Target="https://zakupki.prom.ua/gov/tenders/UA-2023-04-04-000044-a" TargetMode="External"/><Relationship Id="rId395" Type="http://schemas.openxmlformats.org/officeDocument/2006/relationships/hyperlink" Target="https://my.zakupki.prom.ua/remote/dispatcher/state_purchase_view/43867505" TargetMode="External"/><Relationship Id="rId409" Type="http://schemas.openxmlformats.org/officeDocument/2006/relationships/hyperlink" Target="https://zakupki.prom.ua/gov/tenders/UA-2023-08-03-004393-a" TargetMode="External"/><Relationship Id="rId963" Type="http://schemas.openxmlformats.org/officeDocument/2006/relationships/hyperlink" Target="https://zakupivli.pro/gov/tenders/UA-2024-03-15-009363-a/lot-8c25c7b5af6c4597a603ac45f2841127" TargetMode="External"/><Relationship Id="rId1039" Type="http://schemas.openxmlformats.org/officeDocument/2006/relationships/hyperlink" Target="https://zakupivli.pro/gov/tenders/UA-2024-04-08-004905-a" TargetMode="External"/><Relationship Id="rId1246" Type="http://schemas.openxmlformats.org/officeDocument/2006/relationships/hyperlink" Target="https://my.zakupivli.pro/remote/dispatcher/state_purchase_view/52465821" TargetMode="External"/><Relationship Id="rId92" Type="http://schemas.openxmlformats.org/officeDocument/2006/relationships/hyperlink" Target="https://my.zakupki.prom.ua/remote/dispatcher/state_purchase_view/41191613" TargetMode="External"/><Relationship Id="rId616" Type="http://schemas.openxmlformats.org/officeDocument/2006/relationships/hyperlink" Target="https://zakupivli.pro/gov/tenders/UA-2024-01-18-012259-a/lot-c8e2511ae6bb435cb115a9e6e96d80d3" TargetMode="External"/><Relationship Id="rId823" Type="http://schemas.openxmlformats.org/officeDocument/2006/relationships/hyperlink" Target="https://my.zakupivli.pro/remote/dispatcher/state_purchase_view/49305242" TargetMode="External"/><Relationship Id="rId255" Type="http://schemas.openxmlformats.org/officeDocument/2006/relationships/hyperlink" Target="https://my.zakupki.prom.ua/remote/dispatcher/state_purchase_view/41740883" TargetMode="External"/><Relationship Id="rId462" Type="http://schemas.openxmlformats.org/officeDocument/2006/relationships/hyperlink" Target="https://my.zakupki.prom.ua/remote/dispatcher/state_purchase_view/45101986" TargetMode="External"/><Relationship Id="rId1092" Type="http://schemas.openxmlformats.org/officeDocument/2006/relationships/hyperlink" Target="https://my.zakupivli.pro/remote/dispatcher/state_purchase_view/50941180" TargetMode="External"/><Relationship Id="rId1106" Type="http://schemas.openxmlformats.org/officeDocument/2006/relationships/hyperlink" Target="https://my.zakupivli.pro/remote/dispatcher/state_purchase_view/51111939" TargetMode="External"/><Relationship Id="rId1313" Type="http://schemas.openxmlformats.org/officeDocument/2006/relationships/hyperlink" Target="https://zakupivli.pro/gov/tenders/UA-2024-08-29-008281-a/lot-bbb40fd8b5e34e94ba309455cc86056c" TargetMode="External"/><Relationship Id="rId115" Type="http://schemas.openxmlformats.org/officeDocument/2006/relationships/hyperlink" Target="https://zakupki.prom.ua/gov/tenders/UA-2023-02-15-003851-a" TargetMode="External"/><Relationship Id="rId322" Type="http://schemas.openxmlformats.org/officeDocument/2006/relationships/hyperlink" Target="https://my.zakupki.prom.ua/remote/dispatcher/state_purchase_view/42175596" TargetMode="External"/><Relationship Id="rId767" Type="http://schemas.openxmlformats.org/officeDocument/2006/relationships/hyperlink" Target="https://zakupivli.pro/gov/tenders/UA-2024-02-02-013046-a" TargetMode="External"/><Relationship Id="rId974" Type="http://schemas.openxmlformats.org/officeDocument/2006/relationships/hyperlink" Target="https://zakupivli.pro/gov/tenders/UA-2024-03-25-008603-a" TargetMode="External"/><Relationship Id="rId199" Type="http://schemas.openxmlformats.org/officeDocument/2006/relationships/hyperlink" Target="https://zakupki.prom.ua/gov/tenders/UA-2023-03-23-011146-a" TargetMode="External"/><Relationship Id="rId627" Type="http://schemas.openxmlformats.org/officeDocument/2006/relationships/hyperlink" Target="https://my.zakupivli.pro/remote/dispatcher/state_purchase_view/48567018" TargetMode="External"/><Relationship Id="rId834" Type="http://schemas.openxmlformats.org/officeDocument/2006/relationships/hyperlink" Target="https://my.zakupivli.pro/remote/dispatcher/state_purchase_view/49299714" TargetMode="External"/><Relationship Id="rId1257" Type="http://schemas.openxmlformats.org/officeDocument/2006/relationships/hyperlink" Target="https://my.zakupivli.pro/remote/dispatcher/state_purchase_view/52587767" TargetMode="External"/><Relationship Id="rId266" Type="http://schemas.openxmlformats.org/officeDocument/2006/relationships/hyperlink" Target="https://zakupki.prom.ua/gov/tenders/UA-2023-03-31-001976-a" TargetMode="External"/><Relationship Id="rId473" Type="http://schemas.openxmlformats.org/officeDocument/2006/relationships/hyperlink" Target="https://my.zakupki.prom.ua/remote/dispatcher/state_purchase_view/44947327" TargetMode="External"/><Relationship Id="rId680" Type="http://schemas.openxmlformats.org/officeDocument/2006/relationships/hyperlink" Target="https://zakupivli.pro/gov/tenders/UA-2024-01-31-007341-a" TargetMode="External"/><Relationship Id="rId901" Type="http://schemas.openxmlformats.org/officeDocument/2006/relationships/hyperlink" Target="https://my.zakupivli.pro/remote/dispatcher/state_purchase_view/49571405" TargetMode="External"/><Relationship Id="rId1117" Type="http://schemas.openxmlformats.org/officeDocument/2006/relationships/hyperlink" Target="https://zakupivli.pro/gov/tenders/UA-2024-05-23-000094-a" TargetMode="External"/><Relationship Id="rId1324" Type="http://schemas.openxmlformats.org/officeDocument/2006/relationships/hyperlink" Target="https://my.zakupivli.pro/remote/dispatcher/state_purchase_view/53237037" TargetMode="External"/><Relationship Id="rId30" Type="http://schemas.openxmlformats.org/officeDocument/2006/relationships/hyperlink" Target="https://my.zakupki.prom.ua/remote/dispatcher/state_purchase_view/40518990" TargetMode="External"/><Relationship Id="rId126" Type="http://schemas.openxmlformats.org/officeDocument/2006/relationships/hyperlink" Target="https://zakupki.prom.ua/gov/tenders/UA-2023-03-02-009549-a/lot-cb15bab4ebe645cd8f89487db3b632bc" TargetMode="External"/><Relationship Id="rId333" Type="http://schemas.openxmlformats.org/officeDocument/2006/relationships/hyperlink" Target="https://my.zakupki.prom.ua/remote/dispatcher/state_purchase_view/42221724" TargetMode="External"/><Relationship Id="rId540" Type="http://schemas.openxmlformats.org/officeDocument/2006/relationships/hyperlink" Target="https://zakupivli.pro/gov/tenders/UA-2023-12-07-007786-a" TargetMode="External"/><Relationship Id="rId778" Type="http://schemas.openxmlformats.org/officeDocument/2006/relationships/hyperlink" Target="https://zakupivli.pro/gov/tenders/UA-2024-02-06-009098-a" TargetMode="External"/><Relationship Id="rId985" Type="http://schemas.openxmlformats.org/officeDocument/2006/relationships/hyperlink" Target="https://my.zakupivli.pro/remote/dispatcher/state_purchase_view/49991401" TargetMode="External"/><Relationship Id="rId1170" Type="http://schemas.openxmlformats.org/officeDocument/2006/relationships/hyperlink" Target="https://my.zakupivli.pro/remote/dispatcher/state_purchase_view/51818650" TargetMode="External"/><Relationship Id="rId638" Type="http://schemas.openxmlformats.org/officeDocument/2006/relationships/hyperlink" Target="https://my.zakupivli.pro/remote/dispatcher/state_purchase_view/48579121" TargetMode="External"/><Relationship Id="rId845" Type="http://schemas.openxmlformats.org/officeDocument/2006/relationships/hyperlink" Target="https://zakupivli.pro/gov/tenders/UA-2024-02-20-010113-a" TargetMode="External"/><Relationship Id="rId1030" Type="http://schemas.openxmlformats.org/officeDocument/2006/relationships/hyperlink" Target="https://zakupivli.pro/gov/tenders/UA-2024-04-03-011525-a" TargetMode="External"/><Relationship Id="rId1268" Type="http://schemas.openxmlformats.org/officeDocument/2006/relationships/hyperlink" Target="https://zakupivli.pro/gov/tenders/UA-2024-08-08-011072-a" TargetMode="External"/><Relationship Id="rId277" Type="http://schemas.openxmlformats.org/officeDocument/2006/relationships/hyperlink" Target="https://my.zakupki.prom.ua/remote/dispatcher/state_purchase_view/41776988" TargetMode="External"/><Relationship Id="rId400" Type="http://schemas.openxmlformats.org/officeDocument/2006/relationships/hyperlink" Target="https://zakupki.prom.ua/gov/tenders/UA-2023-07-12-001298-a" TargetMode="External"/><Relationship Id="rId484" Type="http://schemas.openxmlformats.org/officeDocument/2006/relationships/hyperlink" Target="https://zakupki.prom.ua/gov/plans/UA-P-2023-09-22-000194-b" TargetMode="External"/><Relationship Id="rId705" Type="http://schemas.openxmlformats.org/officeDocument/2006/relationships/hyperlink" Target="https://my.zakupivli.pro/remote/dispatcher/state_purchase_view/48907510" TargetMode="External"/><Relationship Id="rId1128" Type="http://schemas.openxmlformats.org/officeDocument/2006/relationships/hyperlink" Target="https://zakupivli.pro/gov/tenders/UA-2024-05-27-006318-a" TargetMode="External"/><Relationship Id="rId1335" Type="http://schemas.openxmlformats.org/officeDocument/2006/relationships/hyperlink" Target="https://zakupivli.pro/gov/tenders/ua-2024-09-13-003709-a" TargetMode="External"/><Relationship Id="rId137" Type="http://schemas.openxmlformats.org/officeDocument/2006/relationships/hyperlink" Target="https://zakupki.prom.ua/gov/tenders/UA-2023-03-06-002447-a/lot-3a8d621a9b3540369fac9ecbfa26297d" TargetMode="External"/><Relationship Id="rId344" Type="http://schemas.openxmlformats.org/officeDocument/2006/relationships/hyperlink" Target="https://zakupki.prom.ua/gov/tenders/UA-2023-05-04-010968-a" TargetMode="External"/><Relationship Id="rId691" Type="http://schemas.openxmlformats.org/officeDocument/2006/relationships/hyperlink" Target="https://my.zakupivli.pro/remote/dispatcher/state_purchase_view/48832012" TargetMode="External"/><Relationship Id="rId789" Type="http://schemas.openxmlformats.org/officeDocument/2006/relationships/hyperlink" Target="https://my.zakupivli.pro/remote/dispatcher/state_purchase_view/49027323" TargetMode="External"/><Relationship Id="rId912" Type="http://schemas.openxmlformats.org/officeDocument/2006/relationships/hyperlink" Target="https://zakupivli.pro/gov/tenders/UA-2024-03-04-003068-a" TargetMode="External"/><Relationship Id="rId996" Type="http://schemas.openxmlformats.org/officeDocument/2006/relationships/hyperlink" Target="https://my.zakupivli.pro/remote/dispatcher/state_purchase_view/49990340" TargetMode="External"/><Relationship Id="rId41" Type="http://schemas.openxmlformats.org/officeDocument/2006/relationships/hyperlink" Target="https://my.zakupki.prom.ua/remote/dispatcher/state_purchase_view/41520214" TargetMode="External"/><Relationship Id="rId551" Type="http://schemas.openxmlformats.org/officeDocument/2006/relationships/hyperlink" Target="https://my.zakupivli.pro/remote/dispatcher/state_purchase_view/48103321" TargetMode="External"/><Relationship Id="rId649" Type="http://schemas.openxmlformats.org/officeDocument/2006/relationships/hyperlink" Target="https://my.zakupivli.pro/remote/dispatcher/state_purchase_view/48638355" TargetMode="External"/><Relationship Id="rId856" Type="http://schemas.openxmlformats.org/officeDocument/2006/relationships/hyperlink" Target="https://my.zakupivli.pro/remote/dispatcher/state_purchase_view/49312342" TargetMode="External"/><Relationship Id="rId1181" Type="http://schemas.openxmlformats.org/officeDocument/2006/relationships/hyperlink" Target="https://zakupivli.pro/gov/tenders/UA-2024-06-25-000567-a" TargetMode="External"/><Relationship Id="rId1279" Type="http://schemas.openxmlformats.org/officeDocument/2006/relationships/hyperlink" Target="https://my.zakupivli.pro/remote/dispatcher/state_purchase_view/52749428" TargetMode="External"/><Relationship Id="rId190" Type="http://schemas.openxmlformats.org/officeDocument/2006/relationships/hyperlink" Target="https://zakupki.prom.ua/gov/tenders/UA-2023-03-20-010028-a" TargetMode="External"/><Relationship Id="rId204" Type="http://schemas.openxmlformats.org/officeDocument/2006/relationships/hyperlink" Target="https://zakupki.prom.ua/gov/tenders/UA-2023-03-23-010434-a" TargetMode="External"/><Relationship Id="rId288" Type="http://schemas.openxmlformats.org/officeDocument/2006/relationships/hyperlink" Target="https://zakupki.prom.ua/gov/tenders/UA-2023-04-04-000049-a" TargetMode="External"/><Relationship Id="rId411" Type="http://schemas.openxmlformats.org/officeDocument/2006/relationships/hyperlink" Target="https://zakupki.prom.ua/gov/tenders/UA-2023-08-01-000893-a/lot-746cdfb4e2ef4d19877b6e765de0c497" TargetMode="External"/><Relationship Id="rId509" Type="http://schemas.openxmlformats.org/officeDocument/2006/relationships/hyperlink" Target="https://my.zakupivli.pro/remote/dispatcher/state_purchase_view/46171200" TargetMode="External"/><Relationship Id="rId1041" Type="http://schemas.openxmlformats.org/officeDocument/2006/relationships/hyperlink" Target="https://my.zakupivli.pro/remote/dispatcher/state_purchase_view/50293396" TargetMode="External"/><Relationship Id="rId1139" Type="http://schemas.openxmlformats.org/officeDocument/2006/relationships/hyperlink" Target="https://zakupivli.pro/gov/tenders/UA-2024-05-31-006948-a" TargetMode="External"/><Relationship Id="rId1346" Type="http://schemas.openxmlformats.org/officeDocument/2006/relationships/hyperlink" Target="https://my.zakupivli.pro/remote/dispatcher/state_purchase_view/53490995" TargetMode="External"/><Relationship Id="rId495" Type="http://schemas.openxmlformats.org/officeDocument/2006/relationships/hyperlink" Target="https://my.zakupki.prom.ua/remote/dispatcher/state_purchase_view/45589939" TargetMode="External"/><Relationship Id="rId716" Type="http://schemas.openxmlformats.org/officeDocument/2006/relationships/hyperlink" Target="https://zakupivli.pro/gov/tenders/UA-2024-02-02-012574-a" TargetMode="External"/><Relationship Id="rId923" Type="http://schemas.openxmlformats.org/officeDocument/2006/relationships/hyperlink" Target="https://zakupivli.pro/gov/tenders/UA-2024-03-06-001512-a" TargetMode="External"/><Relationship Id="rId52" Type="http://schemas.openxmlformats.org/officeDocument/2006/relationships/hyperlink" Target="https://my.zakupki.prom.ua/remote/dispatcher/state_purchase_view/41510975" TargetMode="External"/><Relationship Id="rId148" Type="http://schemas.openxmlformats.org/officeDocument/2006/relationships/hyperlink" Target="https://zakupki.prom.ua/gov/tenders/UA-2023-03-10-003712-a/lot-2fc16a5621d1407d99408bfe1387c23f" TargetMode="External"/><Relationship Id="rId355" Type="http://schemas.openxmlformats.org/officeDocument/2006/relationships/hyperlink" Target="https://my.zakupki.prom.ua/remote/dispatcher/state_purchase_view/42505239" TargetMode="External"/><Relationship Id="rId562" Type="http://schemas.openxmlformats.org/officeDocument/2006/relationships/hyperlink" Target="https://zakupivli.pro/gov/tenders/UA-2023-12-28-009421-a" TargetMode="External"/><Relationship Id="rId1192" Type="http://schemas.openxmlformats.org/officeDocument/2006/relationships/hyperlink" Target="https://zakupivli.pro/gov/tenders/UA-2024-07-03-002336-a" TargetMode="External"/><Relationship Id="rId1206" Type="http://schemas.openxmlformats.org/officeDocument/2006/relationships/hyperlink" Target="https://my.zakupivli.pro/remote/dispatcher/state_purchase_view/52186008" TargetMode="External"/><Relationship Id="rId215" Type="http://schemas.openxmlformats.org/officeDocument/2006/relationships/hyperlink" Target="https://my.zakupki.prom.ua/remote/dispatcher/state_purchase_view/41645351" TargetMode="External"/><Relationship Id="rId422" Type="http://schemas.openxmlformats.org/officeDocument/2006/relationships/hyperlink" Target="https://my.zakupki.prom.ua/remote/dispatcher/state_purchase_view/44396461" TargetMode="External"/><Relationship Id="rId867" Type="http://schemas.openxmlformats.org/officeDocument/2006/relationships/hyperlink" Target="https://zakupivli.pro/gov/tenders/UA-2024-02-22-001148-a" TargetMode="External"/><Relationship Id="rId1052" Type="http://schemas.openxmlformats.org/officeDocument/2006/relationships/hyperlink" Target="https://zakupivli.pro/gov/tenders/UA-2024-04-10-010420-a/lot-e271c08ebeb94133bfb9152f7f8c743e" TargetMode="External"/><Relationship Id="rId299" Type="http://schemas.openxmlformats.org/officeDocument/2006/relationships/hyperlink" Target="https://my.zakupki.prom.ua/remote/dispatcher/state_purchase_view/41781166" TargetMode="External"/><Relationship Id="rId727" Type="http://schemas.openxmlformats.org/officeDocument/2006/relationships/hyperlink" Target="https://zakupivli.pro/gov/tenders/UA-2024-02-02-012110-a/lot-7f2e5f1b2215481f82591706fceb8001" TargetMode="External"/><Relationship Id="rId934" Type="http://schemas.openxmlformats.org/officeDocument/2006/relationships/hyperlink" Target="https://zakupivli.pro/gov/tenders/UA-2024-03-11-000147-a" TargetMode="External"/><Relationship Id="rId1357" Type="http://schemas.openxmlformats.org/officeDocument/2006/relationships/hyperlink" Target="https://my.zakupivli.pro/remote/dispatcher/state_purchase_view/53556454" TargetMode="External"/><Relationship Id="rId63" Type="http://schemas.openxmlformats.org/officeDocument/2006/relationships/hyperlink" Target="https://my.zakupki.prom.ua/remote/dispatcher/state_purchase_view/41426867" TargetMode="External"/><Relationship Id="rId159" Type="http://schemas.openxmlformats.org/officeDocument/2006/relationships/hyperlink" Target="https://zakupki.prom.ua/gov/tenders/UA-2023-03-14-007942-a" TargetMode="External"/><Relationship Id="rId366" Type="http://schemas.openxmlformats.org/officeDocument/2006/relationships/hyperlink" Target="https://my.zakupki.prom.ua/remote/dispatcher/state_purchase_view/43050145" TargetMode="External"/><Relationship Id="rId573" Type="http://schemas.openxmlformats.org/officeDocument/2006/relationships/hyperlink" Target="https://my.zakupivli.pro/remote/dispatcher/state_purchase_view/48185148" TargetMode="External"/><Relationship Id="rId780" Type="http://schemas.openxmlformats.org/officeDocument/2006/relationships/hyperlink" Target="https://zakupivli.pro/gov/tenders/UA-2024-02-06-009098-a" TargetMode="External"/><Relationship Id="rId1217" Type="http://schemas.openxmlformats.org/officeDocument/2006/relationships/hyperlink" Target="https://zakupivli.pro/gov/tenders/UA-2024-07-22-001735-a" TargetMode="External"/><Relationship Id="rId226" Type="http://schemas.openxmlformats.org/officeDocument/2006/relationships/hyperlink" Target="https://zakupki.prom.ua/gov/tenders/UA-2023-03-28-005807-a" TargetMode="External"/><Relationship Id="rId433" Type="http://schemas.openxmlformats.org/officeDocument/2006/relationships/hyperlink" Target="https://zakupki.prom.ua/gov/tenders/UA-2023-08-15-005675-a/lot-e037d4ca0fec46879f3d99f83852f7e2" TargetMode="External"/><Relationship Id="rId878" Type="http://schemas.openxmlformats.org/officeDocument/2006/relationships/hyperlink" Target="https://zakupivli.pro/gov/tenders/UA-2024-02-23-002262-a" TargetMode="External"/><Relationship Id="rId1063" Type="http://schemas.openxmlformats.org/officeDocument/2006/relationships/hyperlink" Target="https://zakupivli.pro/gov/tenders/UA-2024-04-18-012162-a/lot-0e3b9723f71d48d78613891998020cd8" TargetMode="External"/><Relationship Id="rId1270" Type="http://schemas.openxmlformats.org/officeDocument/2006/relationships/hyperlink" Target="https://my.zakupivli.pro/remote/dispatcher/state_purchase_view/52855486" TargetMode="External"/><Relationship Id="rId640" Type="http://schemas.openxmlformats.org/officeDocument/2006/relationships/hyperlink" Target="https://my.zakupivli.pro/remote/dispatcher/state_purchase_view/48579121" TargetMode="External"/><Relationship Id="rId738" Type="http://schemas.openxmlformats.org/officeDocument/2006/relationships/hyperlink" Target="https://zakupivli.pro/gov/tenders/UA-2024-02-02-011459-a" TargetMode="External"/><Relationship Id="rId945" Type="http://schemas.openxmlformats.org/officeDocument/2006/relationships/hyperlink" Target="https://zakupivli.pro/gov/tenders/UA-2024-03-12-008558-a" TargetMode="External"/><Relationship Id="rId1368" Type="http://schemas.openxmlformats.org/officeDocument/2006/relationships/hyperlink" Target="https://my.zakupivli.pro/remote/dispatcher/state_purchase_view/53763368" TargetMode="External"/><Relationship Id="rId74" Type="http://schemas.openxmlformats.org/officeDocument/2006/relationships/hyperlink" Target="https://my.zakupki.prom.ua/remote/dispatcher/state_purchase_view/41336632" TargetMode="External"/><Relationship Id="rId377" Type="http://schemas.openxmlformats.org/officeDocument/2006/relationships/hyperlink" Target="https://zakupki.prom.ua/gov/tenders/UA-2023-06-15-008920-a" TargetMode="External"/><Relationship Id="rId500" Type="http://schemas.openxmlformats.org/officeDocument/2006/relationships/hyperlink" Target="https://zakupivli.pro/gov/tenders/UA-2023-10-10-013153-a" TargetMode="External"/><Relationship Id="rId584" Type="http://schemas.openxmlformats.org/officeDocument/2006/relationships/hyperlink" Target="https://my.zakupivli.pro/remote/dispatcher/state_purchase_view/48217755" TargetMode="External"/><Relationship Id="rId805" Type="http://schemas.openxmlformats.org/officeDocument/2006/relationships/hyperlink" Target="https://zakupivli.pro/gov/tenders/UA-2024-02-08-013211-a/lot-11eae538e2d8458fb9212bf62078e3d5" TargetMode="External"/><Relationship Id="rId1130" Type="http://schemas.openxmlformats.org/officeDocument/2006/relationships/hyperlink" Target="https://zakupivli.pro/gov/tenders/UA-2024-05-27-006163-a" TargetMode="External"/><Relationship Id="rId1228" Type="http://schemas.openxmlformats.org/officeDocument/2006/relationships/hyperlink" Target="https://my.zakupivli.pro/remote/dispatcher/state_purchase_view/52315339" TargetMode="External"/><Relationship Id="rId5" Type="http://schemas.openxmlformats.org/officeDocument/2006/relationships/hyperlink" Target="https://zakupki.prom.ua/gov/tenders/UA-2022-11-09-012276-a" TargetMode="External"/><Relationship Id="rId237" Type="http://schemas.openxmlformats.org/officeDocument/2006/relationships/hyperlink" Target="https://my.zakupki.prom.ua/remote/dispatcher/state_purchase_view/41720512" TargetMode="External"/><Relationship Id="rId791" Type="http://schemas.openxmlformats.org/officeDocument/2006/relationships/hyperlink" Target="https://my.zakupivli.pro/remote/dispatcher/state_purchase_view/49026308" TargetMode="External"/><Relationship Id="rId889" Type="http://schemas.openxmlformats.org/officeDocument/2006/relationships/hyperlink" Target="https://my.zakupivli.pro/remote/dispatcher/state_purchase_view/49472296" TargetMode="External"/><Relationship Id="rId1074" Type="http://schemas.openxmlformats.org/officeDocument/2006/relationships/hyperlink" Target="https://my.zakupivli.pro/remote/dispatcher/state_purchase_view/50747236" TargetMode="External"/><Relationship Id="rId444" Type="http://schemas.openxmlformats.org/officeDocument/2006/relationships/hyperlink" Target="https://my.zakupki.prom.ua/remote/dispatcher/state_purchase_view/44902990" TargetMode="External"/><Relationship Id="rId651" Type="http://schemas.openxmlformats.org/officeDocument/2006/relationships/hyperlink" Target="https://my.zakupivli.pro/remote/dispatcher/state_purchase_view/48638355" TargetMode="External"/><Relationship Id="rId749" Type="http://schemas.openxmlformats.org/officeDocument/2006/relationships/hyperlink" Target="https://my.zakupivli.pro/remote/dispatcher/state_purchase_view/48880326" TargetMode="External"/><Relationship Id="rId1281" Type="http://schemas.openxmlformats.org/officeDocument/2006/relationships/hyperlink" Target="https://my.zakupivli.pro/remote/dispatcher/state_purchase_view/52758416" TargetMode="External"/><Relationship Id="rId1379" Type="http://schemas.openxmlformats.org/officeDocument/2006/relationships/hyperlink" Target="https://zakupivli.pro/gov/tenders/ua-2024-10-16-012402-a" TargetMode="External"/><Relationship Id="rId290" Type="http://schemas.openxmlformats.org/officeDocument/2006/relationships/hyperlink" Target="https://zakupki.prom.ua/gov/tenders/UA-2023-04-04-000406-a" TargetMode="External"/><Relationship Id="rId304" Type="http://schemas.openxmlformats.org/officeDocument/2006/relationships/hyperlink" Target="https://my.zakupki.prom.ua/remote/dispatcher/state_purchase_view/41779380" TargetMode="External"/><Relationship Id="rId388" Type="http://schemas.openxmlformats.org/officeDocument/2006/relationships/hyperlink" Target="https://my.zakupki.prom.ua/remote/dispatcher/state_purchase_view/44182962" TargetMode="External"/><Relationship Id="rId511" Type="http://schemas.openxmlformats.org/officeDocument/2006/relationships/hyperlink" Target="https://zakupivli.pro/gov/tenders/UA-2023-10-25-014028-a" TargetMode="External"/><Relationship Id="rId609" Type="http://schemas.openxmlformats.org/officeDocument/2006/relationships/hyperlink" Target="https://my.zakupivli.pro/remote/dispatcher/state_purchase_view/48459984" TargetMode="External"/><Relationship Id="rId956" Type="http://schemas.openxmlformats.org/officeDocument/2006/relationships/hyperlink" Target="https://zakupivli.pro/gov/tenders/UA-2024-03-14-009075-a" TargetMode="External"/><Relationship Id="rId1141" Type="http://schemas.openxmlformats.org/officeDocument/2006/relationships/hyperlink" Target="https://my.zakupivli.pro/remote/dispatcher/state_purchase_view/51397532" TargetMode="External"/><Relationship Id="rId1239" Type="http://schemas.openxmlformats.org/officeDocument/2006/relationships/hyperlink" Target="https://zakupivli.pro/gov/tenders/UA-2024-07-25-002699-a" TargetMode="External"/><Relationship Id="rId85" Type="http://schemas.openxmlformats.org/officeDocument/2006/relationships/hyperlink" Target="https://my.zakupki.prom.ua/remote/dispatcher/state_purchase_view/41234599" TargetMode="External"/><Relationship Id="rId150" Type="http://schemas.openxmlformats.org/officeDocument/2006/relationships/hyperlink" Target="https://zakupki.prom.ua/gov/tenders/UA-2023-03-10-000312-a/lot-689cc8606a08419eb717148a960b8e1c" TargetMode="External"/><Relationship Id="rId595" Type="http://schemas.openxmlformats.org/officeDocument/2006/relationships/hyperlink" Target="https://zakupivli.pro/gov/tenders/UA-2024-01-13-000371-a" TargetMode="External"/><Relationship Id="rId816" Type="http://schemas.openxmlformats.org/officeDocument/2006/relationships/hyperlink" Target="https://my.zakupivli.pro/remote/dispatcher/state_purchase_view/49193482" TargetMode="External"/><Relationship Id="rId1001" Type="http://schemas.openxmlformats.org/officeDocument/2006/relationships/hyperlink" Target="https://zakupivli.pro/gov/tenders/UA-2024-03-25-000171-a" TargetMode="External"/><Relationship Id="rId248" Type="http://schemas.openxmlformats.org/officeDocument/2006/relationships/hyperlink" Target="https://zakupki.prom.ua/gov/tenders/UA-2023-03-30-002930-a" TargetMode="External"/><Relationship Id="rId455" Type="http://schemas.openxmlformats.org/officeDocument/2006/relationships/hyperlink" Target="https://zakupki.prom.ua/gov/tenders/UA-2023-08-31-001699-a" TargetMode="External"/><Relationship Id="rId662" Type="http://schemas.openxmlformats.org/officeDocument/2006/relationships/hyperlink" Target="https://my.zakupivli.pro/remote/dispatcher/state_purchase_view/48686589" TargetMode="External"/><Relationship Id="rId1085" Type="http://schemas.openxmlformats.org/officeDocument/2006/relationships/hyperlink" Target="https://zakupivli.pro/gov/tenders/UA-2024-05-08-000784-a" TargetMode="External"/><Relationship Id="rId1292" Type="http://schemas.openxmlformats.org/officeDocument/2006/relationships/hyperlink" Target="https://zakupivli.pro/gov/tenders/UA-2024-08-22-003941-a" TargetMode="External"/><Relationship Id="rId1306" Type="http://schemas.openxmlformats.org/officeDocument/2006/relationships/hyperlink" Target="https://zakupivli.pro/gov/tenders/UA-2024-08-14-008653-a" TargetMode="External"/><Relationship Id="rId12" Type="http://schemas.openxmlformats.org/officeDocument/2006/relationships/hyperlink" Target="https://zakupki.prom.ua/gov/tenders/UA-2022-11-10-012027-a/lot-27d3e88358ac4dacaa9e6a5bedcc6f6a" TargetMode="External"/><Relationship Id="rId108" Type="http://schemas.openxmlformats.org/officeDocument/2006/relationships/hyperlink" Target="https://my.zakupki.prom.ua/remote/dispatcher/state_purchase_view/40865081" TargetMode="External"/><Relationship Id="rId315" Type="http://schemas.openxmlformats.org/officeDocument/2006/relationships/hyperlink" Target="https://zakupki.prom.ua/gov/tenders/UA-2023-04-07-001645-a/lot-5e7b108dfd3a4c3c94c9a7185a2cf0c2" TargetMode="External"/><Relationship Id="rId522" Type="http://schemas.openxmlformats.org/officeDocument/2006/relationships/hyperlink" Target="https://zakupivli.pro/gov/tenders/UA-2023-11-28-012959-a" TargetMode="External"/><Relationship Id="rId967" Type="http://schemas.openxmlformats.org/officeDocument/2006/relationships/hyperlink" Target="https://zakupivli.pro/gov/tenders/UA-2024-03-18-007381-a" TargetMode="External"/><Relationship Id="rId1152" Type="http://schemas.openxmlformats.org/officeDocument/2006/relationships/hyperlink" Target="https://my.zakupivli.pro/remote/dispatcher/state_purchase_view/51621292" TargetMode="External"/><Relationship Id="rId96" Type="http://schemas.openxmlformats.org/officeDocument/2006/relationships/hyperlink" Target="https://my.zakupki.prom.ua/remote/dispatcher/state_purchase_view/41189546" TargetMode="External"/><Relationship Id="rId161" Type="http://schemas.openxmlformats.org/officeDocument/2006/relationships/hyperlink" Target="https://zakupki.prom.ua/gov/tenders/UA-2023-03-14-000978-a/lot-9b0d240801f2413e8585340420e28304" TargetMode="External"/><Relationship Id="rId399" Type="http://schemas.openxmlformats.org/officeDocument/2006/relationships/hyperlink" Target="https://zakupki.prom.ua/gov/tenders/UA-2023-07-12-001298-a" TargetMode="External"/><Relationship Id="rId827" Type="http://schemas.openxmlformats.org/officeDocument/2006/relationships/hyperlink" Target="https://my.zakupivli.pro/remote/dispatcher/state_purchase_view/49303427" TargetMode="External"/><Relationship Id="rId1012" Type="http://schemas.openxmlformats.org/officeDocument/2006/relationships/hyperlink" Target="https://zakupivli.pro/gov/tenders/UA-2024-04-01-005080-a" TargetMode="External"/><Relationship Id="rId259" Type="http://schemas.openxmlformats.org/officeDocument/2006/relationships/hyperlink" Target="https://my.zakupki.prom.ua/remote/dispatcher/state_purchase_view/41737679" TargetMode="External"/><Relationship Id="rId466" Type="http://schemas.openxmlformats.org/officeDocument/2006/relationships/hyperlink" Target="https://my.zakupki.prom.ua/remote/dispatcher/state_purchase_view/44982124" TargetMode="External"/><Relationship Id="rId673" Type="http://schemas.openxmlformats.org/officeDocument/2006/relationships/hyperlink" Target="https://my.zakupivli.pro/remote/dispatcher/state_purchase_view/48742399" TargetMode="External"/><Relationship Id="rId880" Type="http://schemas.openxmlformats.org/officeDocument/2006/relationships/hyperlink" Target="https://my.zakupivli.pro/remote/dispatcher/state_purchase_view/49407849" TargetMode="External"/><Relationship Id="rId1096" Type="http://schemas.openxmlformats.org/officeDocument/2006/relationships/hyperlink" Target="https://zakupivli.pro/gov/tenders/UA-2024-05-10-008137-a" TargetMode="External"/><Relationship Id="rId1317" Type="http://schemas.openxmlformats.org/officeDocument/2006/relationships/hyperlink" Target="https://zakupivli.pro/gov/tenders/UA-2024-09-06-000103-a" TargetMode="External"/><Relationship Id="rId23" Type="http://schemas.openxmlformats.org/officeDocument/2006/relationships/hyperlink" Target="https://zakupki.prom.ua/gov/tenders/UA-2023-01-17-001173-a" TargetMode="External"/><Relationship Id="rId119" Type="http://schemas.openxmlformats.org/officeDocument/2006/relationships/hyperlink" Target="https://zakupki.prom.ua/gov/tenders/UA-2023-02-20-013114-a" TargetMode="External"/><Relationship Id="rId326" Type="http://schemas.openxmlformats.org/officeDocument/2006/relationships/hyperlink" Target="https://zakupki.prom.ua/gov/tenders/UA-2023-04-25-007048-a/lot-91069dccfabd49dfaece71f560c7f851" TargetMode="External"/><Relationship Id="rId533" Type="http://schemas.openxmlformats.org/officeDocument/2006/relationships/hyperlink" Target="https://my.zakupivli.pro/remote/dispatcher/state_purchase_view/47307414" TargetMode="External"/><Relationship Id="rId978" Type="http://schemas.openxmlformats.org/officeDocument/2006/relationships/hyperlink" Target="https://my.zakupivli.pro/remote/dispatcher/state_purchase_view/49993314" TargetMode="External"/><Relationship Id="rId1163" Type="http://schemas.openxmlformats.org/officeDocument/2006/relationships/hyperlink" Target="https://my.zakupivli.pro/remote/dispatcher/state_purchase_view/51759838" TargetMode="External"/><Relationship Id="rId1370" Type="http://schemas.openxmlformats.org/officeDocument/2006/relationships/hyperlink" Target="https://zakupivli.pro/gov/tenders/ua-2024-10-03-012179-a/lot-224b3e3103c845148449157ba432a748" TargetMode="External"/><Relationship Id="rId740" Type="http://schemas.openxmlformats.org/officeDocument/2006/relationships/hyperlink" Target="https://my.zakupivli.pro/remote/dispatcher/state_purchase_view/48903877" TargetMode="External"/><Relationship Id="rId838" Type="http://schemas.openxmlformats.org/officeDocument/2006/relationships/hyperlink" Target="https://zakupivli.pro/gov/tenders/UA-2024-02-20-011652-a" TargetMode="External"/><Relationship Id="rId1023" Type="http://schemas.openxmlformats.org/officeDocument/2006/relationships/hyperlink" Target="https://zakupivli.pro/gov/tenders/UA-2024-04-03-007759-a" TargetMode="External"/><Relationship Id="rId172" Type="http://schemas.openxmlformats.org/officeDocument/2006/relationships/hyperlink" Target="https://zakupki.prom.ua/gov/tenders/UA-2023-03-15-006643-a/lot-180bdd35deb848879dd33002934b78b7" TargetMode="External"/><Relationship Id="rId477" Type="http://schemas.openxmlformats.org/officeDocument/2006/relationships/hyperlink" Target="https://zakupki.prom.ua/gov/tenders/UA-2023-09-18-004898-a" TargetMode="External"/><Relationship Id="rId600" Type="http://schemas.openxmlformats.org/officeDocument/2006/relationships/hyperlink" Target="https://my.zakupivli.pro/remote/dispatcher/state_purchase_view/48409206" TargetMode="External"/><Relationship Id="rId684" Type="http://schemas.openxmlformats.org/officeDocument/2006/relationships/hyperlink" Target="https://zakupivli.pro/gov/tenders/UA-2024-01-31-007699-a" TargetMode="External"/><Relationship Id="rId1230" Type="http://schemas.openxmlformats.org/officeDocument/2006/relationships/hyperlink" Target="https://zakupivli.pro/gov/tenders/UA-2024-07-24-001383-a" TargetMode="External"/><Relationship Id="rId1328" Type="http://schemas.openxmlformats.org/officeDocument/2006/relationships/hyperlink" Target="https://zakupivli.pro/gov/tenders/ua-2024-09-12-009706-a/lot-b4c1da4dfc3f4311834341bd6131103a" TargetMode="External"/><Relationship Id="rId337" Type="http://schemas.openxmlformats.org/officeDocument/2006/relationships/hyperlink" Target="https://zakupki.prom.ua/gov/tenders/UA-2023-04-27-001496-a" TargetMode="External"/><Relationship Id="rId891" Type="http://schemas.openxmlformats.org/officeDocument/2006/relationships/hyperlink" Target="https://zakupivli.pro/gov/tenders/UA-2024-02-28-002778-a/lot-7e7d7871dd1d422facc0d678d34387f7" TargetMode="External"/><Relationship Id="rId905" Type="http://schemas.openxmlformats.org/officeDocument/2006/relationships/hyperlink" Target="https://my.zakupivli.pro/remote/dispatcher/state_purchase_view/49553110" TargetMode="External"/><Relationship Id="rId989" Type="http://schemas.openxmlformats.org/officeDocument/2006/relationships/hyperlink" Target="https://zakupivli.pro/gov/tenders/UA-2024-03-25-000827-a" TargetMode="External"/><Relationship Id="rId34" Type="http://schemas.openxmlformats.org/officeDocument/2006/relationships/hyperlink" Target="https://my.zakupki.prom.ua/remote/dispatcher/state_purchase_view/41548910" TargetMode="External"/><Relationship Id="rId544" Type="http://schemas.openxmlformats.org/officeDocument/2006/relationships/hyperlink" Target="https://zakupivli.pro/gov/tenders/UA-2023-12-21-014486-a/lot-02a54ebb58694dfb9f557643406e227e" TargetMode="External"/><Relationship Id="rId751" Type="http://schemas.openxmlformats.org/officeDocument/2006/relationships/hyperlink" Target="https://zakupivli.pro/gov/tenders/UA-2024-02-02-012790-a" TargetMode="External"/><Relationship Id="rId849" Type="http://schemas.openxmlformats.org/officeDocument/2006/relationships/hyperlink" Target="https://zakupivli.pro/gov/tenders/UA-2024-02-20-009222-a" TargetMode="External"/><Relationship Id="rId1174" Type="http://schemas.openxmlformats.org/officeDocument/2006/relationships/hyperlink" Target="https://my.zakupivli.pro/remote/dispatcher/state_purchase_view/51817090" TargetMode="External"/><Relationship Id="rId1381" Type="http://schemas.openxmlformats.org/officeDocument/2006/relationships/hyperlink" Target="https://my.zakupivli.pro/remote/dispatcher/state_purchase_view/54094727" TargetMode="External"/><Relationship Id="rId183" Type="http://schemas.openxmlformats.org/officeDocument/2006/relationships/hyperlink" Target="https://zakupki.prom.ua/gov/tenders/UA-2023-03-20-010365-a" TargetMode="External"/><Relationship Id="rId390" Type="http://schemas.openxmlformats.org/officeDocument/2006/relationships/hyperlink" Target="https://my.zakupki.prom.ua/remote/dispatcher/state_purchase_view/44105193" TargetMode="External"/><Relationship Id="rId404" Type="http://schemas.openxmlformats.org/officeDocument/2006/relationships/hyperlink" Target="https://zakupki.prom.ua/gov/tenders/UA-2023-07-27-007665-a" TargetMode="External"/><Relationship Id="rId611" Type="http://schemas.openxmlformats.org/officeDocument/2006/relationships/hyperlink" Target="https://my.zakupivli.pro/remote/dispatcher/state_purchase_view/48461006" TargetMode="External"/><Relationship Id="rId1034" Type="http://schemas.openxmlformats.org/officeDocument/2006/relationships/hyperlink" Target="https://my.zakupivli.pro/remote/dispatcher/state_purchase_view/50221480" TargetMode="External"/><Relationship Id="rId1241" Type="http://schemas.openxmlformats.org/officeDocument/2006/relationships/hyperlink" Target="https://zakupivli.pro/gov/tenders/UA-2024-07-25-003656-a" TargetMode="External"/><Relationship Id="rId1339" Type="http://schemas.openxmlformats.org/officeDocument/2006/relationships/hyperlink" Target="https://my.zakupivli.pro/remote/dispatcher/state_purchase_view/53451774" TargetMode="External"/><Relationship Id="rId250" Type="http://schemas.openxmlformats.org/officeDocument/2006/relationships/hyperlink" Target="https://zakupki.prom.ua/gov/tenders/UA-2023-03-30-002711-a" TargetMode="External"/><Relationship Id="rId488" Type="http://schemas.openxmlformats.org/officeDocument/2006/relationships/hyperlink" Target="https://zakupki.prom.ua/gov/tenders/UA-2023-09-25-008718-a" TargetMode="External"/><Relationship Id="rId695" Type="http://schemas.openxmlformats.org/officeDocument/2006/relationships/hyperlink" Target="https://my.zakupivli.pro/remote/dispatcher/state_purchase_view/48865177" TargetMode="External"/><Relationship Id="rId709" Type="http://schemas.openxmlformats.org/officeDocument/2006/relationships/hyperlink" Target="https://my.zakupivli.pro/remote/dispatcher/state_purchase_view/48907505" TargetMode="External"/><Relationship Id="rId916" Type="http://schemas.openxmlformats.org/officeDocument/2006/relationships/hyperlink" Target="https://my.zakupivli.pro/remote/dispatcher/state_purchase_view/49581286" TargetMode="External"/><Relationship Id="rId1101" Type="http://schemas.openxmlformats.org/officeDocument/2006/relationships/hyperlink" Target="https://zakupivli.pro/gov/tenders/UA-2024-05-13-000046-a" TargetMode="External"/><Relationship Id="rId45" Type="http://schemas.openxmlformats.org/officeDocument/2006/relationships/hyperlink" Target="https://my.zakupki.prom.ua/remote/dispatcher/state_purchase_view/41519753" TargetMode="External"/><Relationship Id="rId110" Type="http://schemas.openxmlformats.org/officeDocument/2006/relationships/hyperlink" Target="https://my.zakupki.prom.ua/remote/dispatcher/state_purchase_view/40719635" TargetMode="External"/><Relationship Id="rId348" Type="http://schemas.openxmlformats.org/officeDocument/2006/relationships/hyperlink" Target="https://my.zakupki.prom.ua/remote/dispatcher/state_purchase_view/42596750" TargetMode="External"/><Relationship Id="rId555" Type="http://schemas.openxmlformats.org/officeDocument/2006/relationships/hyperlink" Target="https://zakupivli.pro/gov/tenders/UA-2023-12-28-009035-a" TargetMode="External"/><Relationship Id="rId762" Type="http://schemas.openxmlformats.org/officeDocument/2006/relationships/hyperlink" Target="https://zakupivli.pro/gov/tenders/UA-2024-02-02-013167-a" TargetMode="External"/><Relationship Id="rId1185" Type="http://schemas.openxmlformats.org/officeDocument/2006/relationships/hyperlink" Target="https://zakupivli.pro/gov/tenders/UA-2024-06-26-010363-a" TargetMode="External"/><Relationship Id="rId194" Type="http://schemas.openxmlformats.org/officeDocument/2006/relationships/hyperlink" Target="https://zakupki.prom.ua/gov/tenders/UA-2023-03-20-006270-a" TargetMode="External"/><Relationship Id="rId208" Type="http://schemas.openxmlformats.org/officeDocument/2006/relationships/hyperlink" Target="https://my.zakupki.prom.ua/remote/dispatcher/state_purchase_view/41675945" TargetMode="External"/><Relationship Id="rId415" Type="http://schemas.openxmlformats.org/officeDocument/2006/relationships/hyperlink" Target="https://my.zakupki.prom.ua/remote/dispatcher/state_purchase_view/44450761" TargetMode="External"/><Relationship Id="rId622" Type="http://schemas.openxmlformats.org/officeDocument/2006/relationships/hyperlink" Target="https://zakupivli.pro/gov/tenders/UA-2024-01-18-015306-a/lot-2167d99758c7415aa6de22bf4afd25b4" TargetMode="External"/><Relationship Id="rId1045" Type="http://schemas.openxmlformats.org/officeDocument/2006/relationships/hyperlink" Target="https://zakupivli.pro/gov/tenders/UA-2024-04-09-001245-a" TargetMode="External"/><Relationship Id="rId1252" Type="http://schemas.openxmlformats.org/officeDocument/2006/relationships/hyperlink" Target="https://zakupivli.pro/gov/tenders/UA-2024-08-05-006471-a" TargetMode="External"/><Relationship Id="rId261" Type="http://schemas.openxmlformats.org/officeDocument/2006/relationships/hyperlink" Target="https://zakupki.prom.ua/gov/tenders/UA-2023-03-31-004318-a" TargetMode="External"/><Relationship Id="rId499" Type="http://schemas.openxmlformats.org/officeDocument/2006/relationships/hyperlink" Target="https://my.zakupivli.pro/remote/dispatcher/state_purchase_view/45776105" TargetMode="External"/><Relationship Id="rId927" Type="http://schemas.openxmlformats.org/officeDocument/2006/relationships/hyperlink" Target="https://zakupivli.pro/gov/tenders/UA-2024-03-07-003046-a/lot-8b883bedd1ec460a98fe8a5d22d1b9a6" TargetMode="External"/><Relationship Id="rId1112" Type="http://schemas.openxmlformats.org/officeDocument/2006/relationships/hyperlink" Target="https://my.zakupivli.pro/remote/dispatcher/state_purchase_view/51190701" TargetMode="External"/><Relationship Id="rId56" Type="http://schemas.openxmlformats.org/officeDocument/2006/relationships/hyperlink" Target="https://my.zakupki.prom.ua/remote/dispatcher/state_purchase_view/41429057" TargetMode="External"/><Relationship Id="rId359" Type="http://schemas.openxmlformats.org/officeDocument/2006/relationships/hyperlink" Target="https://zakupki.prom.ua/gov/tenders/UA-2023-05-11-005095-a" TargetMode="External"/><Relationship Id="rId566" Type="http://schemas.openxmlformats.org/officeDocument/2006/relationships/hyperlink" Target="https://zakupivli.pro/gov/tenders/UA-2023-12-29-000125-a" TargetMode="External"/><Relationship Id="rId773" Type="http://schemas.openxmlformats.org/officeDocument/2006/relationships/hyperlink" Target="https://my.zakupivli.pro/remote/dispatcher/state_purchase_view/48971877" TargetMode="External"/><Relationship Id="rId1196" Type="http://schemas.openxmlformats.org/officeDocument/2006/relationships/hyperlink" Target="https://zakupivli.pro/gov/tenders/UA-2024-07-08-006396-a" TargetMode="External"/><Relationship Id="rId121" Type="http://schemas.openxmlformats.org/officeDocument/2006/relationships/hyperlink" Target="https://zakupki.prom.ua/gov/tenders/UA-2023-02-22-011861-a/lot-d7a0185df6804d63930b70d492a10077" TargetMode="External"/><Relationship Id="rId219" Type="http://schemas.openxmlformats.org/officeDocument/2006/relationships/hyperlink" Target="https://zakupki.prom.ua/gov/tenders/UA-2023-03-27-005875-a" TargetMode="External"/><Relationship Id="rId426" Type="http://schemas.openxmlformats.org/officeDocument/2006/relationships/hyperlink" Target="https://zakupki.prom.ua/gov/tenders/UA-2023-08-08-008804-a" TargetMode="External"/><Relationship Id="rId633" Type="http://schemas.openxmlformats.org/officeDocument/2006/relationships/hyperlink" Target="https://zakupivli.pro/gov/tenders/UA-2024-01-22-008156-a" TargetMode="External"/><Relationship Id="rId980" Type="http://schemas.openxmlformats.org/officeDocument/2006/relationships/hyperlink" Target="https://zakupivli.pro/gov/tenders/UA-2024-03-25-001472-a" TargetMode="External"/><Relationship Id="rId1056" Type="http://schemas.openxmlformats.org/officeDocument/2006/relationships/hyperlink" Target="https://my.zakupivli.pro/remote/dispatcher/state_purchase_view/50398330" TargetMode="External"/><Relationship Id="rId1263" Type="http://schemas.openxmlformats.org/officeDocument/2006/relationships/hyperlink" Target="https://my.zakupivli.pro/remote/dispatcher/state_purchase_view/52605117" TargetMode="External"/><Relationship Id="rId840" Type="http://schemas.openxmlformats.org/officeDocument/2006/relationships/hyperlink" Target="https://zakupivli.pro/gov/tenders/UA-2024-02-20-011273-a" TargetMode="External"/><Relationship Id="rId938" Type="http://schemas.openxmlformats.org/officeDocument/2006/relationships/hyperlink" Target="https://my.zakupivli.pro/remote/dispatcher/state_purchase_view/49737240" TargetMode="External"/><Relationship Id="rId67" Type="http://schemas.openxmlformats.org/officeDocument/2006/relationships/hyperlink" Target="https://my.zakupki.prom.ua/remote/dispatcher/state_purchase_view/41425999" TargetMode="External"/><Relationship Id="rId272" Type="http://schemas.openxmlformats.org/officeDocument/2006/relationships/hyperlink" Target="https://my.zakupki.prom.ua/remote/dispatcher/state_purchase_view/41779380" TargetMode="External"/><Relationship Id="rId577" Type="http://schemas.openxmlformats.org/officeDocument/2006/relationships/hyperlink" Target="https://my.zakupivli.pro/remote/dispatcher/state_purchase_view/48208692" TargetMode="External"/><Relationship Id="rId700" Type="http://schemas.openxmlformats.org/officeDocument/2006/relationships/hyperlink" Target="https://my.zakupivli.pro/remote/dispatcher/state_purchase_view/48872463" TargetMode="External"/><Relationship Id="rId1123" Type="http://schemas.openxmlformats.org/officeDocument/2006/relationships/hyperlink" Target="https://my.zakupivli.pro/remote/dispatcher/state_purchase_view/51251183" TargetMode="External"/><Relationship Id="rId1330" Type="http://schemas.openxmlformats.org/officeDocument/2006/relationships/hyperlink" Target="https://my.zakupivli.pro/remote/dispatcher/state_purchase_view/53295317" TargetMode="External"/><Relationship Id="rId132" Type="http://schemas.openxmlformats.org/officeDocument/2006/relationships/hyperlink" Target="https://zakupki.prom.ua/gov/tenders/UA-2023-03-02-007860-a/lot-32c67e1aa21a4982b1b485adc399887b" TargetMode="External"/><Relationship Id="rId784" Type="http://schemas.openxmlformats.org/officeDocument/2006/relationships/hyperlink" Target="https://my.zakupivli.pro/remote/dispatcher/state_purchase_view/49014231" TargetMode="External"/><Relationship Id="rId991" Type="http://schemas.openxmlformats.org/officeDocument/2006/relationships/hyperlink" Target="https://zakupivli.pro/gov/tenders/UA-2024-03-25-000613-a" TargetMode="External"/><Relationship Id="rId1067" Type="http://schemas.openxmlformats.org/officeDocument/2006/relationships/hyperlink" Target="https://zakupivli.pro/gov/tenders/UA-2024-04-24-006858-a" TargetMode="External"/><Relationship Id="rId437" Type="http://schemas.openxmlformats.org/officeDocument/2006/relationships/hyperlink" Target="https://my.zakupki.prom.ua/remote/dispatcher/state_purchase_view/44705001" TargetMode="External"/><Relationship Id="rId644" Type="http://schemas.openxmlformats.org/officeDocument/2006/relationships/hyperlink" Target="https://zakupivli.pro/gov/tenders/UA-2024-01-23-002308-a" TargetMode="External"/><Relationship Id="rId851" Type="http://schemas.openxmlformats.org/officeDocument/2006/relationships/hyperlink" Target="https://zakupivli.pro/gov/tenders/UA-2024-02-20-008891-a" TargetMode="External"/><Relationship Id="rId1274" Type="http://schemas.openxmlformats.org/officeDocument/2006/relationships/hyperlink" Target="https://my.zakupivli.pro/remote/dispatcher/state_purchase_view/52828280" TargetMode="External"/><Relationship Id="rId283" Type="http://schemas.openxmlformats.org/officeDocument/2006/relationships/hyperlink" Target="https://zakupki.prom.ua/gov/tenders/UA-2023-04-03-010464-a" TargetMode="External"/><Relationship Id="rId490" Type="http://schemas.openxmlformats.org/officeDocument/2006/relationships/hyperlink" Target="https://zakupki.prom.ua/gov/tenders/UA-2023-09-27-006761-a" TargetMode="External"/><Relationship Id="rId504" Type="http://schemas.openxmlformats.org/officeDocument/2006/relationships/hyperlink" Target="https://my.zakupivli.pro/remote/dispatcher/state_purchase_view/46124597" TargetMode="External"/><Relationship Id="rId711" Type="http://schemas.openxmlformats.org/officeDocument/2006/relationships/hyperlink" Target="https://my.zakupivli.pro/remote/dispatcher/state_purchase_view/48907317" TargetMode="External"/><Relationship Id="rId949" Type="http://schemas.openxmlformats.org/officeDocument/2006/relationships/hyperlink" Target="https://zakupivli.pro/gov/tenders/UA-2024-03-12-007076-a" TargetMode="External"/><Relationship Id="rId1134" Type="http://schemas.openxmlformats.org/officeDocument/2006/relationships/hyperlink" Target="https://zakupivli.pro/gov/tenders/UA-2024-05-30-000099-a" TargetMode="External"/><Relationship Id="rId1341" Type="http://schemas.openxmlformats.org/officeDocument/2006/relationships/hyperlink" Target="https://zakupivli.pro/gov/tenders/ua-2024-09-19-013922-a/lot-a9e65b5158bb4cdeb7f3a2eebb30b671" TargetMode="External"/><Relationship Id="rId78" Type="http://schemas.openxmlformats.org/officeDocument/2006/relationships/hyperlink" Target="https://my.zakupki.prom.ua/remote/dispatcher/state_purchase_view/41328917" TargetMode="External"/><Relationship Id="rId143" Type="http://schemas.openxmlformats.org/officeDocument/2006/relationships/hyperlink" Target="https://my.zakupki.prom.ua/remote/dispatcher/state_purchase_view/41605692" TargetMode="External"/><Relationship Id="rId350" Type="http://schemas.openxmlformats.org/officeDocument/2006/relationships/hyperlink" Target="https://my.zakupki.prom.ua/remote/dispatcher/state_purchase_view/42556376" TargetMode="External"/><Relationship Id="rId588" Type="http://schemas.openxmlformats.org/officeDocument/2006/relationships/hyperlink" Target="https://zakupivli.pro/gov/tenders/UA-2024-01-08-003981-a" TargetMode="External"/><Relationship Id="rId795" Type="http://schemas.openxmlformats.org/officeDocument/2006/relationships/hyperlink" Target="https://zakupivli.pro/gov/tenders/UA-2024-02-08-002073-a" TargetMode="External"/><Relationship Id="rId809" Type="http://schemas.openxmlformats.org/officeDocument/2006/relationships/hyperlink" Target="https://my.zakupivli.pro/remote/dispatcher/state_purchase_view/49158931" TargetMode="External"/><Relationship Id="rId1201" Type="http://schemas.openxmlformats.org/officeDocument/2006/relationships/hyperlink" Target="https://my.zakupivli.pro/remote/dispatcher/state_purchase_view/52153696" TargetMode="External"/><Relationship Id="rId9" Type="http://schemas.openxmlformats.org/officeDocument/2006/relationships/hyperlink" Target="https://zakupki.prom.ua/gov/tenders/UA-2022-11-17-006126-a" TargetMode="External"/><Relationship Id="rId210" Type="http://schemas.openxmlformats.org/officeDocument/2006/relationships/hyperlink" Target="https://my.zakupki.prom.ua/remote/dispatcher/state_purchase_view/41650806" TargetMode="External"/><Relationship Id="rId448" Type="http://schemas.openxmlformats.org/officeDocument/2006/relationships/hyperlink" Target="https://my.zakupki.prom.ua/remote/dispatcher/state_purchase_view/44807604" TargetMode="External"/><Relationship Id="rId655" Type="http://schemas.openxmlformats.org/officeDocument/2006/relationships/hyperlink" Target="https://zakupivli.pro/gov/tenders/UA-2024-01-24-010255-a/lot-b5cfed231d4b4152ab260cca11cb8fc9" TargetMode="External"/><Relationship Id="rId862" Type="http://schemas.openxmlformats.org/officeDocument/2006/relationships/hyperlink" Target="https://my.zakupivli.pro/remote/dispatcher/state_purchase_view/49347008" TargetMode="External"/><Relationship Id="rId1078" Type="http://schemas.openxmlformats.org/officeDocument/2006/relationships/hyperlink" Target="https://my.zakupivli.pro/remote/dispatcher/state_purchase_view/50828435" TargetMode="External"/><Relationship Id="rId1285" Type="http://schemas.openxmlformats.org/officeDocument/2006/relationships/hyperlink" Target="https://my.zakupivli.pro/remote/dispatcher/state_purchase_view/52687668" TargetMode="External"/><Relationship Id="rId294" Type="http://schemas.openxmlformats.org/officeDocument/2006/relationships/hyperlink" Target="https://my.zakupki.prom.ua/remote/dispatcher/state_purchase_view/41866240" TargetMode="External"/><Relationship Id="rId308" Type="http://schemas.openxmlformats.org/officeDocument/2006/relationships/hyperlink" Target="https://zakupki.prom.ua/gov/tenders/UA-2023-04-04-000406-a" TargetMode="External"/><Relationship Id="rId515" Type="http://schemas.openxmlformats.org/officeDocument/2006/relationships/hyperlink" Target="https://zakupivli.pro/gov/tenders/UA-2023-11-09-003211-a" TargetMode="External"/><Relationship Id="rId722" Type="http://schemas.openxmlformats.org/officeDocument/2006/relationships/hyperlink" Target="https://my.zakupivli.pro/remote/dispatcher/state_purchase_view/48906057" TargetMode="External"/><Relationship Id="rId1145" Type="http://schemas.openxmlformats.org/officeDocument/2006/relationships/hyperlink" Target="https://my.zakupivli.pro/remote/dispatcher/state_purchase_view/51515365" TargetMode="External"/><Relationship Id="rId1352" Type="http://schemas.openxmlformats.org/officeDocument/2006/relationships/hyperlink" Target="https://my.zakupivli.pro/remote/dispatcher/state_purchase_view/53583248" TargetMode="External"/><Relationship Id="rId89" Type="http://schemas.openxmlformats.org/officeDocument/2006/relationships/hyperlink" Target="https://my.zakupki.prom.ua/remote/dispatcher/state_purchase_view/41196363" TargetMode="External"/><Relationship Id="rId154" Type="http://schemas.openxmlformats.org/officeDocument/2006/relationships/hyperlink" Target="https://zakupki.prom.ua/gov/tenders/UA-2023-03-10-000208-a/lot-c0b445f55d8d492b972836ceed1cf50c" TargetMode="External"/><Relationship Id="rId361" Type="http://schemas.openxmlformats.org/officeDocument/2006/relationships/hyperlink" Target="https://zakupki.prom.ua/gov/tenders/UA-2023-05-12-007347-a" TargetMode="External"/><Relationship Id="rId599" Type="http://schemas.openxmlformats.org/officeDocument/2006/relationships/hyperlink" Target="https://my.zakupivli.pro/remote/dispatcher/state_purchase_view/48409874" TargetMode="External"/><Relationship Id="rId1005" Type="http://schemas.openxmlformats.org/officeDocument/2006/relationships/hyperlink" Target="https://my.zakupivli.pro/remote/dispatcher/state_purchase_view/50132155" TargetMode="External"/><Relationship Id="rId1212" Type="http://schemas.openxmlformats.org/officeDocument/2006/relationships/hyperlink" Target="https://my.zakupivli.pro/remote/dispatcher/state_purchase_view/52265646" TargetMode="External"/><Relationship Id="rId459" Type="http://schemas.openxmlformats.org/officeDocument/2006/relationships/hyperlink" Target="https://zakupki.prom.ua/gov/tenders/UA-2023-09-12-005223-a/lot-dd6dd2c6db7946bab695096ee94db247" TargetMode="External"/><Relationship Id="rId666" Type="http://schemas.openxmlformats.org/officeDocument/2006/relationships/hyperlink" Target="https://zakupivli.pro/gov/tenders/UA-2024-01-25-014181-a" TargetMode="External"/><Relationship Id="rId873" Type="http://schemas.openxmlformats.org/officeDocument/2006/relationships/hyperlink" Target="https://zakupivli.pro/gov/tenders/UA-2024-02-22-011040-a" TargetMode="External"/><Relationship Id="rId1089" Type="http://schemas.openxmlformats.org/officeDocument/2006/relationships/hyperlink" Target="https://zakupivli.pro/gov/tenders/UA-2024-05-09-001892-a" TargetMode="External"/><Relationship Id="rId1296" Type="http://schemas.openxmlformats.org/officeDocument/2006/relationships/hyperlink" Target="https://zakupivli.pro/gov/tenders/UA-2024-08-20-011009-a" TargetMode="External"/><Relationship Id="rId16" Type="http://schemas.openxmlformats.org/officeDocument/2006/relationships/hyperlink" Target="https://zakupki.prom.ua/gov/tenders/UA-2022-12-26-003873-a" TargetMode="External"/><Relationship Id="rId221" Type="http://schemas.openxmlformats.org/officeDocument/2006/relationships/hyperlink" Target="https://zakupki.prom.ua/gov/tenders/UA-2023-03-27-005437-a" TargetMode="External"/><Relationship Id="rId319" Type="http://schemas.openxmlformats.org/officeDocument/2006/relationships/hyperlink" Target="https://zakupki.prom.ua/gov/tenders/UA-2023-04-17-000351-a" TargetMode="External"/><Relationship Id="rId526" Type="http://schemas.openxmlformats.org/officeDocument/2006/relationships/hyperlink" Target="https://zakupivli.pro/gov/tenders/UA-2023-11-29-007510-a/lot-717d1b8abee1462db72d4e2dd23fb0d6" TargetMode="External"/><Relationship Id="rId1156" Type="http://schemas.openxmlformats.org/officeDocument/2006/relationships/hyperlink" Target="https://my.zakupivli.pro/remote/dispatcher/state_purchase_view/51698131" TargetMode="External"/><Relationship Id="rId1363" Type="http://schemas.openxmlformats.org/officeDocument/2006/relationships/hyperlink" Target="https://zakupivli.pro/gov/tenders/ua-2024-09-25-000083-a" TargetMode="External"/><Relationship Id="rId733" Type="http://schemas.openxmlformats.org/officeDocument/2006/relationships/hyperlink" Target="https://zakupivli.pro/gov/tenders/UA-2024-02-02-011638-a/lot-bffee2f0a5924e55a76b32caa2d7b046" TargetMode="External"/><Relationship Id="rId940" Type="http://schemas.openxmlformats.org/officeDocument/2006/relationships/hyperlink" Target="https://my.zakupivli.pro/remote/dispatcher/state_purchase_view/49736304" TargetMode="External"/><Relationship Id="rId1016" Type="http://schemas.openxmlformats.org/officeDocument/2006/relationships/hyperlink" Target="https://my.zakupivli.pro/remote/dispatcher/state_purchase_view/50192772" TargetMode="External"/><Relationship Id="rId165" Type="http://schemas.openxmlformats.org/officeDocument/2006/relationships/hyperlink" Target="https://zakupki.prom.ua/gov/tenders/UA-2023-03-15-007635-a/lot-9472c9640321404dbb064380085b89c8" TargetMode="External"/><Relationship Id="rId372" Type="http://schemas.openxmlformats.org/officeDocument/2006/relationships/hyperlink" Target="https://my.zakupki.prom.ua/remote/dispatcher/state_purchase_view/43702002" TargetMode="External"/><Relationship Id="rId677" Type="http://schemas.openxmlformats.org/officeDocument/2006/relationships/hyperlink" Target="https://my.zakupivli.pro/remote/dispatcher/state_purchase_view/48824211" TargetMode="External"/><Relationship Id="rId800" Type="http://schemas.openxmlformats.org/officeDocument/2006/relationships/hyperlink" Target="https://my.zakupivli.pro/remote/dispatcher/state_purchase_view/49049714" TargetMode="External"/><Relationship Id="rId1223" Type="http://schemas.openxmlformats.org/officeDocument/2006/relationships/hyperlink" Target="https://my.zakupivli.pro/remote/dispatcher/state_purchase_view/52299011" TargetMode="External"/><Relationship Id="rId232" Type="http://schemas.openxmlformats.org/officeDocument/2006/relationships/hyperlink" Target="https://zakupki.prom.ua/gov/tenders/UA-2023-03-28-006674-a" TargetMode="External"/><Relationship Id="rId884" Type="http://schemas.openxmlformats.org/officeDocument/2006/relationships/hyperlink" Target="https://my.zakupivli.pro/remote/dispatcher/state_purchase_view/49447825" TargetMode="External"/><Relationship Id="rId27" Type="http://schemas.openxmlformats.org/officeDocument/2006/relationships/hyperlink" Target="https://my.zakupki.prom.ua/remote/dispatcher/state_purchase_view/40312420" TargetMode="External"/><Relationship Id="rId537" Type="http://schemas.openxmlformats.org/officeDocument/2006/relationships/hyperlink" Target="https://my.zakupivli.pro/remote/dispatcher/state_purchase_view/47342805" TargetMode="External"/><Relationship Id="rId744" Type="http://schemas.openxmlformats.org/officeDocument/2006/relationships/hyperlink" Target="https://my.zakupivli.pro/remote/dispatcher/state_purchase_view/48903252" TargetMode="External"/><Relationship Id="rId951" Type="http://schemas.openxmlformats.org/officeDocument/2006/relationships/hyperlink" Target="https://zakupivli.pro/gov/tenders/UA-2024-03-13-002658-a/lot-41c91a583c6b4d88b089ca96a9f09369" TargetMode="External"/><Relationship Id="rId1167" Type="http://schemas.openxmlformats.org/officeDocument/2006/relationships/hyperlink" Target="https://zakupivli.pro/gov/tenders/UA-2024-06-20-010026-a" TargetMode="External"/><Relationship Id="rId1374" Type="http://schemas.openxmlformats.org/officeDocument/2006/relationships/hyperlink" Target="https://my.zakupivli.pro/remote/dispatcher/state_purchase_view/53984270" TargetMode="External"/><Relationship Id="rId80" Type="http://schemas.openxmlformats.org/officeDocument/2006/relationships/hyperlink" Target="https://my.zakupki.prom.ua/remote/dispatcher/state_purchase_view/41328762" TargetMode="External"/><Relationship Id="rId176" Type="http://schemas.openxmlformats.org/officeDocument/2006/relationships/hyperlink" Target="https://zakupki.prom.ua/gov/tenders/UA-2023-03-15-006274-a/lot-975a984689b744c18a585f60a5bdb3a8" TargetMode="External"/><Relationship Id="rId383" Type="http://schemas.openxmlformats.org/officeDocument/2006/relationships/hyperlink" Target="https://my.zakupki.prom.ua/remote/dispatcher/state_purchase_view/44291790" TargetMode="External"/><Relationship Id="rId590" Type="http://schemas.openxmlformats.org/officeDocument/2006/relationships/hyperlink" Target="https://zakupivli.pro/gov/tenders/UA-2024-01-11-008391-a" TargetMode="External"/><Relationship Id="rId604" Type="http://schemas.openxmlformats.org/officeDocument/2006/relationships/hyperlink" Target="https://zakupivli.pro/gov/tenders/UA-2024-01-17-005247-a" TargetMode="External"/><Relationship Id="rId811" Type="http://schemas.openxmlformats.org/officeDocument/2006/relationships/hyperlink" Target="https://zakupivli.pro/gov/tenders/UA-2024-02-14-000440-a" TargetMode="External"/><Relationship Id="rId1027" Type="http://schemas.openxmlformats.org/officeDocument/2006/relationships/hyperlink" Target="https://my.zakupivli.pro/remote/dispatcher/state_purchase_view/50200087" TargetMode="External"/><Relationship Id="rId1234" Type="http://schemas.openxmlformats.org/officeDocument/2006/relationships/hyperlink" Target="https://my.zakupivli.pro/remote/dispatcher/state_purchase_view/52342173" TargetMode="External"/><Relationship Id="rId243" Type="http://schemas.openxmlformats.org/officeDocument/2006/relationships/hyperlink" Target="https://zakupki.prom.ua/gov/tenders/UA-2023-03-30-003336-a" TargetMode="External"/><Relationship Id="rId450" Type="http://schemas.openxmlformats.org/officeDocument/2006/relationships/hyperlink" Target="https://zakupki.prom.ua/gov/tenders/UA-2023-08-31-001439-a" TargetMode="External"/><Relationship Id="rId688" Type="http://schemas.openxmlformats.org/officeDocument/2006/relationships/hyperlink" Target="https://zakupivli.pro/gov/tenders/UA-2024-01-31-007748-a" TargetMode="External"/><Relationship Id="rId895" Type="http://schemas.openxmlformats.org/officeDocument/2006/relationships/hyperlink" Target="https://zakupivli.pro/gov/tenders/UA-2024-02-29-006630-a/lot-1848e7a921f94c98b2964468849001d0" TargetMode="External"/><Relationship Id="rId909" Type="http://schemas.openxmlformats.org/officeDocument/2006/relationships/hyperlink" Target="https://zakupivli.pro/gov/tenders/UA-2024-03-04-011096-a/lot-803edfe76803430491a2a5e9cc16bc1c" TargetMode="External"/><Relationship Id="rId1080" Type="http://schemas.openxmlformats.org/officeDocument/2006/relationships/hyperlink" Target="https://my.zakupivli.pro/remote/dispatcher/state_purchase_view/50840153" TargetMode="External"/><Relationship Id="rId1301" Type="http://schemas.openxmlformats.org/officeDocument/2006/relationships/hyperlink" Target="https://zakupivli.pro/gov/tenders/UA-2024-08-16-008358-a/lot-b9419c8bfa9f4b428da81c1e04e0bece" TargetMode="External"/><Relationship Id="rId38" Type="http://schemas.openxmlformats.org/officeDocument/2006/relationships/hyperlink" Target="https://my.zakupki.prom.ua/remote/dispatcher/state_purchase_view/41520613" TargetMode="External"/><Relationship Id="rId103" Type="http://schemas.openxmlformats.org/officeDocument/2006/relationships/hyperlink" Target="https://my.zakupki.prom.ua/remote/dispatcher/state_purchase_view/40975550" TargetMode="External"/><Relationship Id="rId310" Type="http://schemas.openxmlformats.org/officeDocument/2006/relationships/hyperlink" Target="https://zakupki.prom.ua/gov/tenders/UA-2023-04-04-000049-a" TargetMode="External"/><Relationship Id="rId548" Type="http://schemas.openxmlformats.org/officeDocument/2006/relationships/hyperlink" Target="https://zakupivli.pro/gov/tenders/UA-2023-12-14-013003-a" TargetMode="External"/><Relationship Id="rId755" Type="http://schemas.openxmlformats.org/officeDocument/2006/relationships/hyperlink" Target="https://zakupivli.pro/gov/tenders/UA-2024-02-02-013586-a/lot-fedb5a93a0db4e3684935411be656ca6" TargetMode="External"/><Relationship Id="rId962" Type="http://schemas.openxmlformats.org/officeDocument/2006/relationships/hyperlink" Target="https://my.zakupivli.pro/remote/dispatcher/state_purchase_view/49814380" TargetMode="External"/><Relationship Id="rId1178" Type="http://schemas.openxmlformats.org/officeDocument/2006/relationships/hyperlink" Target="https://zakupivli.pro/gov/tenders/UA-2024-06-25-001166-a" TargetMode="External"/><Relationship Id="rId1385" Type="http://schemas.openxmlformats.org/officeDocument/2006/relationships/hyperlink" Target="https://zakupivli.pro/gov/tenders/ua-2024-10-17-014759-a" TargetMode="External"/><Relationship Id="rId91" Type="http://schemas.openxmlformats.org/officeDocument/2006/relationships/hyperlink" Target="https://my.zakupki.prom.ua/remote/dispatcher/state_purchase_view/41191954" TargetMode="External"/><Relationship Id="rId187" Type="http://schemas.openxmlformats.org/officeDocument/2006/relationships/hyperlink" Target="https://zakupki.prom.ua/gov/tenders/UA-2023-03-20-010178-a" TargetMode="External"/><Relationship Id="rId394" Type="http://schemas.openxmlformats.org/officeDocument/2006/relationships/hyperlink" Target="https://my.zakupki.prom.ua/remote/dispatcher/state_purchase_view/43891512" TargetMode="External"/><Relationship Id="rId408" Type="http://schemas.openxmlformats.org/officeDocument/2006/relationships/hyperlink" Target="https://zakupki.prom.ua/gov/tenders/UA-2023-08-03-000375-a" TargetMode="External"/><Relationship Id="rId615" Type="http://schemas.openxmlformats.org/officeDocument/2006/relationships/hyperlink" Target="https://my.zakupivli.pro/remote/dispatcher/state_purchase_view/48479304" TargetMode="External"/><Relationship Id="rId822" Type="http://schemas.openxmlformats.org/officeDocument/2006/relationships/hyperlink" Target="https://my.zakupivli.pro/remote/dispatcher/state_purchase_view/49305636" TargetMode="External"/><Relationship Id="rId1038" Type="http://schemas.openxmlformats.org/officeDocument/2006/relationships/hyperlink" Target="https://my.zakupivli.pro/remote/dispatcher/state_purchase_view/50272627" TargetMode="External"/><Relationship Id="rId1245" Type="http://schemas.openxmlformats.org/officeDocument/2006/relationships/hyperlink" Target="https://zakupivli.pro/gov/tenders/UA-2024-07-29-002334-a" TargetMode="External"/><Relationship Id="rId254" Type="http://schemas.openxmlformats.org/officeDocument/2006/relationships/hyperlink" Target="https://my.zakupki.prom.ua/remote/dispatcher/state_purchase_view/41742784" TargetMode="External"/><Relationship Id="rId699" Type="http://schemas.openxmlformats.org/officeDocument/2006/relationships/hyperlink" Target="https://my.zakupivli.pro/remote/dispatcher/state_purchase_view/48872463" TargetMode="External"/><Relationship Id="rId1091" Type="http://schemas.openxmlformats.org/officeDocument/2006/relationships/hyperlink" Target="https://my.zakupivli.pro/remote/dispatcher/state_purchase_view/50941461" TargetMode="External"/><Relationship Id="rId1105" Type="http://schemas.openxmlformats.org/officeDocument/2006/relationships/hyperlink" Target="https://zakupivli.pro/gov/tenders/UA-2024-05-17-000118-a/lot-311058576deb4cf79d53d580154014bd" TargetMode="External"/><Relationship Id="rId1312" Type="http://schemas.openxmlformats.org/officeDocument/2006/relationships/hyperlink" Target="https://zakupivli.pro/gov/tenders/UA-2024-08-29-007868-a/lot-cb7a0070271445bcac54725802fdc157" TargetMode="External"/><Relationship Id="rId49" Type="http://schemas.openxmlformats.org/officeDocument/2006/relationships/hyperlink" Target="https://my.zakupki.prom.ua/remote/dispatcher/state_purchase_view/41519330" TargetMode="External"/><Relationship Id="rId114" Type="http://schemas.openxmlformats.org/officeDocument/2006/relationships/hyperlink" Target="https://zakupki.prom.ua/gov/tenders/UA-2023-02-15-004026-a" TargetMode="External"/><Relationship Id="rId461" Type="http://schemas.openxmlformats.org/officeDocument/2006/relationships/hyperlink" Target="https://zakupki.prom.ua/gov/tenders/UA-2023-09-12-003129-a" TargetMode="External"/><Relationship Id="rId559" Type="http://schemas.openxmlformats.org/officeDocument/2006/relationships/hyperlink" Target="https://my.zakupivli.pro/remote/dispatcher/state_purchase_view/48106340" TargetMode="External"/><Relationship Id="rId766" Type="http://schemas.openxmlformats.org/officeDocument/2006/relationships/hyperlink" Target="https://zakupivli.pro/gov/tenders/UA-2024-02-02-013148-a/lot-cc1237bccdb0425988617f98b583a717" TargetMode="External"/><Relationship Id="rId1189" Type="http://schemas.openxmlformats.org/officeDocument/2006/relationships/hyperlink" Target="https://zakupivli.pro/gov/tenders/UA-2024-07-02-000094-a" TargetMode="External"/><Relationship Id="rId198" Type="http://schemas.openxmlformats.org/officeDocument/2006/relationships/hyperlink" Target="https://zakupki.prom.ua/gov/tenders/UA-2023-03-22-004354-a" TargetMode="External"/><Relationship Id="rId321" Type="http://schemas.openxmlformats.org/officeDocument/2006/relationships/hyperlink" Target="https://zakupki.prom.ua/gov/tenders/UA-2023-04-20-008821-a" TargetMode="External"/><Relationship Id="rId419" Type="http://schemas.openxmlformats.org/officeDocument/2006/relationships/hyperlink" Target="https://my.zakupki.prom.ua/remote/dispatcher/state_purchase_view/44433428" TargetMode="External"/><Relationship Id="rId626" Type="http://schemas.openxmlformats.org/officeDocument/2006/relationships/hyperlink" Target="https://zakupivli.pro/gov/tenders/UA-2024-01-19-000255-a/lot-17d7c5ee87114cb7a46eb3b89daa246c" TargetMode="External"/><Relationship Id="rId973" Type="http://schemas.openxmlformats.org/officeDocument/2006/relationships/hyperlink" Target="https://my.zakupivli.pro/remote/dispatcher/state_purchase_view/50008319" TargetMode="External"/><Relationship Id="rId1049" Type="http://schemas.openxmlformats.org/officeDocument/2006/relationships/hyperlink" Target="https://zakupivli.pro/gov/tenders/UA-2024-04-09-011832-a" TargetMode="External"/><Relationship Id="rId1256" Type="http://schemas.openxmlformats.org/officeDocument/2006/relationships/hyperlink" Target="https://my.zakupivli.pro/remote/dispatcher/state_purchase_view/52587377" TargetMode="External"/><Relationship Id="rId833" Type="http://schemas.openxmlformats.org/officeDocument/2006/relationships/hyperlink" Target="https://my.zakupivli.pro/remote/dispatcher/state_purchase_view/49300201" TargetMode="External"/><Relationship Id="rId1116" Type="http://schemas.openxmlformats.org/officeDocument/2006/relationships/hyperlink" Target="https://zakupivli.pro/gov/tenders/UA-2024-05-23-000397-a" TargetMode="External"/><Relationship Id="rId265" Type="http://schemas.openxmlformats.org/officeDocument/2006/relationships/hyperlink" Target="https://zakupki.prom.ua/gov/tenders/UA-2023-03-31-002313-a" TargetMode="External"/><Relationship Id="rId472" Type="http://schemas.openxmlformats.org/officeDocument/2006/relationships/hyperlink" Target="https://my.zakupki.prom.ua/remote/dispatcher/state_purchase_view/44980722" TargetMode="External"/><Relationship Id="rId900" Type="http://schemas.openxmlformats.org/officeDocument/2006/relationships/hyperlink" Target="https://my.zakupivli.pro/remote/dispatcher/state_purchase_view/49571696" TargetMode="External"/><Relationship Id="rId1323" Type="http://schemas.openxmlformats.org/officeDocument/2006/relationships/hyperlink" Target="https://zakupivli.pro/gov/tenders/UA-2024-09-10-007035-a" TargetMode="External"/><Relationship Id="rId125" Type="http://schemas.openxmlformats.org/officeDocument/2006/relationships/hyperlink" Target="https://zakupki.prom.ua/gov/tenders/UA-2023-03-02-010020-a" TargetMode="External"/><Relationship Id="rId332" Type="http://schemas.openxmlformats.org/officeDocument/2006/relationships/hyperlink" Target="https://my.zakupki.prom.ua/remote/dispatcher/state_purchase_view/42223552" TargetMode="External"/><Relationship Id="rId777" Type="http://schemas.openxmlformats.org/officeDocument/2006/relationships/hyperlink" Target="https://zakupivli.pro/gov/tenders/UA-2024-02-06-009098-a" TargetMode="External"/><Relationship Id="rId984" Type="http://schemas.openxmlformats.org/officeDocument/2006/relationships/hyperlink" Target="https://my.zakupivli.pro/remote/dispatcher/state_purchase_view/49991885" TargetMode="External"/><Relationship Id="rId637" Type="http://schemas.openxmlformats.org/officeDocument/2006/relationships/hyperlink" Target="https://my.zakupivli.pro/remote/dispatcher/state_purchase_view/48579121" TargetMode="External"/><Relationship Id="rId844" Type="http://schemas.openxmlformats.org/officeDocument/2006/relationships/hyperlink" Target="https://zakupivli.pro/gov/tenders/UA-2024-02-20-010187-a" TargetMode="External"/><Relationship Id="rId1267" Type="http://schemas.openxmlformats.org/officeDocument/2006/relationships/hyperlink" Target="https://zakupivli.pro/gov/tenders/UA-2024-08-08-010980-a" TargetMode="External"/><Relationship Id="rId276" Type="http://schemas.openxmlformats.org/officeDocument/2006/relationships/hyperlink" Target="https://my.zakupki.prom.ua/remote/dispatcher/state_purchase_view/41777201" TargetMode="External"/><Relationship Id="rId483" Type="http://schemas.openxmlformats.org/officeDocument/2006/relationships/hyperlink" Target="https://zakupki.prom.ua/gov/tenders/UA-2023-09-22-000657-a" TargetMode="External"/><Relationship Id="rId690" Type="http://schemas.openxmlformats.org/officeDocument/2006/relationships/hyperlink" Target="https://zakupivli.pro/gov/tenders/UA-2024-01-31-008354-a" TargetMode="External"/><Relationship Id="rId704" Type="http://schemas.openxmlformats.org/officeDocument/2006/relationships/hyperlink" Target="https://zakupivli.pro/gov/tenders/UA-2024-02-01-013687-a/lot-cbf7b0ffd1d84f068fddcb61e642799a" TargetMode="External"/><Relationship Id="rId911" Type="http://schemas.openxmlformats.org/officeDocument/2006/relationships/hyperlink" Target="https://zakupivli.pro/gov/tenders/UA-2024-03-04-007678-a" TargetMode="External"/><Relationship Id="rId1127" Type="http://schemas.openxmlformats.org/officeDocument/2006/relationships/hyperlink" Target="https://zakupivli.pro/gov/tenders/UA-2024-05-27-006416-a" TargetMode="External"/><Relationship Id="rId1334" Type="http://schemas.openxmlformats.org/officeDocument/2006/relationships/hyperlink" Target="https://zakupivli.pro/gov/tenders/ua-2024-09-13-002771-a" TargetMode="External"/><Relationship Id="rId40" Type="http://schemas.openxmlformats.org/officeDocument/2006/relationships/hyperlink" Target="https://my.zakupki.prom.ua/remote/dispatcher/state_purchase_view/41520379" TargetMode="External"/><Relationship Id="rId136" Type="http://schemas.openxmlformats.org/officeDocument/2006/relationships/hyperlink" Target="https://zakupki.prom.ua/gov/tenders/UA-2023-03-06-002508-a/lot-3558d587b1464bd3885519cb1ca25bb7" TargetMode="External"/><Relationship Id="rId343" Type="http://schemas.openxmlformats.org/officeDocument/2006/relationships/hyperlink" Target="https://zakupki.prom.ua/gov/tenders/UA-2023-05-04-010342-a" TargetMode="External"/><Relationship Id="rId550" Type="http://schemas.openxmlformats.org/officeDocument/2006/relationships/hyperlink" Target="https://zakupivli.pro/gov/tenders/UA-2023-12-28-006964-a" TargetMode="External"/><Relationship Id="rId788" Type="http://schemas.openxmlformats.org/officeDocument/2006/relationships/hyperlink" Target="https://my.zakupivli.pro/remote/dispatcher/state_purchase_view/49027603" TargetMode="External"/><Relationship Id="rId995" Type="http://schemas.openxmlformats.org/officeDocument/2006/relationships/hyperlink" Target="https://my.zakupivli.pro/remote/dispatcher/state_purchase_view/49990556" TargetMode="External"/><Relationship Id="rId1180" Type="http://schemas.openxmlformats.org/officeDocument/2006/relationships/hyperlink" Target="https://zakupivli.pro/gov/tenders/UA-2024-06-25-000624-a" TargetMode="External"/><Relationship Id="rId203" Type="http://schemas.openxmlformats.org/officeDocument/2006/relationships/hyperlink" Target="https://zakupki.prom.ua/gov/tenders/UA-2023-03-23-010505-a" TargetMode="External"/><Relationship Id="rId648" Type="http://schemas.openxmlformats.org/officeDocument/2006/relationships/hyperlink" Target="https://zakupivli.pro/gov/tenders/UA-2024-01-24-005968-a" TargetMode="External"/><Relationship Id="rId855" Type="http://schemas.openxmlformats.org/officeDocument/2006/relationships/hyperlink" Target="https://my.zakupivli.pro/remote/dispatcher/state_purchase_view/49312594" TargetMode="External"/><Relationship Id="rId1040" Type="http://schemas.openxmlformats.org/officeDocument/2006/relationships/hyperlink" Target="https://my.zakupivli.pro/remote/dispatcher/state_purchase_view/50294092" TargetMode="External"/><Relationship Id="rId1278" Type="http://schemas.openxmlformats.org/officeDocument/2006/relationships/hyperlink" Target="https://my.zakupivli.pro/remote/dispatcher/state_purchase_view/52745815" TargetMode="External"/><Relationship Id="rId287" Type="http://schemas.openxmlformats.org/officeDocument/2006/relationships/hyperlink" Target="https://zakupki.prom.ua/gov/tenders/UA-2023-04-04-000044-a" TargetMode="External"/><Relationship Id="rId410" Type="http://schemas.openxmlformats.org/officeDocument/2006/relationships/hyperlink" Target="https://zakupki.prom.ua/gov/tenders/UA-2023-08-01-001260-a/lot-6b72f122b7db4fb6a6217468b220f720" TargetMode="External"/><Relationship Id="rId494" Type="http://schemas.openxmlformats.org/officeDocument/2006/relationships/hyperlink" Target="https://zakupki.prom.ua/gov/tenders/UA-2023-09-29-009263-a/lot-1b43f461855448bbb672524ab26096e5" TargetMode="External"/><Relationship Id="rId508" Type="http://schemas.openxmlformats.org/officeDocument/2006/relationships/hyperlink" Target="https://my.zakupivli.pro/remote/dispatcher/state_purchase_view/46171789" TargetMode="External"/><Relationship Id="rId715" Type="http://schemas.openxmlformats.org/officeDocument/2006/relationships/hyperlink" Target="https://my.zakupivli.pro/remote/dispatcher/state_purchase_view/48906477" TargetMode="External"/><Relationship Id="rId922" Type="http://schemas.openxmlformats.org/officeDocument/2006/relationships/hyperlink" Target="https://zakupivli.pro/gov/tenders/UA-2024-03-06-001796-a" TargetMode="External"/><Relationship Id="rId1138" Type="http://schemas.openxmlformats.org/officeDocument/2006/relationships/hyperlink" Target="https://zakupivli.pro/gov/tenders/UA-2024-05-31-003514-a" TargetMode="External"/><Relationship Id="rId1345" Type="http://schemas.openxmlformats.org/officeDocument/2006/relationships/hyperlink" Target="https://my.zakupivli.pro/remote/dispatcher/state_purchase_view/53492810" TargetMode="External"/><Relationship Id="rId147" Type="http://schemas.openxmlformats.org/officeDocument/2006/relationships/hyperlink" Target="https://zakupki.prom.ua/gov/tenders/UA-2023-03-10-004740-a/lot-5d3dbfbba3384c6386ec2677a6465703" TargetMode="External"/><Relationship Id="rId354" Type="http://schemas.openxmlformats.org/officeDocument/2006/relationships/hyperlink" Target="https://my.zakupki.prom.ua/remote/dispatcher/state_purchase_view/42520239" TargetMode="External"/><Relationship Id="rId799" Type="http://schemas.openxmlformats.org/officeDocument/2006/relationships/hyperlink" Target="https://my.zakupivli.pro/remote/dispatcher/state_purchase_view/49051488" TargetMode="External"/><Relationship Id="rId1191" Type="http://schemas.openxmlformats.org/officeDocument/2006/relationships/hyperlink" Target="https://my.zakupivli.pro/remote/dispatcher/state_purchase_view/51971165" TargetMode="External"/><Relationship Id="rId1205" Type="http://schemas.openxmlformats.org/officeDocument/2006/relationships/hyperlink" Target="https://zakupivli.pro/gov/tenders/UA-2024-07-15-004574-a" TargetMode="External"/><Relationship Id="rId51" Type="http://schemas.openxmlformats.org/officeDocument/2006/relationships/hyperlink" Target="https://my.zakupki.prom.ua/remote/dispatcher/state_purchase_view/41512826" TargetMode="External"/><Relationship Id="rId561" Type="http://schemas.openxmlformats.org/officeDocument/2006/relationships/hyperlink" Target="https://my.zakupivli.pro/remote/dispatcher/state_purchase_view/48106581" TargetMode="External"/><Relationship Id="rId659" Type="http://schemas.openxmlformats.org/officeDocument/2006/relationships/hyperlink" Target="https://my.zakupivli.pro/remote/dispatcher/state_purchase_view/48688184" TargetMode="External"/><Relationship Id="rId866" Type="http://schemas.openxmlformats.org/officeDocument/2006/relationships/hyperlink" Target="https://zakupivli.pro/gov/tenders/UA-2024-02-22-001885-a" TargetMode="External"/><Relationship Id="rId1289" Type="http://schemas.openxmlformats.org/officeDocument/2006/relationships/hyperlink" Target="https://my.zakupivli.pro/remote/dispatcher/state_purchase_view/52614637" TargetMode="External"/><Relationship Id="rId214" Type="http://schemas.openxmlformats.org/officeDocument/2006/relationships/hyperlink" Target="https://my.zakupki.prom.ua/remote/dispatcher/state_purchase_view/41647901" TargetMode="External"/><Relationship Id="rId298" Type="http://schemas.openxmlformats.org/officeDocument/2006/relationships/hyperlink" Target="https://my.zakupki.prom.ua/remote/dispatcher/state_purchase_view/41781756" TargetMode="External"/><Relationship Id="rId421" Type="http://schemas.openxmlformats.org/officeDocument/2006/relationships/hyperlink" Target="https://my.zakupki.prom.ua/remote/dispatcher/state_purchase_view/44411432" TargetMode="External"/><Relationship Id="rId519" Type="http://schemas.openxmlformats.org/officeDocument/2006/relationships/hyperlink" Target="https://my.zakupivli.pro/remote/dispatcher/state_purchase_view/47062887" TargetMode="External"/><Relationship Id="rId1051" Type="http://schemas.openxmlformats.org/officeDocument/2006/relationships/hyperlink" Target="https://my.zakupivli.pro/remote/dispatcher/state_purchase_view/50326211" TargetMode="External"/><Relationship Id="rId1149" Type="http://schemas.openxmlformats.org/officeDocument/2006/relationships/hyperlink" Target="https://zakupivli.pro/gov/tenders/UA-2024-06-11-004453-a" TargetMode="External"/><Relationship Id="rId1356" Type="http://schemas.openxmlformats.org/officeDocument/2006/relationships/hyperlink" Target="https://my.zakupivli.pro/remote/dispatcher/state_purchase_view/53556470" TargetMode="External"/><Relationship Id="rId158" Type="http://schemas.openxmlformats.org/officeDocument/2006/relationships/hyperlink" Target="https://zakupki.prom.ua/gov/tenders/UA-2023-03-13-003744-a/lot-865c51a7193d4c57a6434433e696cf65" TargetMode="External"/><Relationship Id="rId726" Type="http://schemas.openxmlformats.org/officeDocument/2006/relationships/hyperlink" Target="https://my.zakupivli.pro/remote/dispatcher/state_purchase_view/48905507" TargetMode="External"/><Relationship Id="rId933" Type="http://schemas.openxmlformats.org/officeDocument/2006/relationships/hyperlink" Target="https://zakupivli.pro/gov/tenders/UA-2024-03-11-000483-a" TargetMode="External"/><Relationship Id="rId1009" Type="http://schemas.openxmlformats.org/officeDocument/2006/relationships/hyperlink" Target="https://my.zakupivli.pro/remote/dispatcher/state_purchase_view/50127903" TargetMode="External"/><Relationship Id="rId62" Type="http://schemas.openxmlformats.org/officeDocument/2006/relationships/hyperlink" Target="https://my.zakupki.prom.ua/remote/dispatcher/state_purchase_view/41426939" TargetMode="External"/><Relationship Id="rId365" Type="http://schemas.openxmlformats.org/officeDocument/2006/relationships/hyperlink" Target="https://zakupki.prom.ua/gov/tenders/UA-2023-05-15-012110-a/lot-f51f37ef23534791923349f019e0b876" TargetMode="External"/><Relationship Id="rId572" Type="http://schemas.openxmlformats.org/officeDocument/2006/relationships/hyperlink" Target="https://zakupivli.pro/gov/tenders/UA-2023-12-29-000155-a" TargetMode="External"/><Relationship Id="rId1216" Type="http://schemas.openxmlformats.org/officeDocument/2006/relationships/hyperlink" Target="https://my.zakupivli.pro/remote/dispatcher/state_purchase_view/52282158" TargetMode="External"/><Relationship Id="rId225" Type="http://schemas.openxmlformats.org/officeDocument/2006/relationships/hyperlink" Target="https://zakupki.prom.ua/gov/tenders/UA-2023-03-28-005844-a/lot-187a5374110441c795f3fec8bcf3d913" TargetMode="External"/><Relationship Id="rId432" Type="http://schemas.openxmlformats.org/officeDocument/2006/relationships/hyperlink" Target="https://zakupki.prom.ua/gov/tenders/UA-2023-08-15-010986-a/lot-2aa5ff2724b74675b7d314883988d21b" TargetMode="External"/><Relationship Id="rId877" Type="http://schemas.openxmlformats.org/officeDocument/2006/relationships/hyperlink" Target="https://my.zakupivli.pro/remote/dispatcher/state_purchase_view/49380309" TargetMode="External"/><Relationship Id="rId1062" Type="http://schemas.openxmlformats.org/officeDocument/2006/relationships/hyperlink" Target="https://my.zakupivli.pro/remote/dispatcher/state_purchase_view/50517136" TargetMode="External"/><Relationship Id="rId737" Type="http://schemas.openxmlformats.org/officeDocument/2006/relationships/hyperlink" Target="https://my.zakupivli.pro/remote/dispatcher/state_purchase_view/48903944" TargetMode="External"/><Relationship Id="rId944" Type="http://schemas.openxmlformats.org/officeDocument/2006/relationships/hyperlink" Target="https://zakupivli.pro/gov/tenders/UA-2024-03-12-011359-a" TargetMode="External"/><Relationship Id="rId1367" Type="http://schemas.openxmlformats.org/officeDocument/2006/relationships/hyperlink" Target="https://zakupivli.pro/gov/tenders/ua-2024-09-27-000136-a" TargetMode="External"/><Relationship Id="rId73" Type="http://schemas.openxmlformats.org/officeDocument/2006/relationships/hyperlink" Target="https://my.zakupki.prom.ua/remote/dispatcher/state_purchase_view/41339013" TargetMode="External"/><Relationship Id="rId169" Type="http://schemas.openxmlformats.org/officeDocument/2006/relationships/hyperlink" Target="https://zakupki.prom.ua/gov/tenders/UA-2023-03-15-006954-a/lot-683afe1461a84b26be1201764cc9ff2f" TargetMode="External"/><Relationship Id="rId376" Type="http://schemas.openxmlformats.org/officeDocument/2006/relationships/hyperlink" Target="https://zakupki.prom.ua/gov/tenders/UA-2023-06-15-009126-a" TargetMode="External"/><Relationship Id="rId583" Type="http://schemas.openxmlformats.org/officeDocument/2006/relationships/hyperlink" Target="https://my.zakupivli.pro/remote/dispatcher/state_purchase_view/48220144" TargetMode="External"/><Relationship Id="rId790" Type="http://schemas.openxmlformats.org/officeDocument/2006/relationships/hyperlink" Target="https://my.zakupivli.pro/remote/dispatcher/state_purchase_view/49026827" TargetMode="External"/><Relationship Id="rId804" Type="http://schemas.openxmlformats.org/officeDocument/2006/relationships/hyperlink" Target="https://my.zakupivli.pro/remote/dispatcher/state_purchase_view/49052400" TargetMode="External"/><Relationship Id="rId1227" Type="http://schemas.openxmlformats.org/officeDocument/2006/relationships/hyperlink" Target="https://my.zakupivli.pro/remote/dispatcher/state_purchase_view/52314938" TargetMode="External"/><Relationship Id="rId4" Type="http://schemas.openxmlformats.org/officeDocument/2006/relationships/hyperlink" Target="https://zakupki.prom.ua/gov/tenders/UA-2022-11-08-011601-a/lot-f6efe23c19344ddc8d8a5822f34ca2fc" TargetMode="External"/><Relationship Id="rId236" Type="http://schemas.openxmlformats.org/officeDocument/2006/relationships/hyperlink" Target="https://my.zakupki.prom.ua/remote/dispatcher/state_purchase_view/41720673" TargetMode="External"/><Relationship Id="rId443" Type="http://schemas.openxmlformats.org/officeDocument/2006/relationships/hyperlink" Target="https://zakupki.prom.ua/gov/tenders/UA-2023-08-24-000445-a/lot-a7f22f5f2e5a47c4ba0e6767db0131e1" TargetMode="External"/><Relationship Id="rId650" Type="http://schemas.openxmlformats.org/officeDocument/2006/relationships/hyperlink" Target="https://my.zakupivli.pro/remote/dispatcher/state_purchase_view/48638355" TargetMode="External"/><Relationship Id="rId888" Type="http://schemas.openxmlformats.org/officeDocument/2006/relationships/hyperlink" Target="https://my.zakupivli.pro/remote/dispatcher/state_purchase_view/49472296" TargetMode="External"/><Relationship Id="rId1073" Type="http://schemas.openxmlformats.org/officeDocument/2006/relationships/hyperlink" Target="https://my.zakupivli.pro/remote/dispatcher/state_purchase_view/50747345" TargetMode="External"/><Relationship Id="rId1280" Type="http://schemas.openxmlformats.org/officeDocument/2006/relationships/hyperlink" Target="https://my.zakupivli.pro/remote/dispatcher/state_purchase_view/52757356" TargetMode="External"/><Relationship Id="rId303" Type="http://schemas.openxmlformats.org/officeDocument/2006/relationships/hyperlink" Target="https://my.zakupki.prom.ua/remote/dispatcher/state_purchase_view/41779398" TargetMode="External"/><Relationship Id="rId748" Type="http://schemas.openxmlformats.org/officeDocument/2006/relationships/hyperlink" Target="https://my.zakupivli.pro/remote/dispatcher/state_purchase_view/48906947" TargetMode="External"/><Relationship Id="rId955" Type="http://schemas.openxmlformats.org/officeDocument/2006/relationships/hyperlink" Target="https://my.zakupivli.pro/remote/dispatcher/state_purchase_view/49783236" TargetMode="External"/><Relationship Id="rId1140" Type="http://schemas.openxmlformats.org/officeDocument/2006/relationships/hyperlink" Target="https://zakupivli.pro/gov/tenders/UA-2024-06-04-001790-a" TargetMode="External"/><Relationship Id="rId1378" Type="http://schemas.openxmlformats.org/officeDocument/2006/relationships/hyperlink" Target="https://my.zakupivli.pro/remote/dispatcher/state_purchase_view/54054503" TargetMode="External"/><Relationship Id="rId84" Type="http://schemas.openxmlformats.org/officeDocument/2006/relationships/hyperlink" Target="https://my.zakupki.prom.ua/remote/dispatcher/state_purchase_view/41234669" TargetMode="External"/><Relationship Id="rId387" Type="http://schemas.openxmlformats.org/officeDocument/2006/relationships/hyperlink" Target="https://my.zakupki.prom.ua/remote/dispatcher/state_purchase_view/44236786" TargetMode="External"/><Relationship Id="rId510" Type="http://schemas.openxmlformats.org/officeDocument/2006/relationships/hyperlink" Target="https://zakupivli.pro/gov/tenders/UA-2023-10-25-014030-a" TargetMode="External"/><Relationship Id="rId594" Type="http://schemas.openxmlformats.org/officeDocument/2006/relationships/hyperlink" Target="https://zakupivli.pro/gov/tenders/UA-2024-01-12-009909-a" TargetMode="External"/><Relationship Id="rId608" Type="http://schemas.openxmlformats.org/officeDocument/2006/relationships/hyperlink" Target="https://zakupivli.pro/gov/tenders/UA-2024-01-18-003702-a/lot-27cd208e8a504524a5e97e2ee6194a7e" TargetMode="External"/><Relationship Id="rId815" Type="http://schemas.openxmlformats.org/officeDocument/2006/relationships/hyperlink" Target="https://my.zakupivli.pro/remote/dispatcher/state_purchase_view/49215079" TargetMode="External"/><Relationship Id="rId1238" Type="http://schemas.openxmlformats.org/officeDocument/2006/relationships/hyperlink" Target="https://my.zakupivli.pro/remote/dispatcher/state_purchase_view/52353571" TargetMode="External"/><Relationship Id="rId247" Type="http://schemas.openxmlformats.org/officeDocument/2006/relationships/hyperlink" Target="https://zakupki.prom.ua/gov/tenders/UA-2023-03-30-003000-a" TargetMode="External"/><Relationship Id="rId899" Type="http://schemas.openxmlformats.org/officeDocument/2006/relationships/hyperlink" Target="https://zakupivli.pro/gov/tenders/UA-2024-03-01-007913-a/lot-93b7875b9bb14e36bad78b6b052d45ba" TargetMode="External"/><Relationship Id="rId1000" Type="http://schemas.openxmlformats.org/officeDocument/2006/relationships/hyperlink" Target="https://zakupivli.pro/gov/tenders/UA-2024-03-25-000272-a" TargetMode="External"/><Relationship Id="rId1084" Type="http://schemas.openxmlformats.org/officeDocument/2006/relationships/hyperlink" Target="https://zakupivli.pro/gov/tenders/UA-2024-05-08-001172-a" TargetMode="External"/><Relationship Id="rId1305" Type="http://schemas.openxmlformats.org/officeDocument/2006/relationships/hyperlink" Target="https://zakupivli.pro/gov/tenders/UA-2024-08-14-000304-a" TargetMode="External"/><Relationship Id="rId107" Type="http://schemas.openxmlformats.org/officeDocument/2006/relationships/hyperlink" Target="https://my.zakupki.prom.ua/remote/dispatcher/state_purchase_view/40865423" TargetMode="External"/><Relationship Id="rId454" Type="http://schemas.openxmlformats.org/officeDocument/2006/relationships/hyperlink" Target="https://my.zakupki.prom.ua/remote/dispatcher/state_purchase_view/44854889" TargetMode="External"/><Relationship Id="rId661" Type="http://schemas.openxmlformats.org/officeDocument/2006/relationships/hyperlink" Target="https://my.zakupivli.pro/remote/dispatcher/state_purchase_view/48686800" TargetMode="External"/><Relationship Id="rId759" Type="http://schemas.openxmlformats.org/officeDocument/2006/relationships/hyperlink" Target="https://zakupivli.pro/gov/tenders/UA-2024-02-02-013279-a" TargetMode="External"/><Relationship Id="rId966" Type="http://schemas.openxmlformats.org/officeDocument/2006/relationships/hyperlink" Target="https://my.zakupivli.pro/remote/dispatcher/state_purchase_view/49855542" TargetMode="External"/><Relationship Id="rId1291" Type="http://schemas.openxmlformats.org/officeDocument/2006/relationships/hyperlink" Target="https://zakupivli.pro/gov/tenders/UA-2024-08-22-004238-a" TargetMode="External"/><Relationship Id="rId1389" Type="http://schemas.openxmlformats.org/officeDocument/2006/relationships/hyperlink" Target="https://zakupivli.pro/gov/tenders/ua-2024-10-21-012894-a" TargetMode="External"/><Relationship Id="rId11" Type="http://schemas.openxmlformats.org/officeDocument/2006/relationships/hyperlink" Target="https://zakupki.prom.ua/gov/tenders/UA-2022-11-23-004191-a" TargetMode="External"/><Relationship Id="rId314" Type="http://schemas.openxmlformats.org/officeDocument/2006/relationships/hyperlink" Target="https://zakupki.prom.ua/gov/tenders/UA-2023-04-05-004163-a" TargetMode="External"/><Relationship Id="rId398" Type="http://schemas.openxmlformats.org/officeDocument/2006/relationships/hyperlink" Target="https://zakupki.prom.ua/gov/tenders/UA-2023-07-19-002763-a" TargetMode="External"/><Relationship Id="rId521" Type="http://schemas.openxmlformats.org/officeDocument/2006/relationships/hyperlink" Target="https://my.zakupivli.pro/remote/dispatcher/state_purchase_view/47064329" TargetMode="External"/><Relationship Id="rId619" Type="http://schemas.openxmlformats.org/officeDocument/2006/relationships/hyperlink" Target="https://my.zakupivli.pro/remote/dispatcher/state_purchase_view/48486803" TargetMode="External"/><Relationship Id="rId1151" Type="http://schemas.openxmlformats.org/officeDocument/2006/relationships/hyperlink" Target="https://zakupivli.pro/gov/tenders/UA-2024-06-13-006939-a" TargetMode="External"/><Relationship Id="rId1249" Type="http://schemas.openxmlformats.org/officeDocument/2006/relationships/hyperlink" Target="https://my.zakupivli.pro/remote/dispatcher/state_purchase_view/52516741" TargetMode="External"/><Relationship Id="rId95" Type="http://schemas.openxmlformats.org/officeDocument/2006/relationships/hyperlink" Target="https://my.zakupki.prom.ua/remote/dispatcher/state_purchase_view/41189548" TargetMode="External"/><Relationship Id="rId160" Type="http://schemas.openxmlformats.org/officeDocument/2006/relationships/hyperlink" Target="https://zakupki.prom.ua/gov/tenders/UA-2023-03-14-001150-a/lot-58c7f0424cf244059dfabb02f3fe5c97" TargetMode="External"/><Relationship Id="rId826" Type="http://schemas.openxmlformats.org/officeDocument/2006/relationships/hyperlink" Target="https://my.zakupivli.pro/remote/dispatcher/state_purchase_view/49303437" TargetMode="External"/><Relationship Id="rId1011" Type="http://schemas.openxmlformats.org/officeDocument/2006/relationships/hyperlink" Target="https://zakupivli.pro/gov/tenders/UA-2024-04-01-005332-a" TargetMode="External"/><Relationship Id="rId1109" Type="http://schemas.openxmlformats.org/officeDocument/2006/relationships/hyperlink" Target="https://zakupivli.pro/gov/tenders/UA-2024-05-21-002810-a" TargetMode="External"/><Relationship Id="rId258" Type="http://schemas.openxmlformats.org/officeDocument/2006/relationships/hyperlink" Target="https://my.zakupki.prom.ua/remote/dispatcher/state_purchase_view/41738442" TargetMode="External"/><Relationship Id="rId465" Type="http://schemas.openxmlformats.org/officeDocument/2006/relationships/hyperlink" Target="https://zakupki.prom.ua/gov/tenders/UA-2023-09-12-001499-a" TargetMode="External"/><Relationship Id="rId672" Type="http://schemas.openxmlformats.org/officeDocument/2006/relationships/hyperlink" Target="https://zakupivli.pro/gov/tenders/UA-2024-01-25-012929-a" TargetMode="External"/><Relationship Id="rId1095" Type="http://schemas.openxmlformats.org/officeDocument/2006/relationships/hyperlink" Target="https://zakupivli.pro/gov/tenders/UA-2024-05-10-008517-a/lot-1ee185c5fd264090b8f76f8b2beb6263" TargetMode="External"/><Relationship Id="rId1316" Type="http://schemas.openxmlformats.org/officeDocument/2006/relationships/hyperlink" Target="https://my.zakupivli.pro/remote/dispatcher/state_purchase_view/53131375" TargetMode="External"/><Relationship Id="rId22" Type="http://schemas.openxmlformats.org/officeDocument/2006/relationships/hyperlink" Target="https://zakupki.prom.ua/gov/tenders/UA-2023-01-17-001178-a" TargetMode="External"/><Relationship Id="rId118" Type="http://schemas.openxmlformats.org/officeDocument/2006/relationships/hyperlink" Target="https://zakupki.prom.ua/gov/tenders/UA-2023-02-20-013352-a" TargetMode="External"/><Relationship Id="rId325" Type="http://schemas.openxmlformats.org/officeDocument/2006/relationships/hyperlink" Target="https://zakupki.prom.ua/gov/tenders/UA-2023-04-25-007183-a/lot-8748c140f01f431cab69c26fe9becfb6" TargetMode="External"/><Relationship Id="rId532" Type="http://schemas.openxmlformats.org/officeDocument/2006/relationships/hyperlink" Target="https://zakupivli.pro/gov/tenders/UA-2023-12-06-005005-a" TargetMode="External"/><Relationship Id="rId977" Type="http://schemas.openxmlformats.org/officeDocument/2006/relationships/hyperlink" Target="https://my.zakupivli.pro/remote/dispatcher/state_purchase_view/49993454" TargetMode="External"/><Relationship Id="rId1162" Type="http://schemas.openxmlformats.org/officeDocument/2006/relationships/hyperlink" Target="https://my.zakupivli.pro/remote/dispatcher/state_purchase_view/51759699" TargetMode="External"/><Relationship Id="rId171" Type="http://schemas.openxmlformats.org/officeDocument/2006/relationships/hyperlink" Target="https://zakupki.prom.ua/gov/tenders/UA-2023-03-15-006678-a/lot-13fdfafb466f4b3ab8b0755fc20fad63" TargetMode="External"/><Relationship Id="rId837" Type="http://schemas.openxmlformats.org/officeDocument/2006/relationships/hyperlink" Target="https://my.zakupivli.pro/remote/dispatcher/state_purchase_view/49296397" TargetMode="External"/><Relationship Id="rId1022" Type="http://schemas.openxmlformats.org/officeDocument/2006/relationships/hyperlink" Target="https://zakupivli.pro/gov/tenders/UA-2024-04-03-008011-a" TargetMode="External"/><Relationship Id="rId269" Type="http://schemas.openxmlformats.org/officeDocument/2006/relationships/hyperlink" Target="https://my.zakupki.prom.ua/remote/dispatcher/state_purchase_view/41780303" TargetMode="External"/><Relationship Id="rId476" Type="http://schemas.openxmlformats.org/officeDocument/2006/relationships/hyperlink" Target="https://my.zakupki.prom.ua/remote/dispatcher/state_purchase_view/45239472" TargetMode="External"/><Relationship Id="rId683" Type="http://schemas.openxmlformats.org/officeDocument/2006/relationships/hyperlink" Target="https://zakupivli.pro/gov/tenders/UA-2024-01-31-007708-a" TargetMode="External"/><Relationship Id="rId890" Type="http://schemas.openxmlformats.org/officeDocument/2006/relationships/hyperlink" Target="https://zakupivli.pro/gov/tenders/UA-2024-02-28-002778-a/lot-68233ac24358441b8c7a69f827b3f15d" TargetMode="External"/><Relationship Id="rId904" Type="http://schemas.openxmlformats.org/officeDocument/2006/relationships/hyperlink" Target="https://my.zakupivli.pro/remote/dispatcher/state_purchase_view/49563835" TargetMode="External"/><Relationship Id="rId1327" Type="http://schemas.openxmlformats.org/officeDocument/2006/relationships/hyperlink" Target="https://my.zakupivli.pro/remote/dispatcher/state_purchase_view/53281103" TargetMode="External"/><Relationship Id="rId33" Type="http://schemas.openxmlformats.org/officeDocument/2006/relationships/hyperlink" Target="https://my.zakupki.prom.ua/remote/dispatcher/state_purchase_view/41550489" TargetMode="External"/><Relationship Id="rId129" Type="http://schemas.openxmlformats.org/officeDocument/2006/relationships/hyperlink" Target="https://zakupki.prom.ua/gov/tenders/UA-2023-03-02-008797-a/lot-186b009304544482bba39a1a656b22d4" TargetMode="External"/><Relationship Id="rId336" Type="http://schemas.openxmlformats.org/officeDocument/2006/relationships/hyperlink" Target="https://my.zakupki.prom.ua/remote/dispatcher/state_purchase_view/42219107" TargetMode="External"/><Relationship Id="rId543" Type="http://schemas.openxmlformats.org/officeDocument/2006/relationships/hyperlink" Target="https://my.zakupivli.pro/remote/dispatcher/state_purchase_view/47910696" TargetMode="External"/><Relationship Id="rId988" Type="http://schemas.openxmlformats.org/officeDocument/2006/relationships/hyperlink" Target="https://zakupivli.pro/gov/tenders/UA-2024-03-25-000945-a" TargetMode="External"/><Relationship Id="rId1173" Type="http://schemas.openxmlformats.org/officeDocument/2006/relationships/hyperlink" Target="https://my.zakupivli.pro/remote/dispatcher/state_purchase_view/51817193" TargetMode="External"/><Relationship Id="rId1380" Type="http://schemas.openxmlformats.org/officeDocument/2006/relationships/hyperlink" Target="https://my.zakupivli.pro/remote/dispatcher/state_purchase_view/54095106" TargetMode="External"/><Relationship Id="rId182" Type="http://schemas.openxmlformats.org/officeDocument/2006/relationships/hyperlink" Target="https://zakupki.prom.ua/gov/tenders/UA-2023-03-20-010412-a" TargetMode="External"/><Relationship Id="rId403" Type="http://schemas.openxmlformats.org/officeDocument/2006/relationships/hyperlink" Target="https://zakupki.prom.ua/gov/tenders/UA-2023-07-24-010799-a" TargetMode="External"/><Relationship Id="rId750" Type="http://schemas.openxmlformats.org/officeDocument/2006/relationships/hyperlink" Target="https://my.zakupivli.pro/remote/dispatcher/state_purchase_view/48879722" TargetMode="External"/><Relationship Id="rId848" Type="http://schemas.openxmlformats.org/officeDocument/2006/relationships/hyperlink" Target="https://zakupivli.pro/gov/tenders/UA-2024-02-20-009499-a" TargetMode="External"/><Relationship Id="rId1033" Type="http://schemas.openxmlformats.org/officeDocument/2006/relationships/hyperlink" Target="https://zakupivli.pro/gov/tenders/UA-2024-04-03-011788-a" TargetMode="External"/><Relationship Id="rId487" Type="http://schemas.openxmlformats.org/officeDocument/2006/relationships/hyperlink" Target="https://my.zakupki.prom.ua/remote/dispatcher/state_purchase_view/45419691" TargetMode="External"/><Relationship Id="rId610" Type="http://schemas.openxmlformats.org/officeDocument/2006/relationships/hyperlink" Target="https://zakupivli.pro/gov/tenders/UA-2024-01-18-004061-a/lot-b857a65b5d5a449babbd1d091413e166" TargetMode="External"/><Relationship Id="rId694" Type="http://schemas.openxmlformats.org/officeDocument/2006/relationships/hyperlink" Target="https://zakupivli.pro/gov/tenders/UA-2024-01-31-010710-a" TargetMode="External"/><Relationship Id="rId708" Type="http://schemas.openxmlformats.org/officeDocument/2006/relationships/hyperlink" Target="https://zakupivli.pro/gov/tenders/UA-2024-02-02-013046-a" TargetMode="External"/><Relationship Id="rId915" Type="http://schemas.openxmlformats.org/officeDocument/2006/relationships/hyperlink" Target="https://my.zakupivli.pro/remote/dispatcher/state_purchase_view/49602717" TargetMode="External"/><Relationship Id="rId1240" Type="http://schemas.openxmlformats.org/officeDocument/2006/relationships/hyperlink" Target="https://zakupivli.pro/gov/tenders/UA-2024-07-25-003393-a" TargetMode="External"/><Relationship Id="rId1338" Type="http://schemas.openxmlformats.org/officeDocument/2006/relationships/hyperlink" Target="https://my.zakupivli.pro/remote/dispatcher/state_purchase_view/53457069" TargetMode="External"/><Relationship Id="rId347" Type="http://schemas.openxmlformats.org/officeDocument/2006/relationships/hyperlink" Target="../AppData/Roaming/Microsoft/Excel/UA-2023-04-26-009769-a" TargetMode="External"/><Relationship Id="rId999" Type="http://schemas.openxmlformats.org/officeDocument/2006/relationships/hyperlink" Target="https://zakupivli.pro/gov/tenders/UA-2024-03-25-000383-a" TargetMode="External"/><Relationship Id="rId1100" Type="http://schemas.openxmlformats.org/officeDocument/2006/relationships/hyperlink" Target="https://my.zakupivli.pro/remote/dispatcher/state_purchase_view/50949996" TargetMode="External"/><Relationship Id="rId1184" Type="http://schemas.openxmlformats.org/officeDocument/2006/relationships/hyperlink" Target="https://my.zakupivli.pro/remote/dispatcher/state_purchase_view/51864709" TargetMode="External"/><Relationship Id="rId44" Type="http://schemas.openxmlformats.org/officeDocument/2006/relationships/hyperlink" Target="https://my.zakupki.prom.ua/remote/dispatcher/state_purchase_view/41519874" TargetMode="External"/><Relationship Id="rId554" Type="http://schemas.openxmlformats.org/officeDocument/2006/relationships/hyperlink" Target="https://my.zakupivli.pro/remote/dispatcher/state_purchase_view/48105477" TargetMode="External"/><Relationship Id="rId761" Type="http://schemas.openxmlformats.org/officeDocument/2006/relationships/hyperlink" Target="https://my.zakupivli.pro/remote/dispatcher/state_purchase_view/48907751" TargetMode="External"/><Relationship Id="rId859" Type="http://schemas.openxmlformats.org/officeDocument/2006/relationships/hyperlink" Target="https://zakupivli.pro/gov/tenders/UA-2024-02-21-000270-a" TargetMode="External"/><Relationship Id="rId193" Type="http://schemas.openxmlformats.org/officeDocument/2006/relationships/hyperlink" Target="https://zakupki.prom.ua/gov/tenders/UA-2023-03-20-007084-a" TargetMode="External"/><Relationship Id="rId207" Type="http://schemas.openxmlformats.org/officeDocument/2006/relationships/hyperlink" Target="https://my.zakupki.prom.ua/remote/dispatcher/state_purchase_view/41677151" TargetMode="External"/><Relationship Id="rId414" Type="http://schemas.openxmlformats.org/officeDocument/2006/relationships/hyperlink" Target="https://my.zakupki.prom.ua/remote/dispatcher/state_purchase_view/44523546" TargetMode="External"/><Relationship Id="rId498" Type="http://schemas.openxmlformats.org/officeDocument/2006/relationships/hyperlink" Target="https://zakupki.prom.ua/gov/tenders/UA-2023-10-09-004357-a" TargetMode="External"/><Relationship Id="rId621" Type="http://schemas.openxmlformats.org/officeDocument/2006/relationships/hyperlink" Target="https://my.zakupivli.pro/remote/dispatcher/state_purchase_view/48486096" TargetMode="External"/><Relationship Id="rId1044" Type="http://schemas.openxmlformats.org/officeDocument/2006/relationships/hyperlink" Target="https://zakupivli.pro/gov/tenders/UA-2024-04-09-001535-a" TargetMode="External"/><Relationship Id="rId1251" Type="http://schemas.openxmlformats.org/officeDocument/2006/relationships/hyperlink" Target="https://my.zakupivli.pro/remote/dispatcher/state_purchase_view/52524003" TargetMode="External"/><Relationship Id="rId1349" Type="http://schemas.openxmlformats.org/officeDocument/2006/relationships/hyperlink" Target="https://zakupivli.pro/gov/tenders/ua-2024-09-23-004311-a" TargetMode="External"/><Relationship Id="rId260" Type="http://schemas.openxmlformats.org/officeDocument/2006/relationships/hyperlink" Target="https://zakupki.prom.ua/gov/tenders/UA-2023-03-31-004510-a" TargetMode="External"/><Relationship Id="rId719" Type="http://schemas.openxmlformats.org/officeDocument/2006/relationships/hyperlink" Target="https://zakupivli.pro/gov/tenders/UA-2024-02-02-012574-a" TargetMode="External"/><Relationship Id="rId926" Type="http://schemas.openxmlformats.org/officeDocument/2006/relationships/hyperlink" Target="https://zakupivli.pro/gov/tenders/UA-2024-03-07-006789-a" TargetMode="External"/><Relationship Id="rId1111" Type="http://schemas.openxmlformats.org/officeDocument/2006/relationships/hyperlink" Target="https://zakupivli.pro/gov/tenders/UA-2024-05-22-000727-a" TargetMode="External"/><Relationship Id="rId55" Type="http://schemas.openxmlformats.org/officeDocument/2006/relationships/hyperlink" Target="https://my.zakupki.prom.ua/remote/dispatcher/state_purchase_view/41432337" TargetMode="External"/><Relationship Id="rId120" Type="http://schemas.openxmlformats.org/officeDocument/2006/relationships/hyperlink" Target="https://zakupki.prom.ua/gov/tenders/UA-2023-02-20-013068-a" TargetMode="External"/><Relationship Id="rId358" Type="http://schemas.openxmlformats.org/officeDocument/2006/relationships/hyperlink" Target="https://zakupki.prom.ua/gov/tenders/UA-2023-05-10-012762-a" TargetMode="External"/><Relationship Id="rId565" Type="http://schemas.openxmlformats.org/officeDocument/2006/relationships/hyperlink" Target="https://zakupivli.pro/gov/tenders/UA-2023-12-29-000127-a" TargetMode="External"/><Relationship Id="rId772" Type="http://schemas.openxmlformats.org/officeDocument/2006/relationships/hyperlink" Target="https://my.zakupivli.pro/remote/dispatcher/state_purchase_view/48971877" TargetMode="External"/><Relationship Id="rId1195" Type="http://schemas.openxmlformats.org/officeDocument/2006/relationships/hyperlink" Target="https://my.zakupivli.pro/remote/dispatcher/state_purchase_view/52044369" TargetMode="External"/><Relationship Id="rId1209" Type="http://schemas.openxmlformats.org/officeDocument/2006/relationships/hyperlink" Target="https://my.zakupivli.pro/remote/dispatcher/state_purchase_view/52221727" TargetMode="External"/><Relationship Id="rId218" Type="http://schemas.openxmlformats.org/officeDocument/2006/relationships/hyperlink" Target="https://zakupki.prom.ua/gov/tenders/UA-2023-03-27-006317-a" TargetMode="External"/><Relationship Id="rId425" Type="http://schemas.openxmlformats.org/officeDocument/2006/relationships/hyperlink" Target="https://zakupki.prom.ua/gov/tenders/UA-2023-08-10-007949-a/lot-9af6122684ce49b1a18121432078d5c2" TargetMode="External"/><Relationship Id="rId632" Type="http://schemas.openxmlformats.org/officeDocument/2006/relationships/hyperlink" Target="https://zakupivli.pro/gov/tenders/UA-2024-01-22-009491-a" TargetMode="External"/><Relationship Id="rId1055" Type="http://schemas.openxmlformats.org/officeDocument/2006/relationships/hyperlink" Target="https://zakupivli.pro/gov/tenders/UA-2024-04-11-009544-a" TargetMode="External"/><Relationship Id="rId1262" Type="http://schemas.openxmlformats.org/officeDocument/2006/relationships/hyperlink" Target="https://my.zakupivli.pro/remote/dispatcher/state_purchase_view/52604904" TargetMode="External"/><Relationship Id="rId271" Type="http://schemas.openxmlformats.org/officeDocument/2006/relationships/hyperlink" Target="https://my.zakupki.prom.ua/remote/dispatcher/state_purchase_view/41779398" TargetMode="External"/><Relationship Id="rId937" Type="http://schemas.openxmlformats.org/officeDocument/2006/relationships/hyperlink" Target="https://my.zakupivli.pro/remote/dispatcher/state_purchase_view/49743496" TargetMode="External"/><Relationship Id="rId1122" Type="http://schemas.openxmlformats.org/officeDocument/2006/relationships/hyperlink" Target="https://my.zakupivli.pro/remote/dispatcher/state_purchase_view/51251184" TargetMode="External"/><Relationship Id="rId66" Type="http://schemas.openxmlformats.org/officeDocument/2006/relationships/hyperlink" Target="https://my.zakupki.prom.ua/remote/dispatcher/state_purchase_view/41426342" TargetMode="External"/><Relationship Id="rId131" Type="http://schemas.openxmlformats.org/officeDocument/2006/relationships/hyperlink" Target="https://zakupki.prom.ua/gov/tenders/UA-2023-03-02-008423-a" TargetMode="External"/><Relationship Id="rId369" Type="http://schemas.openxmlformats.org/officeDocument/2006/relationships/hyperlink" Target="https://zakupki.prom.ua/gov/tenders/UA-2023-06-05-010990-a" TargetMode="External"/><Relationship Id="rId576" Type="http://schemas.openxmlformats.org/officeDocument/2006/relationships/hyperlink" Target="https://zakupivli.pro/gov/tenders/UA-2024-01-04-005625-a" TargetMode="External"/><Relationship Id="rId783" Type="http://schemas.openxmlformats.org/officeDocument/2006/relationships/hyperlink" Target="https://zakupivli.pro/gov/tenders/UA-2024-02-07-009090-a/lot-22a99a680c774a04b4fe6ba48365a060" TargetMode="External"/><Relationship Id="rId990" Type="http://schemas.openxmlformats.org/officeDocument/2006/relationships/hyperlink" Target="https://zakupivli.pro/gov/tenders/UA-2024-03-25-000641-a" TargetMode="External"/><Relationship Id="rId229" Type="http://schemas.openxmlformats.org/officeDocument/2006/relationships/hyperlink" Target="https://my.zakupki.prom.ua/remote/dispatcher/state_purchase_view/41677151" TargetMode="External"/><Relationship Id="rId436" Type="http://schemas.openxmlformats.org/officeDocument/2006/relationships/hyperlink" Target="https://my.zakupki.prom.ua/remote/dispatcher/state_purchase_view/44706235" TargetMode="External"/><Relationship Id="rId643" Type="http://schemas.openxmlformats.org/officeDocument/2006/relationships/hyperlink" Target="https://zakupivli.pro/gov/tenders/UA-2024-01-23-002308-a" TargetMode="External"/><Relationship Id="rId1066" Type="http://schemas.openxmlformats.org/officeDocument/2006/relationships/hyperlink" Target="https://my.zakupivli.pro/remote/dispatcher/state_purchase_view/50625843" TargetMode="External"/><Relationship Id="rId1273" Type="http://schemas.openxmlformats.org/officeDocument/2006/relationships/hyperlink" Target="https://my.zakupivli.pro/remote/dispatcher/state_purchase_view/52826404" TargetMode="External"/><Relationship Id="rId850" Type="http://schemas.openxmlformats.org/officeDocument/2006/relationships/hyperlink" Target="https://zakupivli.pro/gov/tenders/UA-2024-02-20-008982-a" TargetMode="External"/><Relationship Id="rId948" Type="http://schemas.openxmlformats.org/officeDocument/2006/relationships/hyperlink" Target="https://zakupivli.pro/gov/tenders/UA-2024-03-12-007781-a" TargetMode="External"/><Relationship Id="rId1133" Type="http://schemas.openxmlformats.org/officeDocument/2006/relationships/hyperlink" Target="https://my.zakupivli.pro/remote/dispatcher/state_purchase_view/51322404" TargetMode="External"/><Relationship Id="rId77" Type="http://schemas.openxmlformats.org/officeDocument/2006/relationships/hyperlink" Target="https://my.zakupki.prom.ua/remote/dispatcher/state_purchase_view/41328966" TargetMode="External"/><Relationship Id="rId282" Type="http://schemas.openxmlformats.org/officeDocument/2006/relationships/hyperlink" Target="https://zakupki.prom.ua/gov/tenders/UA-2023-04-03-010385-a" TargetMode="External"/><Relationship Id="rId503" Type="http://schemas.openxmlformats.org/officeDocument/2006/relationships/hyperlink" Target="https://zakupivli.pro/gov/tenders/UA-2023-10-24-009180-a" TargetMode="External"/><Relationship Id="rId587" Type="http://schemas.openxmlformats.org/officeDocument/2006/relationships/hyperlink" Target="https://zakupivli.pro/gov/tenders/UA-2024-01-08-004546-a" TargetMode="External"/><Relationship Id="rId710" Type="http://schemas.openxmlformats.org/officeDocument/2006/relationships/hyperlink" Target="https://zakupivli.pro/gov/tenders/UA-2024-02-02-013037-a/lot-b88700d6998348eda24af28d5e710879" TargetMode="External"/><Relationship Id="rId808" Type="http://schemas.openxmlformats.org/officeDocument/2006/relationships/hyperlink" Target="https://my.zakupivli.pro/remote/dispatcher/state_purchase_view/49159293" TargetMode="External"/><Relationship Id="rId1340" Type="http://schemas.openxmlformats.org/officeDocument/2006/relationships/hyperlink" Target="https://zakupivli.pro/gov/tenders/ua-2024-09-20-001099-a/lot-7f3cf0e67a7f4039be31f0df67d5990e" TargetMode="External"/><Relationship Id="rId8" Type="http://schemas.openxmlformats.org/officeDocument/2006/relationships/hyperlink" Target="https://zakupki.prom.ua/gov/tenders/UA-2022-11-16-006956-a/lot-e5efd7136220411b8d2af786a0f55946" TargetMode="External"/><Relationship Id="rId142" Type="http://schemas.openxmlformats.org/officeDocument/2006/relationships/hyperlink" Target="https://my.zakupki.prom.ua/remote/dispatcher/state_purchase_view/41606005" TargetMode="External"/><Relationship Id="rId447" Type="http://schemas.openxmlformats.org/officeDocument/2006/relationships/hyperlink" Target="https://my.zakupki.prom.ua/remote/dispatcher/state_purchase_view/44771791" TargetMode="External"/><Relationship Id="rId794" Type="http://schemas.openxmlformats.org/officeDocument/2006/relationships/hyperlink" Target="https://zakupivli.pro/gov/tenders/UA-2024-02-08-002241-a" TargetMode="External"/><Relationship Id="rId1077" Type="http://schemas.openxmlformats.org/officeDocument/2006/relationships/hyperlink" Target="https://zakupivli.pro/gov/tenders/UA-2024-04-30-007691-a" TargetMode="External"/><Relationship Id="rId1200" Type="http://schemas.openxmlformats.org/officeDocument/2006/relationships/hyperlink" Target="https://my.zakupivli.pro/remote/dispatcher/state_purchase_view/52153166" TargetMode="External"/><Relationship Id="rId654" Type="http://schemas.openxmlformats.org/officeDocument/2006/relationships/hyperlink" Target="https://zakupivli.pro/gov/tenders/UA-2024-01-24-010255-a/lot-1d02cc7b7bdb497bbad33bd2c53f6481" TargetMode="External"/><Relationship Id="rId861" Type="http://schemas.openxmlformats.org/officeDocument/2006/relationships/hyperlink" Target="https://my.zakupivli.pro/remote/dispatcher/state_purchase_view/49348727" TargetMode="External"/><Relationship Id="rId959" Type="http://schemas.openxmlformats.org/officeDocument/2006/relationships/hyperlink" Target="https://zakupivli.pro/gov/tenders/UA-2024-03-14-001638-a/lot-83c45c7f7d5348119a35d0c4ac2e1c91" TargetMode="External"/><Relationship Id="rId1284" Type="http://schemas.openxmlformats.org/officeDocument/2006/relationships/hyperlink" Target="https://my.zakupivli.pro/remote/dispatcher/state_purchase_view/52723515" TargetMode="External"/><Relationship Id="rId293" Type="http://schemas.openxmlformats.org/officeDocument/2006/relationships/hyperlink" Target="https://zakupki.prom.ua/gov/tenders/UA-2023-04-04-009813-a/lot-ef71cd4b497b4597a20602ce6c7ca54c" TargetMode="External"/><Relationship Id="rId307" Type="http://schemas.openxmlformats.org/officeDocument/2006/relationships/hyperlink" Target="https://zakupki.prom.ua/gov/tenders/UA-2023-04-04-000680-a" TargetMode="External"/><Relationship Id="rId514" Type="http://schemas.openxmlformats.org/officeDocument/2006/relationships/hyperlink" Target="https://my.zakupivli.pro/remote/dispatcher/state_purchase_view/46516207" TargetMode="External"/><Relationship Id="rId721" Type="http://schemas.openxmlformats.org/officeDocument/2006/relationships/hyperlink" Target="https://zakupivli.pro/gov/tenders/UA-2024-02-02-012545-a/lot-b24fd599e6ef483d887d3ddfdfff3b6e" TargetMode="External"/><Relationship Id="rId1144" Type="http://schemas.openxmlformats.org/officeDocument/2006/relationships/hyperlink" Target="https://my.zakupivli.pro/remote/dispatcher/state_purchase_view/51515216" TargetMode="External"/><Relationship Id="rId1351" Type="http://schemas.openxmlformats.org/officeDocument/2006/relationships/hyperlink" Target="https://zakupivli.pro/gov/tenders/ua-2024-09-23-001580-a" TargetMode="External"/><Relationship Id="rId88" Type="http://schemas.openxmlformats.org/officeDocument/2006/relationships/hyperlink" Target="https://my.zakupki.prom.ua/remote/dispatcher/state_purchase_view/41204144" TargetMode="External"/><Relationship Id="rId153" Type="http://schemas.openxmlformats.org/officeDocument/2006/relationships/hyperlink" Target="https://zakupki.prom.ua/gov/tenders/UA-2023-03-10-000247-a/lot-79af372a59d24d9887d5cf71602197f7" TargetMode="External"/><Relationship Id="rId360" Type="http://schemas.openxmlformats.org/officeDocument/2006/relationships/hyperlink" Target="https://zakupki.prom.ua/gov/tenders/UA-2023-05-11-004787-a/lot-70f892454c7144e0aa051568026c3a1f" TargetMode="External"/><Relationship Id="rId598" Type="http://schemas.openxmlformats.org/officeDocument/2006/relationships/hyperlink" Target="https://zakupivli.pro/gov/tenders/UA-2024-01-13-000381-a" TargetMode="External"/><Relationship Id="rId819" Type="http://schemas.openxmlformats.org/officeDocument/2006/relationships/hyperlink" Target="https://zakupivli.pro/gov/tenders/UA-2024-02-15-002556-a" TargetMode="External"/><Relationship Id="rId1004" Type="http://schemas.openxmlformats.org/officeDocument/2006/relationships/hyperlink" Target="https://my.zakupivli.pro/remote/dispatcher/state_purchase_view/50133163" TargetMode="External"/><Relationship Id="rId1211" Type="http://schemas.openxmlformats.org/officeDocument/2006/relationships/hyperlink" Target="https://zakupivli.pro/gov/tenders/UA-2024-07-18-003762-a" TargetMode="External"/><Relationship Id="rId220" Type="http://schemas.openxmlformats.org/officeDocument/2006/relationships/hyperlink" Target="https://zakupki.prom.ua/gov/tenders/UA-2023-03-27-005517-a" TargetMode="External"/><Relationship Id="rId458" Type="http://schemas.openxmlformats.org/officeDocument/2006/relationships/hyperlink" Target="https://my.zakupki.prom.ua/remote/dispatcher/state_purchase_lot_view/1042853" TargetMode="External"/><Relationship Id="rId665" Type="http://schemas.openxmlformats.org/officeDocument/2006/relationships/hyperlink" Target="https://my.zakupivli.pro/remote/dispatcher/state_purchase_view/48685400" TargetMode="External"/><Relationship Id="rId872" Type="http://schemas.openxmlformats.org/officeDocument/2006/relationships/hyperlink" Target="https://zakupivli.pro/gov/tenders/UA-2024-02-22-011155-a" TargetMode="External"/><Relationship Id="rId1088" Type="http://schemas.openxmlformats.org/officeDocument/2006/relationships/hyperlink" Target="https://zakupivli.pro/gov/tenders/UA-2024-05-09-002161-a" TargetMode="External"/><Relationship Id="rId1295" Type="http://schemas.openxmlformats.org/officeDocument/2006/relationships/hyperlink" Target="https://zakupivli.pro/gov/tenders/UA-2024-08-21-003447-a" TargetMode="External"/><Relationship Id="rId1309" Type="http://schemas.openxmlformats.org/officeDocument/2006/relationships/hyperlink" Target="https://zakupivli.pro/gov/tenders/UA-2024-08-09-003010-a" TargetMode="External"/><Relationship Id="rId15" Type="http://schemas.openxmlformats.org/officeDocument/2006/relationships/hyperlink" Target="https://my.zakupki.prom.ua/remote/dispatcher/state_purchase_view/39591644" TargetMode="External"/><Relationship Id="rId318" Type="http://schemas.openxmlformats.org/officeDocument/2006/relationships/hyperlink" Target="https://my.zakupki.prom.ua/remote/dispatcher/state_purchase_view/42015243" TargetMode="External"/><Relationship Id="rId525" Type="http://schemas.openxmlformats.org/officeDocument/2006/relationships/hyperlink" Target="https://my.zakupivli.pro/remote/dispatcher/state_purchase_view/47090594" TargetMode="External"/><Relationship Id="rId732" Type="http://schemas.openxmlformats.org/officeDocument/2006/relationships/hyperlink" Target="https://my.zakupivli.pro/remote/dispatcher/state_purchase_view/48904467" TargetMode="External"/><Relationship Id="rId1155" Type="http://schemas.openxmlformats.org/officeDocument/2006/relationships/hyperlink" Target="https://zakupivli.pro/gov/tenders/UA-2024-06-14-000434-a/lot-6260dbe8be7343c1bb1acb90f5d6f6fb" TargetMode="External"/><Relationship Id="rId1362" Type="http://schemas.openxmlformats.org/officeDocument/2006/relationships/hyperlink" Target="https://zakupivli.pro/gov/tenders/ua-2024-09-25-000091-a" TargetMode="External"/><Relationship Id="rId99" Type="http://schemas.openxmlformats.org/officeDocument/2006/relationships/hyperlink" Target="https://my.zakupki.prom.ua/remote/dispatcher/state_purchase_view/41077146" TargetMode="External"/><Relationship Id="rId164" Type="http://schemas.openxmlformats.org/officeDocument/2006/relationships/hyperlink" Target="https://zakupki.prom.ua/gov/tenders/UA-2023-03-15-009047-a/lot-6407ad5214e54946b7fa3611aa0d223a" TargetMode="External"/><Relationship Id="rId371" Type="http://schemas.openxmlformats.org/officeDocument/2006/relationships/hyperlink" Target="https://my.zakupki.prom.ua/remote/dispatcher/state_purchase_view/43702909" TargetMode="External"/><Relationship Id="rId1015" Type="http://schemas.openxmlformats.org/officeDocument/2006/relationships/hyperlink" Target="https://zakupivli.pro/gov/tenders/UA-2024-04-01-003479-a" TargetMode="External"/><Relationship Id="rId1222" Type="http://schemas.openxmlformats.org/officeDocument/2006/relationships/hyperlink" Target="https://my.zakupivli.pro/remote/dispatcher/state_purchase_view/52298726" TargetMode="External"/><Relationship Id="rId469" Type="http://schemas.openxmlformats.org/officeDocument/2006/relationships/hyperlink" Target="https://zakupki.prom.ua/gov/tenders/UA-2023-09-06-007953-a/lot-665ab122074d4269b70ceb0ce24e0253" TargetMode="External"/><Relationship Id="rId676" Type="http://schemas.openxmlformats.org/officeDocument/2006/relationships/hyperlink" Target="https://zakupivli.pro/gov/tenders/UA-2024-01-31-005075-a" TargetMode="External"/><Relationship Id="rId883" Type="http://schemas.openxmlformats.org/officeDocument/2006/relationships/hyperlink" Target="https://zakupivli.pro/gov/tenders/UA-2024-02-26-000066-a" TargetMode="External"/><Relationship Id="rId1099" Type="http://schemas.openxmlformats.org/officeDocument/2006/relationships/hyperlink" Target="https://zakupivli.pro/gov/tenders/UA-2024-05-10-004381-a" TargetMode="External"/><Relationship Id="rId26" Type="http://schemas.openxmlformats.org/officeDocument/2006/relationships/hyperlink" Target="https://zakupki.prom.ua/gov/tenders/UA-2023-01-25-000806-a/lot-8aadf7a695434b4192cf5430a97899f1" TargetMode="External"/><Relationship Id="rId231" Type="http://schemas.openxmlformats.org/officeDocument/2006/relationships/hyperlink" Target="https://zakupki.prom.ua/gov/tenders/UA-2023-03-28-007169-a" TargetMode="External"/><Relationship Id="rId329" Type="http://schemas.openxmlformats.org/officeDocument/2006/relationships/hyperlink" Target="https://my.zakupki.prom.ua/remote/dispatcher/state_purchase_view/42377342" TargetMode="External"/><Relationship Id="rId536" Type="http://schemas.openxmlformats.org/officeDocument/2006/relationships/hyperlink" Target="https://zakupivli.pro/gov/tenders/UA-2023-12-06-010301-a" TargetMode="External"/><Relationship Id="rId1166" Type="http://schemas.openxmlformats.org/officeDocument/2006/relationships/hyperlink" Target="https://zakupivli.pro/gov/tenders/UA-2024-06-20-010243-a" TargetMode="External"/><Relationship Id="rId1373" Type="http://schemas.openxmlformats.org/officeDocument/2006/relationships/hyperlink" Target="https://zakupivli.pro/gov/tenders/ua-2024-10-09-000575-a" TargetMode="External"/><Relationship Id="rId175" Type="http://schemas.openxmlformats.org/officeDocument/2006/relationships/hyperlink" Target="https://zakupki.prom.ua/gov/tenders/UA-2023-03-15-006405-a/lot-ccd85ecace464658af4a09c2c26c7d48" TargetMode="External"/><Relationship Id="rId743" Type="http://schemas.openxmlformats.org/officeDocument/2006/relationships/hyperlink" Target="https://zakupivli.pro/gov/tenders/UA-2024-02-02-011282-a/lot-5d681b202a1c41728b223474db6dc6a7" TargetMode="External"/><Relationship Id="rId950" Type="http://schemas.openxmlformats.org/officeDocument/2006/relationships/hyperlink" Target="https://my.zakupivli.pro/remote/dispatcher/state_purchase_view/49754998" TargetMode="External"/><Relationship Id="rId1026" Type="http://schemas.openxmlformats.org/officeDocument/2006/relationships/hyperlink" Target="https://my.zakupivli.pro/remote/dispatcher/state_purchase_view/50200329" TargetMode="External"/><Relationship Id="rId382" Type="http://schemas.openxmlformats.org/officeDocument/2006/relationships/hyperlink" Target="https://my.zakupki.prom.ua/remote/dispatcher/state_purchase_view/44300695" TargetMode="External"/><Relationship Id="rId603" Type="http://schemas.openxmlformats.org/officeDocument/2006/relationships/hyperlink" Target="https://my.zakupivli.pro/remote/dispatcher/state_purchase_view/48421027" TargetMode="External"/><Relationship Id="rId687" Type="http://schemas.openxmlformats.org/officeDocument/2006/relationships/hyperlink" Target="https://zakupivli.pro/gov/tenders/UA-2024-01-31-008115-a" TargetMode="External"/><Relationship Id="rId810" Type="http://schemas.openxmlformats.org/officeDocument/2006/relationships/hyperlink" Target="https://zakupivli.pro/gov/tenders/UA-2024-02-14-000570-a" TargetMode="External"/><Relationship Id="rId908" Type="http://schemas.openxmlformats.org/officeDocument/2006/relationships/hyperlink" Target="https://zakupivli.pro/gov/tenders/UA-2024-03-04-011096-a/lot-7050861540fd4359b3415d117930c267" TargetMode="External"/><Relationship Id="rId1233" Type="http://schemas.openxmlformats.org/officeDocument/2006/relationships/hyperlink" Target="https://zakupivli.pro/gov/tenders/UA-2024-07-24-010258-a/lot-a5a25b4308ba4cde9465599aa591a3ad" TargetMode="External"/><Relationship Id="rId242" Type="http://schemas.openxmlformats.org/officeDocument/2006/relationships/hyperlink" Target="https://my.zakupki.prom.ua/remote/dispatcher/state_purchase_view/41719359" TargetMode="External"/><Relationship Id="rId894" Type="http://schemas.openxmlformats.org/officeDocument/2006/relationships/hyperlink" Target="https://my.zakupivli.pro/remote/dispatcher/state_purchase_view/49508019" TargetMode="External"/><Relationship Id="rId1177" Type="http://schemas.openxmlformats.org/officeDocument/2006/relationships/hyperlink" Target="https://zakupivli.pro/gov/tenders/UA-2024-06-25-001923-a" TargetMode="External"/><Relationship Id="rId1300" Type="http://schemas.openxmlformats.org/officeDocument/2006/relationships/hyperlink" Target="https://zakupivli.pro/gov/tenders/UA-2024-08-16-007878-a/lot-d825321c11524c23946505d178b1c702" TargetMode="External"/><Relationship Id="rId37" Type="http://schemas.openxmlformats.org/officeDocument/2006/relationships/hyperlink" Target="https://my.zakupki.prom.ua/remote/dispatcher/state_purchase_view/41520898" TargetMode="External"/><Relationship Id="rId102" Type="http://schemas.openxmlformats.org/officeDocument/2006/relationships/hyperlink" Target="https://my.zakupki.prom.ua/remote/dispatcher/state_purchase_view/40975928" TargetMode="External"/><Relationship Id="rId547" Type="http://schemas.openxmlformats.org/officeDocument/2006/relationships/hyperlink" Target="https://zakupivli.pro/gov/tenders/UA-2023-12-14-013003-a" TargetMode="External"/><Relationship Id="rId754" Type="http://schemas.openxmlformats.org/officeDocument/2006/relationships/hyperlink" Target="https://my.zakupivli.pro/remote/dispatcher/state_purchase_view/48908684" TargetMode="External"/><Relationship Id="rId961" Type="http://schemas.openxmlformats.org/officeDocument/2006/relationships/hyperlink" Target="https://my.zakupivli.pro/remote/dispatcher/state_purchase_view/49830616" TargetMode="External"/><Relationship Id="rId1384" Type="http://schemas.openxmlformats.org/officeDocument/2006/relationships/hyperlink" Target="https://zakupivli.pro/gov/tenders/ua-2024-10-17-014832-a" TargetMode="External"/><Relationship Id="rId90" Type="http://schemas.openxmlformats.org/officeDocument/2006/relationships/hyperlink" Target="https://my.zakupki.prom.ua/remote/dispatcher/state_purchase_view/41193065" TargetMode="External"/><Relationship Id="rId186" Type="http://schemas.openxmlformats.org/officeDocument/2006/relationships/hyperlink" Target="https://zakupki.prom.ua/gov/tenders/UA-2023-03-20-010255-a" TargetMode="External"/><Relationship Id="rId393" Type="http://schemas.openxmlformats.org/officeDocument/2006/relationships/hyperlink" Target="https://my.zakupki.prom.ua/remote/dispatcher/state_purchase_view/44004041" TargetMode="External"/><Relationship Id="rId407" Type="http://schemas.openxmlformats.org/officeDocument/2006/relationships/hyperlink" Target="https://zakupki.prom.ua/gov/tenders/UA-2023-08-01-002229-a" TargetMode="External"/><Relationship Id="rId614" Type="http://schemas.openxmlformats.org/officeDocument/2006/relationships/hyperlink" Target="https://zakupivli.pro/gov/tenders/UA-2024-01-18-008225-a/lot-e0982ca341584f5b9ebbbed729237236" TargetMode="External"/><Relationship Id="rId821" Type="http://schemas.openxmlformats.org/officeDocument/2006/relationships/hyperlink" Target="https://zakupivli.pro/gov/tenders/UA-2024-02-19-006735-a" TargetMode="External"/><Relationship Id="rId1037" Type="http://schemas.openxmlformats.org/officeDocument/2006/relationships/hyperlink" Target="https://zakupivli.pro/gov/tenders/UA-2024-04-04-010434-a/lot-428e5fc348a04f2b95b483219ef01b28" TargetMode="External"/><Relationship Id="rId1244" Type="http://schemas.openxmlformats.org/officeDocument/2006/relationships/hyperlink" Target="https://my.zakupivli.pro/remote/dispatcher/state_purchase_view/52388202" TargetMode="External"/><Relationship Id="rId253" Type="http://schemas.openxmlformats.org/officeDocument/2006/relationships/hyperlink" Target="https://my.zakupki.prom.ua/remote/dispatcher/state_purchase_view/41743220" TargetMode="External"/><Relationship Id="rId460" Type="http://schemas.openxmlformats.org/officeDocument/2006/relationships/hyperlink" Target="https://my.zakupki.prom.ua/remote/dispatcher/state_purchase_view/45103007" TargetMode="External"/><Relationship Id="rId698" Type="http://schemas.openxmlformats.org/officeDocument/2006/relationships/hyperlink" Target="https://zakupivli.pro/gov/tenders/UA-2024-02-01-013304-a/lot-ede8b4d4e1c24398a30ec3f8c374f5bf" TargetMode="External"/><Relationship Id="rId919" Type="http://schemas.openxmlformats.org/officeDocument/2006/relationships/hyperlink" Target="https://zakupivli.pro/gov/tenders/UA-2024-03-05-002444-a" TargetMode="External"/><Relationship Id="rId1090" Type="http://schemas.openxmlformats.org/officeDocument/2006/relationships/hyperlink" Target="https://my.zakupivli.pro/remote/dispatcher/state_purchase_view/50942400" TargetMode="External"/><Relationship Id="rId1104" Type="http://schemas.openxmlformats.org/officeDocument/2006/relationships/hyperlink" Target="https://my.zakupivli.pro/remote/dispatcher/state_purchase_view/51062772" TargetMode="External"/><Relationship Id="rId1311" Type="http://schemas.openxmlformats.org/officeDocument/2006/relationships/hyperlink" Target="https://my.zakupivli.pro/remote/dispatcher/state_purchase_view/52990788" TargetMode="External"/><Relationship Id="rId48" Type="http://schemas.openxmlformats.org/officeDocument/2006/relationships/hyperlink" Target="https://my.zakupki.prom.ua/remote/dispatcher/state_purchase_view/41519534" TargetMode="External"/><Relationship Id="rId113" Type="http://schemas.openxmlformats.org/officeDocument/2006/relationships/hyperlink" Target="https://zakupki.prom.ua/gov/tenders/UA-2023-02-15-004269-a" TargetMode="External"/><Relationship Id="rId320" Type="http://schemas.openxmlformats.org/officeDocument/2006/relationships/hyperlink" Target="https://zakupki.prom.ua/gov/tenders/UA-2023-04-17-000253-a" TargetMode="External"/><Relationship Id="rId558" Type="http://schemas.openxmlformats.org/officeDocument/2006/relationships/hyperlink" Target="https://zakupivli.pro/gov/tenders/UA-2023-12-28-009172-a" TargetMode="External"/><Relationship Id="rId765" Type="http://schemas.openxmlformats.org/officeDocument/2006/relationships/hyperlink" Target="https://my.zakupivli.pro/remote/dispatcher/state_purchase_view/48907510" TargetMode="External"/><Relationship Id="rId972" Type="http://schemas.openxmlformats.org/officeDocument/2006/relationships/hyperlink" Target="https://my.zakupivli.pro/remote/dispatcher/state_purchase_view/50009434" TargetMode="External"/><Relationship Id="rId1188" Type="http://schemas.openxmlformats.org/officeDocument/2006/relationships/hyperlink" Target="https://my.zakupivli.pro/remote/dispatcher/state_purchase_view/51931077" TargetMode="External"/><Relationship Id="rId197" Type="http://schemas.openxmlformats.org/officeDocument/2006/relationships/hyperlink" Target="https://zakupki.prom.ua/gov/tenders/UA-2023-03-22-010199-a" TargetMode="External"/><Relationship Id="rId418" Type="http://schemas.openxmlformats.org/officeDocument/2006/relationships/hyperlink" Target="https://my.zakupki.prom.ua/remote/dispatcher/state_purchase_view/44441001" TargetMode="External"/><Relationship Id="rId625" Type="http://schemas.openxmlformats.org/officeDocument/2006/relationships/hyperlink" Target="https://my.zakupivli.pro/remote/dispatcher/state_purchase_view/48492237" TargetMode="External"/><Relationship Id="rId832" Type="http://schemas.openxmlformats.org/officeDocument/2006/relationships/hyperlink" Target="https://my.zakupivli.pro/remote/dispatcher/state_purchase_view/49300786" TargetMode="External"/><Relationship Id="rId1048" Type="http://schemas.openxmlformats.org/officeDocument/2006/relationships/hyperlink" Target="https://my.zakupivli.pro/remote/dispatcher/state_purchase_view/50317147" TargetMode="External"/><Relationship Id="rId1255" Type="http://schemas.openxmlformats.org/officeDocument/2006/relationships/hyperlink" Target="https://zakupivli.pro/gov/tenders/UA-2024-08-05-009986-a" TargetMode="External"/><Relationship Id="rId264" Type="http://schemas.openxmlformats.org/officeDocument/2006/relationships/hyperlink" Target="https://zakupki.prom.ua/gov/tenders/UA-2023-03-31-002787-a" TargetMode="External"/><Relationship Id="rId471" Type="http://schemas.openxmlformats.org/officeDocument/2006/relationships/hyperlink" Target="https://zakupki.prom.ua/gov/tenders/UA-2023-09-06-007560-a/lot-db8ff7c4cb604387bc65ed74a83e9936" TargetMode="External"/><Relationship Id="rId1115" Type="http://schemas.openxmlformats.org/officeDocument/2006/relationships/hyperlink" Target="https://zakupivli.pro/gov/tenders/UA-2024-05-23-004824-a/lot-984d3017e6ad48438ba3eee4225804b7" TargetMode="External"/><Relationship Id="rId1322" Type="http://schemas.openxmlformats.org/officeDocument/2006/relationships/hyperlink" Target="https://my.zakupivli.pro/remote/dispatcher/state_purchase_view/53208764" TargetMode="External"/><Relationship Id="rId59" Type="http://schemas.openxmlformats.org/officeDocument/2006/relationships/hyperlink" Target="https://my.zakupki.prom.ua/remote/dispatcher/state_purchase_view/41427937" TargetMode="External"/><Relationship Id="rId124" Type="http://schemas.openxmlformats.org/officeDocument/2006/relationships/hyperlink" Target="https://zakupki.prom.ua/gov/tenders/UA-2023-03-02-011561-a" TargetMode="External"/><Relationship Id="rId569" Type="http://schemas.openxmlformats.org/officeDocument/2006/relationships/hyperlink" Target="https://my.zakupivli.pro/remote/dispatcher/state_purchase_view/48111399" TargetMode="External"/><Relationship Id="rId776" Type="http://schemas.openxmlformats.org/officeDocument/2006/relationships/hyperlink" Target="https://zakupivli.pro/gov/tenders/UA-2024-02-06-009098-a" TargetMode="External"/><Relationship Id="rId983" Type="http://schemas.openxmlformats.org/officeDocument/2006/relationships/hyperlink" Target="https://my.zakupivli.pro/remote/dispatcher/state_purchase_view/49992163" TargetMode="External"/><Relationship Id="rId1199" Type="http://schemas.openxmlformats.org/officeDocument/2006/relationships/hyperlink" Target="https://zakupivli.pro/gov/tenders/UA-2024-07-10-008265-a" TargetMode="External"/><Relationship Id="rId331" Type="http://schemas.openxmlformats.org/officeDocument/2006/relationships/hyperlink" Target="https://my.zakupki.prom.ua/remote/dispatcher/state_purchase_view/42279435" TargetMode="External"/><Relationship Id="rId429" Type="http://schemas.openxmlformats.org/officeDocument/2006/relationships/hyperlink" Target="https://zakupki.prom.ua/gov/tenders/UA-2023-08-10-003635-a/lot-d5f74a8ffaa04c40bf915cd80a144b4c" TargetMode="External"/><Relationship Id="rId636" Type="http://schemas.openxmlformats.org/officeDocument/2006/relationships/hyperlink" Target="https://zakupivli.pro/gov/tenders/UA-2024-01-23-013208-a" TargetMode="External"/><Relationship Id="rId1059" Type="http://schemas.openxmlformats.org/officeDocument/2006/relationships/hyperlink" Target="https://zakupivli.pro/gov/tenders/UA-2024-04-16-000092-a" TargetMode="External"/><Relationship Id="rId1266" Type="http://schemas.openxmlformats.org/officeDocument/2006/relationships/hyperlink" Target="https://zakupivli.pro/gov/tenders/UA-2024-08-08-010883-a" TargetMode="External"/><Relationship Id="rId843" Type="http://schemas.openxmlformats.org/officeDocument/2006/relationships/hyperlink" Target="https://zakupivli.pro/gov/tenders/UA-2024-02-20-010616-a" TargetMode="External"/><Relationship Id="rId1126" Type="http://schemas.openxmlformats.org/officeDocument/2006/relationships/hyperlink" Target="https://zakupivli.pro/gov/tenders/UA-2024-05-27-006967-a" TargetMode="External"/><Relationship Id="rId275" Type="http://schemas.openxmlformats.org/officeDocument/2006/relationships/hyperlink" Target="https://my.zakupki.prom.ua/remote/dispatcher/state_purchase_view/41777364" TargetMode="External"/><Relationship Id="rId482" Type="http://schemas.openxmlformats.org/officeDocument/2006/relationships/hyperlink" Target="https://my.zakupki.prom.ua/remote/dispatcher/state_purchase_view/45367412" TargetMode="External"/><Relationship Id="rId703" Type="http://schemas.openxmlformats.org/officeDocument/2006/relationships/hyperlink" Target="https://my.zakupivli.pro/remote/dispatcher/state_purchase_view/48872774" TargetMode="External"/><Relationship Id="rId910" Type="http://schemas.openxmlformats.org/officeDocument/2006/relationships/hyperlink" Target="https://zakupivli.pro/gov/tenders/UA-2024-03-04-011096-a/lot-190acbd39713427db880d345f23d4854" TargetMode="External"/><Relationship Id="rId1333" Type="http://schemas.openxmlformats.org/officeDocument/2006/relationships/hyperlink" Target="https://my.zakupivli.pro/remote/dispatcher/state_purchase_view/53313149" TargetMode="External"/><Relationship Id="rId135" Type="http://schemas.openxmlformats.org/officeDocument/2006/relationships/hyperlink" Target="https://zakupki.prom.ua/gov/tenders/UA-2023-03-06-002683-a/lot-97a8eaf3dee4408cb373ee5cc7f07bc8" TargetMode="External"/><Relationship Id="rId342" Type="http://schemas.openxmlformats.org/officeDocument/2006/relationships/hyperlink" Target="https://zakupki.prom.ua/gov/tenders/UA-2023-05-01-006160-a" TargetMode="External"/><Relationship Id="rId787" Type="http://schemas.openxmlformats.org/officeDocument/2006/relationships/hyperlink" Target="https://zakupivli.pro/gov/tenders/UA-2024-02-07-011182-a/lot-6039e20885524aa9b98e3e13375ae3b3" TargetMode="External"/><Relationship Id="rId994" Type="http://schemas.openxmlformats.org/officeDocument/2006/relationships/hyperlink" Target="https://my.zakupivli.pro/remote/dispatcher/state_purchase_view/49990848" TargetMode="External"/><Relationship Id="rId202" Type="http://schemas.openxmlformats.org/officeDocument/2006/relationships/hyperlink" Target="https://zakupki.prom.ua/gov/tenders/UA-2023-03-23-010680-a" TargetMode="External"/><Relationship Id="rId647" Type="http://schemas.openxmlformats.org/officeDocument/2006/relationships/hyperlink" Target="https://my.zakupivli.pro/remote/dispatcher/state_purchase_view/48628967" TargetMode="External"/><Relationship Id="rId854" Type="http://schemas.openxmlformats.org/officeDocument/2006/relationships/hyperlink" Target="https://my.zakupivli.pro/remote/dispatcher/state_purchase_view/49312970" TargetMode="External"/><Relationship Id="rId1277" Type="http://schemas.openxmlformats.org/officeDocument/2006/relationships/hyperlink" Target="https://my.zakupivli.pro/remote/dispatcher/state_purchase_view/52746547" TargetMode="External"/><Relationship Id="rId286" Type="http://schemas.openxmlformats.org/officeDocument/2006/relationships/hyperlink" Target="https://zakupki.prom.ua/gov/tenders/UA-2023-04-03-010636-a" TargetMode="External"/><Relationship Id="rId493" Type="http://schemas.openxmlformats.org/officeDocument/2006/relationships/hyperlink" Target="https://my.zakupki.prom.ua/remote/dispatcher/state_purchase_view/45549412" TargetMode="External"/><Relationship Id="rId507" Type="http://schemas.openxmlformats.org/officeDocument/2006/relationships/hyperlink" Target="https://my.zakupivli.pro/remote/dispatcher/state_purchase_view/46171793" TargetMode="External"/><Relationship Id="rId714" Type="http://schemas.openxmlformats.org/officeDocument/2006/relationships/hyperlink" Target="https://zakupivli.pro/gov/tenders/UA-2024-02-02-012931-a/lot-d52fa2184e914102a00b8ed97b108942" TargetMode="External"/><Relationship Id="rId921" Type="http://schemas.openxmlformats.org/officeDocument/2006/relationships/hyperlink" Target="https://my.zakupivli.pro/remote/dispatcher/state_purchase_view/49612800" TargetMode="External"/><Relationship Id="rId1137" Type="http://schemas.openxmlformats.org/officeDocument/2006/relationships/hyperlink" Target="https://my.zakupivli.pro/remote/dispatcher/state_purchase_view/51362144" TargetMode="External"/><Relationship Id="rId1344" Type="http://schemas.openxmlformats.org/officeDocument/2006/relationships/hyperlink" Target="https://my.zakupivli.pro/remote/dispatcher/state_purchase_view/53497297" TargetMode="External"/><Relationship Id="rId50" Type="http://schemas.openxmlformats.org/officeDocument/2006/relationships/hyperlink" Target="https://my.zakupki.prom.ua/remote/dispatcher/state_purchase_view/41519085" TargetMode="External"/><Relationship Id="rId146" Type="http://schemas.openxmlformats.org/officeDocument/2006/relationships/hyperlink" Target="https://my.zakupki.prom.ua/remote/dispatcher/state_purchase_view/41563913" TargetMode="External"/><Relationship Id="rId353" Type="http://schemas.openxmlformats.org/officeDocument/2006/relationships/hyperlink" Target="https://my.zakupki.prom.ua/remote/dispatcher/state_purchase_view/42520847" TargetMode="External"/><Relationship Id="rId560" Type="http://schemas.openxmlformats.org/officeDocument/2006/relationships/hyperlink" Target="https://zakupivli.pro/gov/tenders/UA-2023-12-28-009254-a" TargetMode="External"/><Relationship Id="rId798" Type="http://schemas.openxmlformats.org/officeDocument/2006/relationships/hyperlink" Target="https://my.zakupivli.pro/remote/dispatcher/state_purchase_view/49051879" TargetMode="External"/><Relationship Id="rId1190" Type="http://schemas.openxmlformats.org/officeDocument/2006/relationships/hyperlink" Target="https://my.zakupivli.pro/remote/dispatcher/state_purchase_view/51960186" TargetMode="External"/><Relationship Id="rId1204" Type="http://schemas.openxmlformats.org/officeDocument/2006/relationships/hyperlink" Target="https://zakupivli.pro/gov/tenders/UA-2024-07-15-002322-a" TargetMode="External"/><Relationship Id="rId213" Type="http://schemas.openxmlformats.org/officeDocument/2006/relationships/hyperlink" Target="https://my.zakupki.prom.ua/remote/dispatcher/state_purchase_view/41648147" TargetMode="External"/><Relationship Id="rId420" Type="http://schemas.openxmlformats.org/officeDocument/2006/relationships/hyperlink" Target="https://my.zakupki.prom.ua/remote/dispatcher/state_purchase_view/44418733" TargetMode="External"/><Relationship Id="rId658" Type="http://schemas.openxmlformats.org/officeDocument/2006/relationships/hyperlink" Target="https://zakupivli.pro/gov/tenders/UA-2024-01-25-003776-a/lot-e4c72f4a0c7d4008abc34fb131552128" TargetMode="External"/><Relationship Id="rId865" Type="http://schemas.openxmlformats.org/officeDocument/2006/relationships/hyperlink" Target="https://zakupivli.pro/gov/tenders/UA-2024-02-22-002895-a" TargetMode="External"/><Relationship Id="rId1050" Type="http://schemas.openxmlformats.org/officeDocument/2006/relationships/hyperlink" Target="https://my.zakupivli.pro/remote/dispatcher/state_purchase_view/50343438" TargetMode="External"/><Relationship Id="rId1288" Type="http://schemas.openxmlformats.org/officeDocument/2006/relationships/hyperlink" Target="https://my.zakupivli.pro/remote/dispatcher/state_purchase_view/52648015" TargetMode="External"/><Relationship Id="rId297" Type="http://schemas.openxmlformats.org/officeDocument/2006/relationships/hyperlink" Target="https://my.zakupki.prom.ua/remote/dispatcher/state_purchase_view/41816730" TargetMode="External"/><Relationship Id="rId518" Type="http://schemas.openxmlformats.org/officeDocument/2006/relationships/hyperlink" Target="https://zakupivli.pro/gov/tenders/UA-2023-11-17-011056-a/lot-deb817b15f0e45febd04c5bca1c2de4f" TargetMode="External"/><Relationship Id="rId725" Type="http://schemas.openxmlformats.org/officeDocument/2006/relationships/hyperlink" Target="https://zakupivli.pro/gov/tenders/UA-2024-02-02-012435-a" TargetMode="External"/><Relationship Id="rId932" Type="http://schemas.openxmlformats.org/officeDocument/2006/relationships/hyperlink" Target="https://zakupivli.pro/gov/tenders/UA-2024-03-11-000863-a" TargetMode="External"/><Relationship Id="rId1148" Type="http://schemas.openxmlformats.org/officeDocument/2006/relationships/hyperlink" Target="https://my.zakupivli.pro/remote/dispatcher/state_purchase_view/51547469" TargetMode="External"/><Relationship Id="rId1355" Type="http://schemas.openxmlformats.org/officeDocument/2006/relationships/hyperlink" Target="https://my.zakupivli.pro/remote/dispatcher/state_purchase_view/53556554" TargetMode="External"/><Relationship Id="rId157" Type="http://schemas.openxmlformats.org/officeDocument/2006/relationships/hyperlink" Target="https://zakupki.prom.ua/gov/tenders/UA-2023-03-13-007155-a/lot-3220eefb7f524789bc2c6212011a0f6b" TargetMode="External"/><Relationship Id="rId364" Type="http://schemas.openxmlformats.org/officeDocument/2006/relationships/hyperlink" Target="https://zakupki.prom.ua/gov/tenders/UA-2023-05-12-004983-a" TargetMode="External"/><Relationship Id="rId1008" Type="http://schemas.openxmlformats.org/officeDocument/2006/relationships/hyperlink" Target="https://my.zakupivli.pro/remote/dispatcher/state_purchase_view/50128451" TargetMode="External"/><Relationship Id="rId1215" Type="http://schemas.openxmlformats.org/officeDocument/2006/relationships/hyperlink" Target="https://my.zakupivli.pro/remote/dispatcher/state_purchase_view/52281767" TargetMode="External"/><Relationship Id="rId61" Type="http://schemas.openxmlformats.org/officeDocument/2006/relationships/hyperlink" Target="https://my.zakupki.prom.ua/remote/dispatcher/state_purchase_view/41427101" TargetMode="External"/><Relationship Id="rId571" Type="http://schemas.openxmlformats.org/officeDocument/2006/relationships/hyperlink" Target="https://zakupivli.pro/gov/tenders/UA-2023-12-29-000902-a" TargetMode="External"/><Relationship Id="rId669" Type="http://schemas.openxmlformats.org/officeDocument/2006/relationships/hyperlink" Target="https://zakupivli.pro/gov/tenders/UA-2024-01-25-013506-a" TargetMode="External"/><Relationship Id="rId876" Type="http://schemas.openxmlformats.org/officeDocument/2006/relationships/hyperlink" Target="https://my.zakupivli.pro/remote/dispatcher/state_purchase_view/49381942" TargetMode="External"/><Relationship Id="rId1299" Type="http://schemas.openxmlformats.org/officeDocument/2006/relationships/hyperlink" Target="https://zakupivli.pro/gov/tenders/UA-2024-08-16-004297-a" TargetMode="External"/><Relationship Id="rId19" Type="http://schemas.openxmlformats.org/officeDocument/2006/relationships/hyperlink" Target="https://my.zakupki.prom.ua/remote/dispatcher/state_purchase_view/40092152" TargetMode="External"/><Relationship Id="rId224" Type="http://schemas.openxmlformats.org/officeDocument/2006/relationships/hyperlink" Target="https://zakupki.prom.ua/gov/tenders/UA-2023-03-28-006365-a" TargetMode="External"/><Relationship Id="rId431" Type="http://schemas.openxmlformats.org/officeDocument/2006/relationships/hyperlink" Target="https://zakupki.prom.ua/gov/tenders/UA-2023-08-15-012899-a/lot-4a4a907c0e9b41c7ad42e2fa2519f6a4" TargetMode="External"/><Relationship Id="rId529" Type="http://schemas.openxmlformats.org/officeDocument/2006/relationships/hyperlink" Target="https://my.zakupivli.pro/remote/dispatcher/state_purchase_view/47166044" TargetMode="External"/><Relationship Id="rId736" Type="http://schemas.openxmlformats.org/officeDocument/2006/relationships/hyperlink" Target="https://my.zakupivli.pro/remote/dispatcher/state_purchase_view/48903944" TargetMode="External"/><Relationship Id="rId1061" Type="http://schemas.openxmlformats.org/officeDocument/2006/relationships/hyperlink" Target="https://my.zakupivli.pro/remote/dispatcher/state_purchase_view/50523214" TargetMode="External"/><Relationship Id="rId1159" Type="http://schemas.openxmlformats.org/officeDocument/2006/relationships/hyperlink" Target="https://zakupivli.pro/gov/tenders/UA-2024-06-18-010109-a/lot-884438cd3b75496ea79f1b5df73420e8" TargetMode="External"/><Relationship Id="rId1366" Type="http://schemas.openxmlformats.org/officeDocument/2006/relationships/hyperlink" Target="https://zakupivli.pro/gov/tenders/ua-2024-09-27-000167-a" TargetMode="External"/><Relationship Id="rId168" Type="http://schemas.openxmlformats.org/officeDocument/2006/relationships/hyperlink" Target="https://zakupki.prom.ua/gov/tenders/UA-2023-03-15-007154-a/lot-728a008a4f31405da1143481774a265a" TargetMode="External"/><Relationship Id="rId943" Type="http://schemas.openxmlformats.org/officeDocument/2006/relationships/hyperlink" Target="https://zakupivli.pro/gov/tenders/UA-2024-03-12-011359-a" TargetMode="External"/><Relationship Id="rId1019" Type="http://schemas.openxmlformats.org/officeDocument/2006/relationships/hyperlink" Target="https://my.zakupivli.pro/remote/dispatcher/state_purchase_view/50191086" TargetMode="External"/><Relationship Id="rId72" Type="http://schemas.openxmlformats.org/officeDocument/2006/relationships/hyperlink" Target="https://my.zakupki.prom.ua/remote/dispatcher/state_purchase_view/41363968" TargetMode="External"/><Relationship Id="rId375" Type="http://schemas.openxmlformats.org/officeDocument/2006/relationships/hyperlink" Target="https://my.zakupki.prom.ua/remote/dispatcher/state_purchase_view/43318194" TargetMode="External"/><Relationship Id="rId582" Type="http://schemas.openxmlformats.org/officeDocument/2006/relationships/hyperlink" Target="https://zakupivli.pro/gov/tenders/UA-2024-01-08-000421-a" TargetMode="External"/><Relationship Id="rId803" Type="http://schemas.openxmlformats.org/officeDocument/2006/relationships/hyperlink" Target="https://zakupivli.pro/gov/tenders/UA-2024-02-08-012050-a/lot-90e0305d16a74b5396126746675ffb5f" TargetMode="External"/><Relationship Id="rId1226" Type="http://schemas.openxmlformats.org/officeDocument/2006/relationships/hyperlink" Target="https://my.zakupivli.pro/remote/dispatcher/state_purchase_view/52314049" TargetMode="External"/><Relationship Id="rId3" Type="http://schemas.openxmlformats.org/officeDocument/2006/relationships/hyperlink" Target="https://zakupki.prom.ua/gov/tenders/UA-2022-11-04-012540-a/lot-ae7e951f2ab7477ca49e276698923693" TargetMode="External"/><Relationship Id="rId235" Type="http://schemas.openxmlformats.org/officeDocument/2006/relationships/hyperlink" Target="https://my.zakupki.prom.ua/remote/dispatcher/state_purchase_view/41720731" TargetMode="External"/><Relationship Id="rId442" Type="http://schemas.openxmlformats.org/officeDocument/2006/relationships/hyperlink" Target="https://zakupki.prom.ua/gov/tenders/UA-2023-08-24-003436-a" TargetMode="External"/><Relationship Id="rId887" Type="http://schemas.openxmlformats.org/officeDocument/2006/relationships/hyperlink" Target="https://my.zakupivli.pro/remote/dispatcher/state_purchase_view/49472296" TargetMode="External"/><Relationship Id="rId1072" Type="http://schemas.openxmlformats.org/officeDocument/2006/relationships/hyperlink" Target="https://my.zakupivli.pro/remote/dispatcher/state_purchase_view/50748827" TargetMode="External"/><Relationship Id="rId302" Type="http://schemas.openxmlformats.org/officeDocument/2006/relationships/hyperlink" Target="https://my.zakupki.prom.ua/remote/dispatcher/state_purchase_view/41779624" TargetMode="External"/><Relationship Id="rId747" Type="http://schemas.openxmlformats.org/officeDocument/2006/relationships/hyperlink" Target="https://zakupivli.pro/gov/tenders/UA-2024-02-02-010994-a/lot-d9f069fdda9a4a64ab4296b89f46d484" TargetMode="External"/><Relationship Id="rId954" Type="http://schemas.openxmlformats.org/officeDocument/2006/relationships/hyperlink" Target="https://my.zakupivli.pro/remote/dispatcher/state_purchase_view/49783236" TargetMode="External"/><Relationship Id="rId1377" Type="http://schemas.openxmlformats.org/officeDocument/2006/relationships/hyperlink" Target="https://zakupivli.pro/gov/tenders/ua-2024-10-14-000539-a" TargetMode="External"/><Relationship Id="rId83" Type="http://schemas.openxmlformats.org/officeDocument/2006/relationships/hyperlink" Target="https://my.zakupki.prom.ua/remote/dispatcher/state_purchase_view/41235144" TargetMode="External"/><Relationship Id="rId179" Type="http://schemas.openxmlformats.org/officeDocument/2006/relationships/hyperlink" Target="https://zakupki.prom.ua/gov/tenders/UA-2023-03-20-010690-a" TargetMode="External"/><Relationship Id="rId386" Type="http://schemas.openxmlformats.org/officeDocument/2006/relationships/hyperlink" Target="https://my.zakupki.prom.ua/remote/dispatcher/state_purchase_view/44237685" TargetMode="External"/><Relationship Id="rId593" Type="http://schemas.openxmlformats.org/officeDocument/2006/relationships/hyperlink" Target="https://zakupivli.pro/gov/tenders/UA-2024-01-12-010003-a" TargetMode="External"/><Relationship Id="rId607" Type="http://schemas.openxmlformats.org/officeDocument/2006/relationships/hyperlink" Target="https://my.zakupivli.pro/remote/dispatcher/state_purchase_view/48459128" TargetMode="External"/><Relationship Id="rId814" Type="http://schemas.openxmlformats.org/officeDocument/2006/relationships/hyperlink" Target="https://my.zakupivli.pro/remote/dispatcher/state_purchase_view/49215079" TargetMode="External"/><Relationship Id="rId1237" Type="http://schemas.openxmlformats.org/officeDocument/2006/relationships/hyperlink" Target="https://my.zakupivli.pro/remote/dispatcher/state_purchase_view/52349219" TargetMode="External"/><Relationship Id="rId246" Type="http://schemas.openxmlformats.org/officeDocument/2006/relationships/hyperlink" Target="https://zakupki.prom.ua/gov/tenders/UA-2023-03-30-003031-a" TargetMode="External"/><Relationship Id="rId453" Type="http://schemas.openxmlformats.org/officeDocument/2006/relationships/hyperlink" Target="https://zakupki.prom.ua/gov/tenders/UA-2023-08-31-001572-a" TargetMode="External"/><Relationship Id="rId660" Type="http://schemas.openxmlformats.org/officeDocument/2006/relationships/hyperlink" Target="https://my.zakupivli.pro/remote/dispatcher/state_purchase_view/48687397" TargetMode="External"/><Relationship Id="rId898" Type="http://schemas.openxmlformats.org/officeDocument/2006/relationships/hyperlink" Target="https://zakupivli.pro/gov/tenders/UA-2024-03-01-007913-a/lot-8da8a63dd0ce42a380df5552566071d8" TargetMode="External"/><Relationship Id="rId1083" Type="http://schemas.openxmlformats.org/officeDocument/2006/relationships/hyperlink" Target="https://my.zakupivli.pro/remote/dispatcher/state_purchase_view/50869659" TargetMode="External"/><Relationship Id="rId1290" Type="http://schemas.openxmlformats.org/officeDocument/2006/relationships/hyperlink" Target="https://zakupivli.pro/gov/tenders/UA-2024-08-22-004345-a" TargetMode="External"/><Relationship Id="rId1304" Type="http://schemas.openxmlformats.org/officeDocument/2006/relationships/hyperlink" Target="https://zakupivli.pro/gov/tenders/UA-2024-08-15-004128-a" TargetMode="External"/><Relationship Id="rId106" Type="http://schemas.openxmlformats.org/officeDocument/2006/relationships/hyperlink" Target="https://my.zakupki.prom.ua/remote/dispatcher/state_purchase_view/40865826" TargetMode="External"/><Relationship Id="rId313" Type="http://schemas.openxmlformats.org/officeDocument/2006/relationships/hyperlink" Target="https://zakupki.prom.ua/gov/tenders/UA-2023-04-05-009691-a" TargetMode="External"/><Relationship Id="rId758" Type="http://schemas.openxmlformats.org/officeDocument/2006/relationships/hyperlink" Target="https://zakupivli.pro/gov/tenders/UA-2024-02-02-013279-a" TargetMode="External"/><Relationship Id="rId965" Type="http://schemas.openxmlformats.org/officeDocument/2006/relationships/hyperlink" Target="https://zakupivli.pro/gov/tenders/UA-2024-03-15-002037-a" TargetMode="External"/><Relationship Id="rId1150" Type="http://schemas.openxmlformats.org/officeDocument/2006/relationships/hyperlink" Target="https://my.zakupivli.pro/remote/dispatcher/state_purchase_view/51611381" TargetMode="External"/><Relationship Id="rId1388" Type="http://schemas.openxmlformats.org/officeDocument/2006/relationships/hyperlink" Target="https://my.zakupivli.pro/remote/dispatcher/state_purchase_view/54164412" TargetMode="External"/><Relationship Id="rId10" Type="http://schemas.openxmlformats.org/officeDocument/2006/relationships/hyperlink" Target="https://zakupki.prom.ua/gov/tenders/UA-2022-11-17-012395-a" TargetMode="External"/><Relationship Id="rId94" Type="http://schemas.openxmlformats.org/officeDocument/2006/relationships/hyperlink" Target="https://my.zakupki.prom.ua/remote/dispatcher/state_purchase_view/41190348" TargetMode="External"/><Relationship Id="rId397" Type="http://schemas.openxmlformats.org/officeDocument/2006/relationships/hyperlink" Target="https://zakupki.prom.ua/gov/tenders/UA-2023-07-13-000492-a" TargetMode="External"/><Relationship Id="rId520" Type="http://schemas.openxmlformats.org/officeDocument/2006/relationships/hyperlink" Target="https://zakupivli.pro/gov/tenders/UA-2023-11-28-012355-a" TargetMode="External"/><Relationship Id="rId618" Type="http://schemas.openxmlformats.org/officeDocument/2006/relationships/hyperlink" Target="https://zakupivli.pro/gov/tenders/UA-2024-01-18-014724-a/lot-a487fc84f030424fa6d4779986499543" TargetMode="External"/><Relationship Id="rId825" Type="http://schemas.openxmlformats.org/officeDocument/2006/relationships/hyperlink" Target="https://my.zakupivli.pro/remote/dispatcher/state_purchase_view/49304261" TargetMode="External"/><Relationship Id="rId1248" Type="http://schemas.openxmlformats.org/officeDocument/2006/relationships/hyperlink" Target="https://my.zakupivli.pro/remote/dispatcher/state_purchase_view/52516319" TargetMode="External"/><Relationship Id="rId257" Type="http://schemas.openxmlformats.org/officeDocument/2006/relationships/hyperlink" Target="https://my.zakupki.prom.ua/remote/dispatcher/state_purchase_view/41739408" TargetMode="External"/><Relationship Id="rId464" Type="http://schemas.openxmlformats.org/officeDocument/2006/relationships/hyperlink" Target="https://zakupki.prom.ua/gov/tenders/UA-2023-09-12-002759-a" TargetMode="External"/><Relationship Id="rId1010" Type="http://schemas.openxmlformats.org/officeDocument/2006/relationships/hyperlink" Target="https://zakupivli.pro/gov/tenders/UA-2024-04-01-005782-a" TargetMode="External"/><Relationship Id="rId1094" Type="http://schemas.openxmlformats.org/officeDocument/2006/relationships/hyperlink" Target="https://my.zakupivli.pro/remote/dispatcher/state_purchase_view/50933225" TargetMode="External"/><Relationship Id="rId1108" Type="http://schemas.openxmlformats.org/officeDocument/2006/relationships/hyperlink" Target="https://my.zakupivli.pro/remote/dispatcher/state_purchase_view/51125566" TargetMode="External"/><Relationship Id="rId1315" Type="http://schemas.openxmlformats.org/officeDocument/2006/relationships/hyperlink" Target="https://zakupivli.pro/gov/tenders/UA-2024-09-02-005487-a" TargetMode="External"/><Relationship Id="rId117" Type="http://schemas.openxmlformats.org/officeDocument/2006/relationships/hyperlink" Target="https://zakupki.prom.ua/gov/tenders/UA-2023-02-20-013513-a" TargetMode="External"/><Relationship Id="rId671" Type="http://schemas.openxmlformats.org/officeDocument/2006/relationships/hyperlink" Target="https://zakupivli.pro/gov/tenders/UA-2024-01-25-013186-a" TargetMode="External"/><Relationship Id="rId769" Type="http://schemas.openxmlformats.org/officeDocument/2006/relationships/hyperlink" Target="https://zakupivli.pro/gov/tenders/UA-2024-02-06-008339-a/lot-b84b63ae65e744d1bfe00a47b63878d2" TargetMode="External"/><Relationship Id="rId976" Type="http://schemas.openxmlformats.org/officeDocument/2006/relationships/hyperlink" Target="https://my.zakupivli.pro/remote/dispatcher/state_purchase_view/49993551" TargetMode="External"/><Relationship Id="rId324" Type="http://schemas.openxmlformats.org/officeDocument/2006/relationships/hyperlink" Target="https://my.zakupki.prom.ua/remote/dispatcher/state_purchase_view/42166907" TargetMode="External"/><Relationship Id="rId531" Type="http://schemas.openxmlformats.org/officeDocument/2006/relationships/hyperlink" Target="https://my.zakupivli.pro/remote/dispatcher/state_purchase_view/47305506" TargetMode="External"/><Relationship Id="rId629" Type="http://schemas.openxmlformats.org/officeDocument/2006/relationships/hyperlink" Target="https://my.zakupivli.pro/remote/dispatcher/state_purchase_view/48552651" TargetMode="External"/><Relationship Id="rId1161" Type="http://schemas.openxmlformats.org/officeDocument/2006/relationships/hyperlink" Target="https://zakupivli.pro/gov/tenders/UA-2024-06-19-006845-a" TargetMode="External"/><Relationship Id="rId1259" Type="http://schemas.openxmlformats.org/officeDocument/2006/relationships/hyperlink" Target="https://zakupivli.pro/gov/tenders/UA-2024-08-08-003012-a" TargetMode="External"/><Relationship Id="rId836" Type="http://schemas.openxmlformats.org/officeDocument/2006/relationships/hyperlink" Target="https://my.zakupivli.pro/remote/dispatcher/state_purchase_view/49298239" TargetMode="External"/><Relationship Id="rId1021" Type="http://schemas.openxmlformats.org/officeDocument/2006/relationships/hyperlink" Target="https://zakupivli.pro/gov/tenders/UA-2024-04-03-008285-a" TargetMode="External"/><Relationship Id="rId1119" Type="http://schemas.openxmlformats.org/officeDocument/2006/relationships/hyperlink" Target="https://my.zakupivli.pro/remote/dispatcher/state_purchase_view/51253027" TargetMode="External"/><Relationship Id="rId903" Type="http://schemas.openxmlformats.org/officeDocument/2006/relationships/hyperlink" Target="https://my.zakupivli.pro/remote/dispatcher/state_purchase_view/49571405" TargetMode="External"/><Relationship Id="rId1326" Type="http://schemas.openxmlformats.org/officeDocument/2006/relationships/hyperlink" Target="https://my.zakupivli.pro/remote/dispatcher/state_purchase_view/53279231" TargetMode="External"/><Relationship Id="rId32" Type="http://schemas.openxmlformats.org/officeDocument/2006/relationships/hyperlink" Target="https://my.zakupki.prom.ua/remote/dispatcher/state_purchase_view/41563913" TargetMode="External"/><Relationship Id="rId181" Type="http://schemas.openxmlformats.org/officeDocument/2006/relationships/hyperlink" Target="https://zakupki.prom.ua/gov/tenders/UA-2023-03-20-010476-a" TargetMode="External"/><Relationship Id="rId279" Type="http://schemas.openxmlformats.org/officeDocument/2006/relationships/hyperlink" Target="https://my.zakupki.prom.ua/remote/dispatcher/state_purchase_view/41755715" TargetMode="External"/><Relationship Id="rId486" Type="http://schemas.openxmlformats.org/officeDocument/2006/relationships/hyperlink" Target="https://my.zakupki.prom.ua/remote/dispatcher/state_purchase_view/45419703" TargetMode="External"/><Relationship Id="rId693" Type="http://schemas.openxmlformats.org/officeDocument/2006/relationships/hyperlink" Target="https://zakupivli.pro/gov/tenders/UA-2024-01-31-010710-a" TargetMode="External"/><Relationship Id="rId139" Type="http://schemas.openxmlformats.org/officeDocument/2006/relationships/hyperlink" Target="https://my.zakupki.prom.ua/remote/dispatcher/state_purchase_view/41607111" TargetMode="External"/><Relationship Id="rId346" Type="http://schemas.openxmlformats.org/officeDocument/2006/relationships/hyperlink" Target="https://zakupki.prom.ua/gov/tenders/UA-2023-04-26-009769-a" TargetMode="External"/><Relationship Id="rId553" Type="http://schemas.openxmlformats.org/officeDocument/2006/relationships/hyperlink" Target="https://my.zakupivli.pro/remote/dispatcher/state_purchase_view/48105790" TargetMode="External"/><Relationship Id="rId760" Type="http://schemas.openxmlformats.org/officeDocument/2006/relationships/hyperlink" Target="https://my.zakupivli.pro/remote/dispatcher/state_purchase_view/48907751" TargetMode="External"/><Relationship Id="rId998" Type="http://schemas.openxmlformats.org/officeDocument/2006/relationships/hyperlink" Target="https://zakupivli.pro/gov/tenders/UA-2024-03-25-000416-a" TargetMode="External"/><Relationship Id="rId1183" Type="http://schemas.openxmlformats.org/officeDocument/2006/relationships/hyperlink" Target="https://zakupivli.pro/gov/tenders/UA-2024-06-25-000445-a" TargetMode="External"/><Relationship Id="rId1390" Type="http://schemas.openxmlformats.org/officeDocument/2006/relationships/printerSettings" Target="../printerSettings/printerSettings1.bin"/><Relationship Id="rId206" Type="http://schemas.openxmlformats.org/officeDocument/2006/relationships/hyperlink" Target="https://zakupki.prom.ua/gov/tenders/UA-2023-03-22-004354-a" TargetMode="External"/><Relationship Id="rId413" Type="http://schemas.openxmlformats.org/officeDocument/2006/relationships/hyperlink" Target="https://my.zakupki.prom.ua/remote/dispatcher/state_purchase_view/44535001" TargetMode="External"/><Relationship Id="rId858" Type="http://schemas.openxmlformats.org/officeDocument/2006/relationships/hyperlink" Target="https://zakupivli.pro/gov/tenders/UA-2024-02-21-000366-a" TargetMode="External"/><Relationship Id="rId1043" Type="http://schemas.openxmlformats.org/officeDocument/2006/relationships/hyperlink" Target="https://my.zakupivli.pro/remote/dispatcher/state_purchase_view/50290774" TargetMode="External"/><Relationship Id="rId620" Type="http://schemas.openxmlformats.org/officeDocument/2006/relationships/hyperlink" Target="https://zakupivli.pro/gov/tenders/UA-2024-01-18-015585-a/lot-ce8668c9daaa48848c914e219b61d49a" TargetMode="External"/><Relationship Id="rId718" Type="http://schemas.openxmlformats.org/officeDocument/2006/relationships/hyperlink" Target="https://zakupivli.pro/gov/tenders/UA-2024-02-02-012574-a" TargetMode="External"/><Relationship Id="rId925" Type="http://schemas.openxmlformats.org/officeDocument/2006/relationships/hyperlink" Target="https://my.zakupivli.pro/remote/dispatcher/state_purchase_view/49647930" TargetMode="External"/><Relationship Id="rId1250" Type="http://schemas.openxmlformats.org/officeDocument/2006/relationships/hyperlink" Target="https://my.zakupivli.pro/remote/dispatcher/state_purchase_view/52519045" TargetMode="External"/><Relationship Id="rId1348" Type="http://schemas.openxmlformats.org/officeDocument/2006/relationships/hyperlink" Target="https://zakupivli.pro/gov/tenders/ua-2024-09-23-004972-a" TargetMode="External"/><Relationship Id="rId1110" Type="http://schemas.openxmlformats.org/officeDocument/2006/relationships/hyperlink" Target="https://my.zakupivli.pro/remote/dispatcher/state_purchase_view/51151129" TargetMode="External"/><Relationship Id="rId1208" Type="http://schemas.openxmlformats.org/officeDocument/2006/relationships/hyperlink" Target="https://my.zakupivli.pro/remote/dispatcher/state_purchase_view/52220424" TargetMode="External"/><Relationship Id="rId54" Type="http://schemas.openxmlformats.org/officeDocument/2006/relationships/hyperlink" Target="https://my.zakupki.prom.ua/remote/dispatcher/state_purchase_view/41434270" TargetMode="External"/><Relationship Id="rId270" Type="http://schemas.openxmlformats.org/officeDocument/2006/relationships/hyperlink" Target="https://my.zakupki.prom.ua/remote/dispatcher/state_purchase_view/41779624" TargetMode="External"/><Relationship Id="rId130" Type="http://schemas.openxmlformats.org/officeDocument/2006/relationships/hyperlink" Target="https://zakupki.prom.ua/gov/tenders/UA-2023-03-02-008425-a" TargetMode="External"/><Relationship Id="rId368" Type="http://schemas.openxmlformats.org/officeDocument/2006/relationships/hyperlink" Target="https://zakupki.prom.ua/gov/tenders/UA-2023-05-30-010582-a" TargetMode="External"/><Relationship Id="rId575" Type="http://schemas.openxmlformats.org/officeDocument/2006/relationships/hyperlink" Target="https://zakupivli.pro/gov/tenders/UA-2024-01-04-005897-a" TargetMode="External"/><Relationship Id="rId782" Type="http://schemas.openxmlformats.org/officeDocument/2006/relationships/hyperlink" Target="https://my.zakupivli.pro/remote/dispatcher/state_purchase_view/49007933" TargetMode="External"/><Relationship Id="rId228" Type="http://schemas.openxmlformats.org/officeDocument/2006/relationships/hyperlink" Target="https://my.zakupki.prom.ua/remote/dispatcher/state_purchase_view/41677871" TargetMode="External"/><Relationship Id="rId435" Type="http://schemas.openxmlformats.org/officeDocument/2006/relationships/hyperlink" Target="https://my.zakupki.prom.ua/remote/dispatcher/state_purchase_view/44720799" TargetMode="External"/><Relationship Id="rId642" Type="http://schemas.openxmlformats.org/officeDocument/2006/relationships/hyperlink" Target="https://zakupivli.pro/gov/tenders/UA-2024-01-23-002308-a" TargetMode="External"/><Relationship Id="rId1065" Type="http://schemas.openxmlformats.org/officeDocument/2006/relationships/hyperlink" Target="https://zakupivli.pro/gov/tenders/UA-2024-04-18-009207-a" TargetMode="External"/><Relationship Id="rId1272" Type="http://schemas.openxmlformats.org/officeDocument/2006/relationships/hyperlink" Target="https://my.zakupivli.pro/remote/dispatcher/state_purchase_view/52854599" TargetMode="External"/><Relationship Id="rId502" Type="http://schemas.openxmlformats.org/officeDocument/2006/relationships/hyperlink" Target="https://zakupivli.pro/gov/tenders/UA-2023-10-16-006331-a" TargetMode="External"/><Relationship Id="rId947" Type="http://schemas.openxmlformats.org/officeDocument/2006/relationships/hyperlink" Target="https://zakupivli.pro/gov/tenders/UA-2024-03-12-008106-a" TargetMode="External"/><Relationship Id="rId1132" Type="http://schemas.openxmlformats.org/officeDocument/2006/relationships/hyperlink" Target="https://my.zakupivli.pro/remote/dispatcher/state_purchase_view/51322354" TargetMode="External"/><Relationship Id="rId76" Type="http://schemas.openxmlformats.org/officeDocument/2006/relationships/hyperlink" Target="https://my.zakupki.prom.ua/remote/dispatcher/state_purchase_view/41329000" TargetMode="External"/><Relationship Id="rId807" Type="http://schemas.openxmlformats.org/officeDocument/2006/relationships/hyperlink" Target="https://my.zakupivli.pro/remote/dispatcher/state_purchase_view/49159395" TargetMode="External"/><Relationship Id="rId292" Type="http://schemas.openxmlformats.org/officeDocument/2006/relationships/hyperlink" Target="https://zakupki.prom.ua/gov/tenders/UA-2023-04-04-000779-a" TargetMode="External"/><Relationship Id="rId597" Type="http://schemas.openxmlformats.org/officeDocument/2006/relationships/hyperlink" Target="https://my.zakupivli.pro/remote/dispatcher/state_purchase_view/48328528" TargetMode="External"/><Relationship Id="rId152" Type="http://schemas.openxmlformats.org/officeDocument/2006/relationships/hyperlink" Target="https://zakupki.prom.ua/gov/tenders/UA-2023-03-10-000274-a/lot-2a6059df3f9b4417abd02ce9ebfd6dfb" TargetMode="External"/><Relationship Id="rId457" Type="http://schemas.openxmlformats.org/officeDocument/2006/relationships/hyperlink" Target="https://my.zakupki.prom.ua/remote/dispatcher/state_purchase_view/44895251" TargetMode="External"/><Relationship Id="rId1087" Type="http://schemas.openxmlformats.org/officeDocument/2006/relationships/hyperlink" Target="https://my.zakupivli.pro/remote/dispatcher/state_purchase_view/50899716" TargetMode="External"/><Relationship Id="rId1294" Type="http://schemas.openxmlformats.org/officeDocument/2006/relationships/hyperlink" Target="https://zakupivli.pro/gov/tenders/UA-2024-08-21-003975-a" TargetMode="External"/><Relationship Id="rId664" Type="http://schemas.openxmlformats.org/officeDocument/2006/relationships/hyperlink" Target="https://my.zakupivli.pro/remote/dispatcher/state_purchase_view/48685781" TargetMode="External"/><Relationship Id="rId871" Type="http://schemas.openxmlformats.org/officeDocument/2006/relationships/hyperlink" Target="https://my.zakupivli.pro/remote/dispatcher/state_purchase_view/49369192" TargetMode="External"/><Relationship Id="rId969" Type="http://schemas.openxmlformats.org/officeDocument/2006/relationships/hyperlink" Target="https://zakupivli.pro/gov/tenders/UA-2024-03-20-005051-a/lot-bfb4068314a54ad6a3d5b6fe0f51989f" TargetMode="External"/><Relationship Id="rId317" Type="http://schemas.openxmlformats.org/officeDocument/2006/relationships/hyperlink" Target="https://my.zakupki.prom.ua/remote/dispatcher/state_purchase_view/42015454" TargetMode="External"/><Relationship Id="rId524" Type="http://schemas.openxmlformats.org/officeDocument/2006/relationships/hyperlink" Target="https://zakupivli.pro/gov/tenders/UA-2023-11-28-014870-a" TargetMode="External"/><Relationship Id="rId731" Type="http://schemas.openxmlformats.org/officeDocument/2006/relationships/hyperlink" Target="https://zakupivli.pro/gov/tenders/UA-2024-02-02-011751-a/lot-b065d86a07a347b48df39e1d67f5fe76" TargetMode="External"/><Relationship Id="rId1154" Type="http://schemas.openxmlformats.org/officeDocument/2006/relationships/hyperlink" Target="https://my.zakupivli.pro/remote/dispatcher/state_purchase_view/51625477" TargetMode="External"/><Relationship Id="rId1361" Type="http://schemas.openxmlformats.org/officeDocument/2006/relationships/hyperlink" Target="https://zakupivli.pro/gov/tenders/ua-2024-09-25-000110-a" TargetMode="External"/><Relationship Id="rId98" Type="http://schemas.openxmlformats.org/officeDocument/2006/relationships/hyperlink" Target="https://my.zakupki.prom.ua/remote/dispatcher/state_purchase_view/41115637" TargetMode="External"/><Relationship Id="rId829" Type="http://schemas.openxmlformats.org/officeDocument/2006/relationships/hyperlink" Target="https://my.zakupivli.pro/remote/dispatcher/state_purchase_view/49302173" TargetMode="External"/><Relationship Id="rId1014" Type="http://schemas.openxmlformats.org/officeDocument/2006/relationships/hyperlink" Target="https://zakupivli.pro/gov/tenders/UA-2024-04-01-003767-a" TargetMode="External"/><Relationship Id="rId1221" Type="http://schemas.openxmlformats.org/officeDocument/2006/relationships/hyperlink" Target="https://zakupivli.pro/gov/tenders/UA-2024-07-22-009312-a" TargetMode="External"/><Relationship Id="rId1319" Type="http://schemas.openxmlformats.org/officeDocument/2006/relationships/hyperlink" Target="https://my.zakupivli.pro/remote/dispatcher/state_purchase_view/53189619" TargetMode="External"/><Relationship Id="rId25" Type="http://schemas.openxmlformats.org/officeDocument/2006/relationships/hyperlink" Target="https://zakupki.prom.ua/gov/tenders/UA-2023-01-17-001056-a" TargetMode="External"/><Relationship Id="rId174" Type="http://schemas.openxmlformats.org/officeDocument/2006/relationships/hyperlink" Target="https://zakupki.prom.ua/gov/tenders/UA-2023-03-15-006488-a/lot-6a799d9d8e5f4b49912b88d0dc720b49" TargetMode="External"/><Relationship Id="rId381" Type="http://schemas.openxmlformats.org/officeDocument/2006/relationships/hyperlink" Target="https://zakupki.prom.ua/gov/tenders/UA-2023-07-05-000234-a" TargetMode="External"/><Relationship Id="rId241" Type="http://schemas.openxmlformats.org/officeDocument/2006/relationships/hyperlink" Target="https://my.zakupki.prom.ua/remote/dispatcher/state_purchase_view/41719575" TargetMode="External"/><Relationship Id="rId479" Type="http://schemas.openxmlformats.org/officeDocument/2006/relationships/hyperlink" Target="https://zakupki.prom.ua/gov/tenders/UA-2023-09-19-007532-a" TargetMode="External"/><Relationship Id="rId686" Type="http://schemas.openxmlformats.org/officeDocument/2006/relationships/hyperlink" Target="https://my.zakupivli.pro/remote/dispatcher/state_purchase_view/48825340" TargetMode="External"/><Relationship Id="rId893" Type="http://schemas.openxmlformats.org/officeDocument/2006/relationships/hyperlink" Target="https://zakupivli.pro/gov/tenders/UA-2024-02-28-002778-a/lot-37e1bfa351064f48b0cc09d606978fcc" TargetMode="External"/><Relationship Id="rId339" Type="http://schemas.openxmlformats.org/officeDocument/2006/relationships/hyperlink" Target="https://zakupki.prom.ua/gov/tenders/UA-2023-04-27-002515-a" TargetMode="External"/><Relationship Id="rId546" Type="http://schemas.openxmlformats.org/officeDocument/2006/relationships/hyperlink" Target="https://my.zakupivli.pro/remote/dispatcher/state_purchase_view/47633281" TargetMode="External"/><Relationship Id="rId753" Type="http://schemas.openxmlformats.org/officeDocument/2006/relationships/hyperlink" Target="https://zakupivli.pro/gov/tenders/UA-2024-02-02-000542-a" TargetMode="External"/><Relationship Id="rId1176" Type="http://schemas.openxmlformats.org/officeDocument/2006/relationships/hyperlink" Target="https://zakupivli.pro/gov/tenders/UA-2024-06-25-002869-a" TargetMode="External"/><Relationship Id="rId1383" Type="http://schemas.openxmlformats.org/officeDocument/2006/relationships/hyperlink" Target="https://my.zakupivli.pro/remote/dispatcher/state_purchase_view/54094443" TargetMode="External"/><Relationship Id="rId101" Type="http://schemas.openxmlformats.org/officeDocument/2006/relationships/hyperlink" Target="https://my.zakupki.prom.ua/remote/dispatcher/state_purchase_view/40976345" TargetMode="External"/><Relationship Id="rId406" Type="http://schemas.openxmlformats.org/officeDocument/2006/relationships/hyperlink" Target="https://zakupki.prom.ua/gov/tenders/UA-2023-08-01-001890-a" TargetMode="External"/><Relationship Id="rId960" Type="http://schemas.openxmlformats.org/officeDocument/2006/relationships/hyperlink" Target="https://my.zakupivli.pro/remote/dispatcher/state_purchase_view/49830616" TargetMode="External"/><Relationship Id="rId1036" Type="http://schemas.openxmlformats.org/officeDocument/2006/relationships/hyperlink" Target="https://my.zakupivli.pro/remote/dispatcher/state_purchase_view/50227478" TargetMode="External"/><Relationship Id="rId1243" Type="http://schemas.openxmlformats.org/officeDocument/2006/relationships/hyperlink" Target="https://zakupivli.pro/gov/tenders/UA-2024-07-25-008020-a" TargetMode="External"/><Relationship Id="rId613" Type="http://schemas.openxmlformats.org/officeDocument/2006/relationships/hyperlink" Target="https://my.zakupivli.pro/remote/dispatcher/state_purchase_view/48469762" TargetMode="External"/><Relationship Id="rId820" Type="http://schemas.openxmlformats.org/officeDocument/2006/relationships/hyperlink" Target="https://my.zakupivli.pro/remote/dispatcher/state_purchase_view/49262531" TargetMode="External"/><Relationship Id="rId918" Type="http://schemas.openxmlformats.org/officeDocument/2006/relationships/hyperlink" Target="https://zakupivli.pro/gov/tenders/UA-2024-03-05-011904-a" TargetMode="External"/><Relationship Id="rId1103" Type="http://schemas.openxmlformats.org/officeDocument/2006/relationships/hyperlink" Target="https://zakupivli.pro/gov/tenders/UA-2024-05-14-010620-a" TargetMode="External"/><Relationship Id="rId1310" Type="http://schemas.openxmlformats.org/officeDocument/2006/relationships/hyperlink" Target="https://my.zakupivli.pro/remote/dispatcher/state_purchase_view/52989866" TargetMode="External"/><Relationship Id="rId47" Type="http://schemas.openxmlformats.org/officeDocument/2006/relationships/hyperlink" Target="https://my.zakupki.prom.ua/remote/dispatcher/state_purchase_view/41519552" TargetMode="External"/><Relationship Id="rId196" Type="http://schemas.openxmlformats.org/officeDocument/2006/relationships/hyperlink" Target="https://zakupki.prom.ua/gov/tenders/UA-2023-03-21-010868-a/lot-9d814824f2a944cd849df7aaab2f4b40" TargetMode="External"/><Relationship Id="rId263" Type="http://schemas.openxmlformats.org/officeDocument/2006/relationships/hyperlink" Target="https://zakupki.prom.ua/gov/tenders/UA-2023-03-31-003235-a" TargetMode="External"/><Relationship Id="rId470" Type="http://schemas.openxmlformats.org/officeDocument/2006/relationships/hyperlink" Target="https://my.zakupki.prom.ua/remote/dispatcher/state_purchase_view/44980799" TargetMode="External"/><Relationship Id="rId123" Type="http://schemas.openxmlformats.org/officeDocument/2006/relationships/hyperlink" Target="https://zakupki.prom.ua/gov/tenders/UA-2023-02-27-009421-a" TargetMode="External"/><Relationship Id="rId330" Type="http://schemas.openxmlformats.org/officeDocument/2006/relationships/hyperlink" Target="https://my.zakupki.prom.ua/remote/dispatcher/state_purchase_view/42376032" TargetMode="External"/><Relationship Id="rId568" Type="http://schemas.openxmlformats.org/officeDocument/2006/relationships/hyperlink" Target="https://my.zakupivli.pro/remote/dispatcher/state_purchase_view/48113034" TargetMode="External"/><Relationship Id="rId775" Type="http://schemas.openxmlformats.org/officeDocument/2006/relationships/hyperlink" Target="https://my.zakupivli.pro/remote/dispatcher/state_purchase_view/48971877" TargetMode="External"/><Relationship Id="rId982" Type="http://schemas.openxmlformats.org/officeDocument/2006/relationships/hyperlink" Target="https://my.zakupivli.pro/remote/dispatcher/state_purchase_view/49992857" TargetMode="External"/><Relationship Id="rId1198" Type="http://schemas.openxmlformats.org/officeDocument/2006/relationships/hyperlink" Target="https://my.zakupivli.pro/remote/dispatcher/state_purchase_view/52095853" TargetMode="External"/><Relationship Id="rId428" Type="http://schemas.openxmlformats.org/officeDocument/2006/relationships/hyperlink" Target="https://zakupki.prom.ua/gov/tenders/UA-2023-08-10-003836-a/lot-698949e70bbb4cda9c996c907d8d8ab4" TargetMode="External"/><Relationship Id="rId635" Type="http://schemas.openxmlformats.org/officeDocument/2006/relationships/hyperlink" Target="https://my.zakupivli.pro/remote/dispatcher/state_purchase_view/48603959" TargetMode="External"/><Relationship Id="rId842" Type="http://schemas.openxmlformats.org/officeDocument/2006/relationships/hyperlink" Target="https://zakupivli.pro/gov/tenders/UA-2024-02-20-010626-a" TargetMode="External"/><Relationship Id="rId1058" Type="http://schemas.openxmlformats.org/officeDocument/2006/relationships/hyperlink" Target="https://my.zakupivli.pro/remote/dispatcher/state_purchase_view/50434062" TargetMode="External"/><Relationship Id="rId1265" Type="http://schemas.openxmlformats.org/officeDocument/2006/relationships/hyperlink" Target="https://my.zakupivli.pro/remote/dispatcher/state_purchase_view/52605472" TargetMode="External"/><Relationship Id="rId702" Type="http://schemas.openxmlformats.org/officeDocument/2006/relationships/hyperlink" Target="https://zakupivli.pro/gov/tenders/UA-2024-02-01-013588-a" TargetMode="External"/><Relationship Id="rId1125" Type="http://schemas.openxmlformats.org/officeDocument/2006/relationships/hyperlink" Target="https://zakupivli.pro/gov/tenders/UA-2024-05-27-011689-a" TargetMode="External"/><Relationship Id="rId1332" Type="http://schemas.openxmlformats.org/officeDocument/2006/relationships/hyperlink" Target="https://my.zakupivli.pro/remote/dispatcher/state_purchase_view/53311753" TargetMode="External"/><Relationship Id="rId69" Type="http://schemas.openxmlformats.org/officeDocument/2006/relationships/hyperlink" Target="https://my.zakupki.prom.ua/remote/dispatcher/state_purchase_view/41385730" TargetMode="External"/><Relationship Id="rId285" Type="http://schemas.openxmlformats.org/officeDocument/2006/relationships/hyperlink" Target="https://zakupki.prom.ua/gov/tenders/UA-2023-04-03-010561-a" TargetMode="External"/><Relationship Id="rId492" Type="http://schemas.openxmlformats.org/officeDocument/2006/relationships/hyperlink" Target="https://zakupki.prom.ua/gov/tenders/UA-2023-09-27-007155-a" TargetMode="External"/><Relationship Id="rId797" Type="http://schemas.openxmlformats.org/officeDocument/2006/relationships/hyperlink" Target="https://zakupivli.pro/gov/tenders/UA-2024-02-08-001670-a" TargetMode="External"/><Relationship Id="rId145" Type="http://schemas.openxmlformats.org/officeDocument/2006/relationships/hyperlink" Target="https://my.zakupki.prom.ua/remote/dispatcher/state_purchase_view/41605144" TargetMode="External"/><Relationship Id="rId352" Type="http://schemas.openxmlformats.org/officeDocument/2006/relationships/hyperlink" Target="https://my.zakupki.prom.ua/remote/dispatcher/state_purchase_view/42551980" TargetMode="External"/><Relationship Id="rId1287" Type="http://schemas.openxmlformats.org/officeDocument/2006/relationships/hyperlink" Target="https://my.zakupivli.pro/remote/dispatcher/state_purchase_view/52684518" TargetMode="External"/><Relationship Id="rId212" Type="http://schemas.openxmlformats.org/officeDocument/2006/relationships/hyperlink" Target="https://my.zakupki.prom.ua/remote/dispatcher/state_purchase_view/41648944" TargetMode="External"/><Relationship Id="rId657" Type="http://schemas.openxmlformats.org/officeDocument/2006/relationships/hyperlink" Target="https://my.zakupivli.pro/remote/dispatcher/state_purchase_view/48664390" TargetMode="External"/><Relationship Id="rId864" Type="http://schemas.openxmlformats.org/officeDocument/2006/relationships/hyperlink" Target="https://my.zakupivli.pro/remote/dispatcher/state_purchase_view/49344568" TargetMode="External"/><Relationship Id="rId517" Type="http://schemas.openxmlformats.org/officeDocument/2006/relationships/hyperlink" Target="https://my.zakupivli.pro/remote/dispatcher/state_purchase_view/46767750" TargetMode="External"/><Relationship Id="rId724" Type="http://schemas.openxmlformats.org/officeDocument/2006/relationships/hyperlink" Target="https://zakupivli.pro/gov/tenders/UA-2024-02-02-012435-a" TargetMode="External"/><Relationship Id="rId931" Type="http://schemas.openxmlformats.org/officeDocument/2006/relationships/hyperlink" Target="https://my.zakupivli.pro/remote/dispatcher/state_purchase_view/49688999" TargetMode="External"/><Relationship Id="rId1147" Type="http://schemas.openxmlformats.org/officeDocument/2006/relationships/hyperlink" Target="https://zakupivli.pro/gov/tenders/UA-2024-06-10-003597-a" TargetMode="External"/><Relationship Id="rId1354" Type="http://schemas.openxmlformats.org/officeDocument/2006/relationships/hyperlink" Target="https://my.zakupivli.pro/remote/dispatcher/state_purchase_view/53556779" TargetMode="External"/><Relationship Id="rId60" Type="http://schemas.openxmlformats.org/officeDocument/2006/relationships/hyperlink" Target="https://my.zakupki.prom.ua/remote/dispatcher/state_purchase_view/41427498" TargetMode="External"/><Relationship Id="rId1007" Type="http://schemas.openxmlformats.org/officeDocument/2006/relationships/hyperlink" Target="https://my.zakupivli.pro/remote/dispatcher/state_purchase_view/50128934" TargetMode="External"/><Relationship Id="rId1214" Type="http://schemas.openxmlformats.org/officeDocument/2006/relationships/hyperlink" Target="https://my.zakupivli.pro/remote/dispatcher/state_purchase_view/52281063" TargetMode="External"/><Relationship Id="rId18" Type="http://schemas.openxmlformats.org/officeDocument/2006/relationships/hyperlink" Target="https://my.zakupki.prom.ua/remote/dispatcher/state_purchase_view/40092155" TargetMode="External"/><Relationship Id="rId167" Type="http://schemas.openxmlformats.org/officeDocument/2006/relationships/hyperlink" Target="https://zakupki.prom.ua/gov/tenders/UA-2023-03-15-007191-a/lot-4989704647284c6a92bafc66d29718dc" TargetMode="External"/><Relationship Id="rId374" Type="http://schemas.openxmlformats.org/officeDocument/2006/relationships/hyperlink" Target="https://my.zakupki.prom.ua/remote/dispatcher/state_purchase_view/43318378" TargetMode="External"/><Relationship Id="rId581" Type="http://schemas.openxmlformats.org/officeDocument/2006/relationships/hyperlink" Target="https://zakupivli.pro/gov/tenders/UA-2024-01-08-000709-a" TargetMode="External"/><Relationship Id="rId234" Type="http://schemas.openxmlformats.org/officeDocument/2006/relationships/hyperlink" Target="https://zakupki.prom.ua/gov/tenders/UA-2023-03-30-000296-a" TargetMode="External"/><Relationship Id="rId679" Type="http://schemas.openxmlformats.org/officeDocument/2006/relationships/hyperlink" Target="https://my.zakupivli.pro/remote/dispatcher/state_purchase_view/48824354" TargetMode="External"/><Relationship Id="rId886" Type="http://schemas.openxmlformats.org/officeDocument/2006/relationships/hyperlink" Target="https://my.zakupivli.pro/remote/dispatcher/state_purchase_view/49472296" TargetMode="External"/><Relationship Id="rId2" Type="http://schemas.openxmlformats.org/officeDocument/2006/relationships/hyperlink" Target="https://zakupki.prom.ua/gov/tenders/UA-2022-11-10-012027-a/lot-626beb3cc1624e79b6b15d716e2ee75b" TargetMode="External"/><Relationship Id="rId441" Type="http://schemas.openxmlformats.org/officeDocument/2006/relationships/hyperlink" Target="https://zakupki.prom.ua/gov/tenders/UA-2023-08-23-004657-a" TargetMode="External"/><Relationship Id="rId539" Type="http://schemas.openxmlformats.org/officeDocument/2006/relationships/hyperlink" Target="https://my.zakupivli.pro/remote/dispatcher/state_purchase_view/47358944" TargetMode="External"/><Relationship Id="rId746" Type="http://schemas.openxmlformats.org/officeDocument/2006/relationships/hyperlink" Target="https://my.zakupivli.pro/remote/dispatcher/state_purchase_view/48903036" TargetMode="External"/><Relationship Id="rId1071" Type="http://schemas.openxmlformats.org/officeDocument/2006/relationships/hyperlink" Target="https://zakupivli.pro/gov/tenders/UA-2024-04-26-001577-a" TargetMode="External"/><Relationship Id="rId1169" Type="http://schemas.openxmlformats.org/officeDocument/2006/relationships/hyperlink" Target="https://my.zakupivli.pro/remote/dispatcher/state_purchase_view/51820402" TargetMode="External"/><Relationship Id="rId1376" Type="http://schemas.openxmlformats.org/officeDocument/2006/relationships/hyperlink" Target="https://zakupivli.pro/gov/tenders/ua-2024-10-14-011744-a" TargetMode="External"/><Relationship Id="rId301" Type="http://schemas.openxmlformats.org/officeDocument/2006/relationships/hyperlink" Target="https://my.zakupki.prom.ua/remote/dispatcher/state_purchase_view/41780303" TargetMode="External"/><Relationship Id="rId953" Type="http://schemas.openxmlformats.org/officeDocument/2006/relationships/hyperlink" Target="https://my.zakupivli.pro/remote/dispatcher/state_purchase_view/49788870" TargetMode="External"/><Relationship Id="rId1029" Type="http://schemas.openxmlformats.org/officeDocument/2006/relationships/hyperlink" Target="https://zakupivli.pro/gov/tenders/UA-2024-04-03-011648-a" TargetMode="External"/><Relationship Id="rId1236" Type="http://schemas.openxmlformats.org/officeDocument/2006/relationships/hyperlink" Target="https://my.zakupivli.pro/remote/dispatcher/state_purchase_view/52344173" TargetMode="External"/><Relationship Id="rId82" Type="http://schemas.openxmlformats.org/officeDocument/2006/relationships/hyperlink" Target="https://my.zakupki.prom.ua/remote/dispatcher/state_purchase_view/41328638" TargetMode="External"/><Relationship Id="rId606" Type="http://schemas.openxmlformats.org/officeDocument/2006/relationships/hyperlink" Target="https://zakupivli.pro/gov/tenders/UA-2024-01-18-003325-a/lot-fc53341c8b354448953712f1b371711c" TargetMode="External"/><Relationship Id="rId813" Type="http://schemas.openxmlformats.org/officeDocument/2006/relationships/hyperlink" Target="https://zakupivli.pro/gov/tenders/UA-2024-02-14-000270-a" TargetMode="External"/><Relationship Id="rId1303" Type="http://schemas.openxmlformats.org/officeDocument/2006/relationships/hyperlink" Target="https://zakupivli.pro/gov/tenders/UA-2024-08-15-004257-a" TargetMode="External"/><Relationship Id="rId189" Type="http://schemas.openxmlformats.org/officeDocument/2006/relationships/hyperlink" Target="https://zakupki.prom.ua/gov/tenders/UA-2023-03-20-010049-a" TargetMode="External"/><Relationship Id="rId396" Type="http://schemas.openxmlformats.org/officeDocument/2006/relationships/hyperlink" Target="https://my.zakupki.prom.ua/remote/dispatcher/state_purchase_view/43867505" TargetMode="External"/><Relationship Id="rId256" Type="http://schemas.openxmlformats.org/officeDocument/2006/relationships/hyperlink" Target="https://my.zakupki.prom.ua/remote/dispatcher/state_purchase_view/41740483" TargetMode="External"/><Relationship Id="rId463" Type="http://schemas.openxmlformats.org/officeDocument/2006/relationships/hyperlink" Target="https://my.zakupki.prom.ua/remote/dispatcher/state_purchase_view/45099204" TargetMode="External"/><Relationship Id="rId670" Type="http://schemas.openxmlformats.org/officeDocument/2006/relationships/hyperlink" Target="https://zakupivli.pro/gov/tenders/UA-2024-01-25-013302-a" TargetMode="External"/><Relationship Id="rId1093" Type="http://schemas.openxmlformats.org/officeDocument/2006/relationships/hyperlink" Target="https://my.zakupivli.pro/remote/dispatcher/state_purchase_view/50934484" TargetMode="External"/><Relationship Id="rId116" Type="http://schemas.openxmlformats.org/officeDocument/2006/relationships/hyperlink" Target="https://zakupki.prom.ua/gov/tenders/UA-2023-02-16-004517-a" TargetMode="External"/><Relationship Id="rId323" Type="http://schemas.openxmlformats.org/officeDocument/2006/relationships/hyperlink" Target="https://my.zakupki.prom.ua/remote/dispatcher/state_purchase_view/42175373" TargetMode="External"/><Relationship Id="rId530" Type="http://schemas.openxmlformats.org/officeDocument/2006/relationships/hyperlink" Target="https://zakupivli.pro/gov/tenders/UA-2023-12-01-005369-a" TargetMode="External"/><Relationship Id="rId768" Type="http://schemas.openxmlformats.org/officeDocument/2006/relationships/hyperlink" Target="https://my.zakupivli.pro/remote/dispatcher/state_purchase_view/48969987" TargetMode="External"/><Relationship Id="rId975" Type="http://schemas.openxmlformats.org/officeDocument/2006/relationships/hyperlink" Target="https://zakupivli.pro/gov/tenders/UA-2024-03-25-008156-a" TargetMode="External"/><Relationship Id="rId1160" Type="http://schemas.openxmlformats.org/officeDocument/2006/relationships/hyperlink" Target="https://my.zakupivli.pro/remote/dispatcher/state_purchase_view/51723896" TargetMode="External"/><Relationship Id="rId628" Type="http://schemas.openxmlformats.org/officeDocument/2006/relationships/hyperlink" Target="https://my.zakupivli.pro/remote/dispatcher/state_purchase_view/48555711" TargetMode="External"/><Relationship Id="rId835" Type="http://schemas.openxmlformats.org/officeDocument/2006/relationships/hyperlink" Target="https://my.zakupivli.pro/remote/dispatcher/state_purchase_view/49299258" TargetMode="External"/><Relationship Id="rId1258" Type="http://schemas.openxmlformats.org/officeDocument/2006/relationships/hyperlink" Target="https://my.zakupivli.pro/remote/dispatcher/state_purchase_view/52589055" TargetMode="External"/><Relationship Id="rId1020" Type="http://schemas.openxmlformats.org/officeDocument/2006/relationships/hyperlink" Target="https://my.zakupivli.pro/remote/dispatcher/state_purchase_view/50182890" TargetMode="External"/><Relationship Id="rId1118" Type="http://schemas.openxmlformats.org/officeDocument/2006/relationships/hyperlink" Target="https://my.zakupivli.pro/remote/dispatcher/state_purchase_view/51263635" TargetMode="External"/><Relationship Id="rId1325" Type="http://schemas.openxmlformats.org/officeDocument/2006/relationships/hyperlink" Target="https://zakupivli.pro/gov/tenders/ua-2024-09-11-004952-a/lot-b56fa9551a6146e0901282ea176993f9" TargetMode="External"/><Relationship Id="rId902" Type="http://schemas.openxmlformats.org/officeDocument/2006/relationships/hyperlink" Target="https://my.zakupivli.pro/remote/dispatcher/state_purchase_view/49571405" TargetMode="External"/><Relationship Id="rId31" Type="http://schemas.openxmlformats.org/officeDocument/2006/relationships/hyperlink" Target="https://my.zakupki.prom.ua/remote/dispatcher/state_purchase_view/41576956" TargetMode="External"/><Relationship Id="rId180" Type="http://schemas.openxmlformats.org/officeDocument/2006/relationships/hyperlink" Target="https://zakupki.prom.ua/gov/tenders/UA-2023-03-20-010574-a" TargetMode="External"/><Relationship Id="rId278" Type="http://schemas.openxmlformats.org/officeDocument/2006/relationships/hyperlink" Target="https://my.zakupki.prom.ua/remote/dispatcher/state_purchase_view/41776493" TargetMode="External"/><Relationship Id="rId485" Type="http://schemas.openxmlformats.org/officeDocument/2006/relationships/hyperlink" Target="https://zakupki.prom.ua/gov/tenders/UA-2023-09-25-008707-a" TargetMode="External"/><Relationship Id="rId692" Type="http://schemas.openxmlformats.org/officeDocument/2006/relationships/hyperlink" Target="https://my.zakupivli.pro/remote/dispatcher/state_purchase_view/48832012" TargetMode="External"/><Relationship Id="rId138" Type="http://schemas.openxmlformats.org/officeDocument/2006/relationships/hyperlink" Target="https://zakupki.prom.ua/gov/tenders/UA-2023-03-06-002433-a/lot-5fe42ead7fb142018db2387de04aa587" TargetMode="External"/><Relationship Id="rId345" Type="http://schemas.openxmlformats.org/officeDocument/2006/relationships/hyperlink" Target="https://zakupki.prom.ua/gov/tenders/UA-2023-05-04-011709-a" TargetMode="External"/><Relationship Id="rId552" Type="http://schemas.openxmlformats.org/officeDocument/2006/relationships/hyperlink" Target="https://zakupivli.pro/gov/tenders/UA-2023-12-28-007824-a" TargetMode="External"/><Relationship Id="rId997" Type="http://schemas.openxmlformats.org/officeDocument/2006/relationships/hyperlink" Target="https://zakupivli.pro/gov/tenders/UA-2024-03-25-000494-a" TargetMode="External"/><Relationship Id="rId1182" Type="http://schemas.openxmlformats.org/officeDocument/2006/relationships/hyperlink" Target="https://zakupivli.pro/gov/tenders/UA-2024-06-25-000508-a" TargetMode="External"/><Relationship Id="rId205" Type="http://schemas.openxmlformats.org/officeDocument/2006/relationships/hyperlink" Target="https://zakupki.prom.ua/gov/tenders/UA-2023-03-23-010247-a" TargetMode="External"/><Relationship Id="rId412" Type="http://schemas.openxmlformats.org/officeDocument/2006/relationships/hyperlink" Target="https://my.zakupki.prom.ua/remote/dispatcher/state_purchase_view/44539346" TargetMode="External"/><Relationship Id="rId857" Type="http://schemas.openxmlformats.org/officeDocument/2006/relationships/hyperlink" Target="https://zakupivli.pro/gov/tenders/UA-2024-02-21-000550-a" TargetMode="External"/><Relationship Id="rId1042" Type="http://schemas.openxmlformats.org/officeDocument/2006/relationships/hyperlink" Target="https://my.zakupivli.pro/remote/dispatcher/state_purchase_view/50291280" TargetMode="External"/><Relationship Id="rId717" Type="http://schemas.openxmlformats.org/officeDocument/2006/relationships/hyperlink" Target="https://zakupivli.pro/gov/tenders/UA-2024-02-02-012574-a" TargetMode="External"/><Relationship Id="rId924" Type="http://schemas.openxmlformats.org/officeDocument/2006/relationships/hyperlink" Target="https://my.zakupivli.pro/remote/dispatcher/state_purchase_view/49656895" TargetMode="External"/><Relationship Id="rId1347" Type="http://schemas.openxmlformats.org/officeDocument/2006/relationships/hyperlink" Target="https://zakupivli.pro/gov/tenders/ua-2024-09-23-009602-a" TargetMode="External"/><Relationship Id="rId53" Type="http://schemas.openxmlformats.org/officeDocument/2006/relationships/hyperlink" Target="https://my.zakupki.prom.ua/remote/dispatcher/state_purchase_view/41435209" TargetMode="External"/><Relationship Id="rId1207" Type="http://schemas.openxmlformats.org/officeDocument/2006/relationships/hyperlink" Target="https://zakupivli.pro/gov/tenders/UA-2024-07-16-006910-a" TargetMode="External"/><Relationship Id="rId367" Type="http://schemas.openxmlformats.org/officeDocument/2006/relationships/hyperlink" Target="https://my.zakupki.prom.ua/remote/dispatcher/state_purchase_view/42937572" TargetMode="External"/><Relationship Id="rId574" Type="http://schemas.openxmlformats.org/officeDocument/2006/relationships/hyperlink" Target="https://my.zakupivli.pro/remote/dispatcher/state_purchase_view/48184528" TargetMode="External"/><Relationship Id="rId227" Type="http://schemas.openxmlformats.org/officeDocument/2006/relationships/hyperlink" Target="https://my.zakupki.prom.ua/remote/dispatcher/state_purchase_view/41678983" TargetMode="External"/><Relationship Id="rId781" Type="http://schemas.openxmlformats.org/officeDocument/2006/relationships/hyperlink" Target="https://zakupivli.pro/gov/tenders/UA-2024-02-06-009098-a" TargetMode="External"/><Relationship Id="rId879" Type="http://schemas.openxmlformats.org/officeDocument/2006/relationships/hyperlink" Target="https://zakupivli.pro/gov/tenders/UA-2024-02-23-001573-a" TargetMode="External"/><Relationship Id="rId434" Type="http://schemas.openxmlformats.org/officeDocument/2006/relationships/hyperlink" Target="https://my.zakupki.prom.ua/remote/dispatcher/state_purchase_view/44727318" TargetMode="External"/><Relationship Id="rId641" Type="http://schemas.openxmlformats.org/officeDocument/2006/relationships/hyperlink" Target="https://my.zakupivli.pro/remote/dispatcher/state_purchase_view/48579121" TargetMode="External"/><Relationship Id="rId739" Type="http://schemas.openxmlformats.org/officeDocument/2006/relationships/hyperlink" Target="https://zakupivli.pro/gov/tenders/UA-2024-02-02-011459-a" TargetMode="External"/><Relationship Id="rId1064" Type="http://schemas.openxmlformats.org/officeDocument/2006/relationships/hyperlink" Target="https://zakupivli.pro/gov/tenders/UA-2024-04-18-011880-a" TargetMode="External"/><Relationship Id="rId1271" Type="http://schemas.openxmlformats.org/officeDocument/2006/relationships/hyperlink" Target="https://my.zakupivli.pro/remote/dispatcher/state_purchase_view/52855277" TargetMode="External"/><Relationship Id="rId1369" Type="http://schemas.openxmlformats.org/officeDocument/2006/relationships/hyperlink" Target="https://my.zakupivli.pro/remote/dispatcher/state_purchase_view/53763004" TargetMode="External"/><Relationship Id="rId501" Type="http://schemas.openxmlformats.org/officeDocument/2006/relationships/hyperlink" Target="https://my.zakupivli.pro/remote/dispatcher/state_purchase_view/45900809" TargetMode="External"/><Relationship Id="rId946" Type="http://schemas.openxmlformats.org/officeDocument/2006/relationships/hyperlink" Target="https://zakupivli.pro/gov/tenders/UA-2024-03-12-008416-a" TargetMode="External"/><Relationship Id="rId1131" Type="http://schemas.openxmlformats.org/officeDocument/2006/relationships/hyperlink" Target="https://zakupivli.pro/gov/tenders/UA-2024-05-27-006049-a" TargetMode="External"/><Relationship Id="rId1229" Type="http://schemas.openxmlformats.org/officeDocument/2006/relationships/hyperlink" Target="https://my.zakupivli.pro/remote/dispatcher/state_purchase_view/52333680" TargetMode="External"/><Relationship Id="rId75" Type="http://schemas.openxmlformats.org/officeDocument/2006/relationships/hyperlink" Target="https://my.zakupki.prom.ua/remote/dispatcher/state_purchase_view/41329517" TargetMode="External"/><Relationship Id="rId806" Type="http://schemas.openxmlformats.org/officeDocument/2006/relationships/hyperlink" Target="https://my.zakupivli.pro/remote/dispatcher/state_purchase_view/49159801" TargetMode="External"/><Relationship Id="rId291" Type="http://schemas.openxmlformats.org/officeDocument/2006/relationships/hyperlink" Target="https://zakupki.prom.ua/gov/tenders/UA-2023-04-04-000680-a" TargetMode="External"/><Relationship Id="rId151" Type="http://schemas.openxmlformats.org/officeDocument/2006/relationships/hyperlink" Target="https://zakupki.prom.ua/gov/tenders/UA-2023-03-10-000295-a/lot-02b958a89c154bf1b3160cc4bb435f6b" TargetMode="External"/><Relationship Id="rId389" Type="http://schemas.openxmlformats.org/officeDocument/2006/relationships/hyperlink" Target="https://my.zakupki.prom.ua/remote/dispatcher/state_purchase_view/44182725" TargetMode="External"/><Relationship Id="rId596" Type="http://schemas.openxmlformats.org/officeDocument/2006/relationships/hyperlink" Target="https://my.zakupivli.pro/remote/dispatcher/state_purchase_view/48328503" TargetMode="External"/><Relationship Id="rId249" Type="http://schemas.openxmlformats.org/officeDocument/2006/relationships/hyperlink" Target="https://zakupki.prom.ua/gov/tenders/UA-2023-03-30-002824-a" TargetMode="External"/><Relationship Id="rId456" Type="http://schemas.openxmlformats.org/officeDocument/2006/relationships/hyperlink" Target="https://zakupki.prom.ua/gov/tenders/UA-2023-09-01-009213-a/lot-90484c7cd7804a2ebcb0d1ddd4096d53" TargetMode="External"/><Relationship Id="rId663" Type="http://schemas.openxmlformats.org/officeDocument/2006/relationships/hyperlink" Target="https://my.zakupivli.pro/remote/dispatcher/state_purchase_view/48686004" TargetMode="External"/><Relationship Id="rId870" Type="http://schemas.openxmlformats.org/officeDocument/2006/relationships/hyperlink" Target="https://my.zakupivli.pro/remote/dispatcher/state_purchase_view/49369718" TargetMode="External"/><Relationship Id="rId1086" Type="http://schemas.openxmlformats.org/officeDocument/2006/relationships/hyperlink" Target="https://my.zakupivli.pro/remote/dispatcher/state_purchase_view/50900302" TargetMode="External"/><Relationship Id="rId1293" Type="http://schemas.openxmlformats.org/officeDocument/2006/relationships/hyperlink" Target="https://zakupivli.pro/gov/tenders/UA-2024-08-21-003135-a" TargetMode="External"/><Relationship Id="rId109" Type="http://schemas.openxmlformats.org/officeDocument/2006/relationships/hyperlink" Target="https://my.zakupki.prom.ua/remote/dispatcher/state_purchase_view/40817379" TargetMode="External"/><Relationship Id="rId316" Type="http://schemas.openxmlformats.org/officeDocument/2006/relationships/hyperlink" Target="https://my.zakupki.prom.ua/remote/dispatcher/state_purchase_view/42099519" TargetMode="External"/><Relationship Id="rId523" Type="http://schemas.openxmlformats.org/officeDocument/2006/relationships/hyperlink" Target="https://my.zakupivli.pro/remote/dispatcher/state_purchase_view/47068707" TargetMode="External"/><Relationship Id="rId968" Type="http://schemas.openxmlformats.org/officeDocument/2006/relationships/hyperlink" Target="https://my.zakupivli.pro/remote/dispatcher/state_purchase_view/49910924" TargetMode="External"/><Relationship Id="rId1153" Type="http://schemas.openxmlformats.org/officeDocument/2006/relationships/hyperlink" Target="https://zakupivli.pro/gov/tenders/UA-2024-06-13-011394-a" TargetMode="External"/><Relationship Id="rId97" Type="http://schemas.openxmlformats.org/officeDocument/2006/relationships/hyperlink" Target="https://my.zakupki.prom.ua/remote/dispatcher/state_purchase_view/41188280" TargetMode="External"/><Relationship Id="rId730" Type="http://schemas.openxmlformats.org/officeDocument/2006/relationships/hyperlink" Target="https://my.zakupivli.pro/remote/dispatcher/state_purchase_view/48904634" TargetMode="External"/><Relationship Id="rId828" Type="http://schemas.openxmlformats.org/officeDocument/2006/relationships/hyperlink" Target="https://my.zakupivli.pro/remote/dispatcher/state_purchase_view/49302519" TargetMode="External"/><Relationship Id="rId1013" Type="http://schemas.openxmlformats.org/officeDocument/2006/relationships/hyperlink" Target="https://zakupivli.pro/gov/tenders/UA-2024-04-01-003935-a" TargetMode="External"/><Relationship Id="rId1360" Type="http://schemas.openxmlformats.org/officeDocument/2006/relationships/hyperlink" Target="https://zakupivli.pro/gov/tenders/ua-2024-09-25-000210-a" TargetMode="External"/><Relationship Id="rId1220" Type="http://schemas.openxmlformats.org/officeDocument/2006/relationships/hyperlink" Target="https://zakupivli.pro/gov/tenders/UA-2024-07-22-009143-a" TargetMode="External"/><Relationship Id="rId1318" Type="http://schemas.openxmlformats.org/officeDocument/2006/relationships/hyperlink" Target="https://my.zakupivli.pro/remote/dispatcher/state_purchase_view/53177341" TargetMode="External"/><Relationship Id="rId24" Type="http://schemas.openxmlformats.org/officeDocument/2006/relationships/hyperlink" Target="https://zakupki.prom.ua/gov/tenders/UA-2023-01-17-001062-a" TargetMode="External"/><Relationship Id="rId173" Type="http://schemas.openxmlformats.org/officeDocument/2006/relationships/hyperlink" Target="https://zakupki.prom.ua/gov/tenders/UA-2023-03-15-006562-a/lot-0df6e11bb770462db58865984ae4609f" TargetMode="External"/><Relationship Id="rId380" Type="http://schemas.openxmlformats.org/officeDocument/2006/relationships/hyperlink" Target="https://zakupki.prom.ua/gov/tenders/UA-2023-07-04-003089-a" TargetMode="External"/><Relationship Id="rId240" Type="http://schemas.openxmlformats.org/officeDocument/2006/relationships/hyperlink" Target="https://my.zakupki.prom.ua/remote/dispatcher/state_purchase_view/41719753" TargetMode="External"/><Relationship Id="rId478" Type="http://schemas.openxmlformats.org/officeDocument/2006/relationships/hyperlink" Target="https://my.zakupki.prom.ua/remote/dispatcher/state_purchase_view/45277635" TargetMode="External"/><Relationship Id="rId685" Type="http://schemas.openxmlformats.org/officeDocument/2006/relationships/hyperlink" Target="https://my.zakupivli.pro/remote/dispatcher/state_purchase_view/48826096" TargetMode="External"/><Relationship Id="rId892" Type="http://schemas.openxmlformats.org/officeDocument/2006/relationships/hyperlink" Target="https://zakupivli.pro/gov/tenders/UA-2024-02-28-002778-a/lot-f4dc81e09cff47aa8c6415c77d0e35e7" TargetMode="External"/><Relationship Id="rId100" Type="http://schemas.openxmlformats.org/officeDocument/2006/relationships/hyperlink" Target="https://my.zakupki.prom.ua/remote/dispatcher/state_purchase_view/41034280" TargetMode="External"/><Relationship Id="rId338" Type="http://schemas.openxmlformats.org/officeDocument/2006/relationships/hyperlink" Target="https://zakupki.prom.ua/gov/tenders/UA-2023-04-27-002191-a" TargetMode="External"/><Relationship Id="rId545" Type="http://schemas.openxmlformats.org/officeDocument/2006/relationships/hyperlink" Target="https://my.zakupivli.pro/remote/dispatcher/state_purchase_view/47633281" TargetMode="External"/><Relationship Id="rId752" Type="http://schemas.openxmlformats.org/officeDocument/2006/relationships/hyperlink" Target="https://zakupivli.pro/gov/tenders/UA-2024-02-02-000824-a" TargetMode="External"/><Relationship Id="rId1175" Type="http://schemas.openxmlformats.org/officeDocument/2006/relationships/hyperlink" Target="https://my.zakupivli.pro/remote/dispatcher/state_purchase_view/51816944" TargetMode="External"/><Relationship Id="rId1382" Type="http://schemas.openxmlformats.org/officeDocument/2006/relationships/hyperlink" Target="https://my.zakupivli.pro/remote/dispatcher/state_purchase_view/54094640" TargetMode="External"/><Relationship Id="rId405" Type="http://schemas.openxmlformats.org/officeDocument/2006/relationships/hyperlink" Target="https://zakupki.prom.ua/gov/tenders/UA-2023-07-27-007812-a" TargetMode="External"/><Relationship Id="rId612" Type="http://schemas.openxmlformats.org/officeDocument/2006/relationships/hyperlink" Target="https://zakupivli.pro/gov/tenders/UA-2024-01-18-004549-a/lot-35b11790e83540b5b10175e6e83338b7" TargetMode="External"/><Relationship Id="rId1035" Type="http://schemas.openxmlformats.org/officeDocument/2006/relationships/hyperlink" Target="https://zakupivli.pro/gov/tenders/UA-2024-04-04-007798-a" TargetMode="External"/><Relationship Id="rId1242" Type="http://schemas.openxmlformats.org/officeDocument/2006/relationships/hyperlink" Target="https://zakupivli.pro/gov/tenders/UA-2024-07-25-005997-a/lot-718bcc6bbbbf473d87faab00b57b3872" TargetMode="External"/><Relationship Id="rId917" Type="http://schemas.openxmlformats.org/officeDocument/2006/relationships/hyperlink" Target="https://zakupivli.pro/gov/tenders/UA-2024-03-05-012187-a" TargetMode="External"/><Relationship Id="rId1102" Type="http://schemas.openxmlformats.org/officeDocument/2006/relationships/hyperlink" Target="https://my.zakupivli.pro/remote/dispatcher/state_purchase_view/50999556" TargetMode="External"/><Relationship Id="rId46" Type="http://schemas.openxmlformats.org/officeDocument/2006/relationships/hyperlink" Target="https://my.zakupki.prom.ua/remote/dispatcher/state_purchase_view/41519653" TargetMode="External"/><Relationship Id="rId195" Type="http://schemas.openxmlformats.org/officeDocument/2006/relationships/hyperlink" Target="https://zakupki.prom.ua/gov/tenders/UA-2023-03-21-011539-a/lot-80249b19db9144f998b08b5945f2f2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32"/>
  <sheetViews>
    <sheetView tabSelected="1" zoomScale="55" zoomScaleNormal="55" workbookViewId="0">
      <pane ySplit="4" topLeftCell="A705" activePane="bottomLeft" state="frozen"/>
      <selection pane="bottomLeft" activeCell="V710" sqref="V710"/>
    </sheetView>
  </sheetViews>
  <sheetFormatPr defaultColWidth="9.109375" defaultRowHeight="15.6" x14ac:dyDescent="0.3"/>
  <cols>
    <col min="1" max="1" width="5.109375" style="1" customWidth="1"/>
    <col min="2" max="2" width="11.5546875" style="1" customWidth="1"/>
    <col min="3" max="3" width="25.5546875" style="1" customWidth="1"/>
    <col min="4" max="4" width="24.6640625" style="1" customWidth="1"/>
    <col min="5" max="5" width="15.44140625" style="1" customWidth="1"/>
    <col min="6" max="6" width="55.109375" style="1" customWidth="1"/>
    <col min="7" max="7" width="10.33203125" style="1" customWidth="1"/>
    <col min="8" max="8" width="15.6640625" style="1" customWidth="1"/>
    <col min="9" max="9" width="11.33203125" style="1" customWidth="1"/>
    <col min="10" max="10" width="15.21875" style="1" customWidth="1"/>
    <col min="11" max="11" width="15.33203125" style="1" customWidth="1"/>
    <col min="12" max="12" width="10.33203125" style="1" customWidth="1"/>
    <col min="13" max="13" width="15.77734375" style="1" customWidth="1"/>
    <col min="14" max="14" width="38.6640625" style="1" customWidth="1"/>
    <col min="15" max="15" width="14.5546875" style="7" customWidth="1"/>
    <col min="16" max="16" width="30.5546875" style="1" customWidth="1"/>
    <col min="17" max="17" width="15" style="1" customWidth="1"/>
    <col min="18" max="18" width="13.44140625" style="1" customWidth="1"/>
    <col min="19" max="19" width="13.88671875" style="1" customWidth="1"/>
    <col min="20" max="20" width="16.6640625" style="7" customWidth="1"/>
    <col min="21" max="21" width="16.33203125" style="1" customWidth="1"/>
    <col min="22" max="22" width="15.6640625" style="1" customWidth="1"/>
    <col min="23" max="16384" width="9.109375" style="1"/>
  </cols>
  <sheetData>
    <row r="1" spans="1:22" ht="25.5" customHeight="1" x14ac:dyDescent="0.3">
      <c r="A1" s="329" t="s">
        <v>19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</row>
    <row r="2" spans="1:22" ht="99" customHeight="1" x14ac:dyDescent="0.3">
      <c r="A2" s="328" t="s">
        <v>1</v>
      </c>
      <c r="B2" s="328" t="s">
        <v>0</v>
      </c>
      <c r="C2" s="328" t="s">
        <v>29</v>
      </c>
      <c r="D2" s="328" t="s">
        <v>2</v>
      </c>
      <c r="E2" s="328" t="s">
        <v>3</v>
      </c>
      <c r="F2" s="328" t="s">
        <v>4</v>
      </c>
      <c r="G2" s="328" t="s">
        <v>5</v>
      </c>
      <c r="H2" s="328" t="s">
        <v>6</v>
      </c>
      <c r="I2" s="328"/>
      <c r="J2" s="328"/>
      <c r="K2" s="328" t="s">
        <v>7</v>
      </c>
      <c r="L2" s="328"/>
      <c r="M2" s="328"/>
      <c r="N2" s="328" t="s">
        <v>11</v>
      </c>
      <c r="O2" s="327" t="s">
        <v>12</v>
      </c>
      <c r="P2" s="328" t="s">
        <v>13</v>
      </c>
      <c r="Q2" s="328" t="s">
        <v>14</v>
      </c>
      <c r="R2" s="328"/>
      <c r="S2" s="328"/>
      <c r="T2" s="327" t="s">
        <v>16</v>
      </c>
      <c r="U2" s="328" t="s">
        <v>17</v>
      </c>
      <c r="V2" s="328" t="s">
        <v>18</v>
      </c>
    </row>
    <row r="3" spans="1:22" ht="103.8" customHeight="1" x14ac:dyDescent="0.3">
      <c r="A3" s="328"/>
      <c r="B3" s="328"/>
      <c r="C3" s="328"/>
      <c r="D3" s="328"/>
      <c r="E3" s="328"/>
      <c r="F3" s="328"/>
      <c r="G3" s="328"/>
      <c r="H3" s="30" t="s">
        <v>8</v>
      </c>
      <c r="I3" s="30" t="s">
        <v>9</v>
      </c>
      <c r="J3" s="30" t="s">
        <v>10</v>
      </c>
      <c r="K3" s="30" t="s">
        <v>8</v>
      </c>
      <c r="L3" s="30" t="s">
        <v>9</v>
      </c>
      <c r="M3" s="30" t="s">
        <v>10</v>
      </c>
      <c r="N3" s="328"/>
      <c r="O3" s="327"/>
      <c r="P3" s="328"/>
      <c r="Q3" s="30" t="s">
        <v>8</v>
      </c>
      <c r="R3" s="30" t="s">
        <v>9</v>
      </c>
      <c r="S3" s="30" t="s">
        <v>15</v>
      </c>
      <c r="T3" s="327"/>
      <c r="U3" s="328"/>
      <c r="V3" s="328"/>
    </row>
    <row r="4" spans="1:22" x14ac:dyDescent="0.3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30">
        <v>13</v>
      </c>
      <c r="N4" s="30">
        <v>14</v>
      </c>
      <c r="O4" s="8">
        <v>15</v>
      </c>
      <c r="P4" s="30">
        <v>16</v>
      </c>
      <c r="Q4" s="30">
        <v>17</v>
      </c>
      <c r="R4" s="30">
        <v>18</v>
      </c>
      <c r="S4" s="30">
        <v>19</v>
      </c>
      <c r="T4" s="8">
        <v>20</v>
      </c>
      <c r="U4" s="30">
        <v>21</v>
      </c>
      <c r="V4" s="30">
        <v>22</v>
      </c>
    </row>
    <row r="5" spans="1:22" ht="43.5" customHeight="1" x14ac:dyDescent="0.3">
      <c r="A5" s="30">
        <v>1</v>
      </c>
      <c r="B5" s="30" t="s">
        <v>21</v>
      </c>
      <c r="C5" s="30" t="s">
        <v>32</v>
      </c>
      <c r="D5" s="30" t="s">
        <v>58</v>
      </c>
      <c r="E5" s="30" t="s">
        <v>20</v>
      </c>
      <c r="F5" s="30" t="s">
        <v>33</v>
      </c>
      <c r="G5" s="30" t="s">
        <v>25</v>
      </c>
      <c r="H5" s="30">
        <v>252.33500000000001</v>
      </c>
      <c r="I5" s="30">
        <v>1</v>
      </c>
      <c r="J5" s="30">
        <f>302802/1.2/1000</f>
        <v>252.33500000000001</v>
      </c>
      <c r="K5" s="30">
        <v>252.33500000000001</v>
      </c>
      <c r="L5" s="30">
        <v>1</v>
      </c>
      <c r="M5" s="30">
        <f>302802/1.2/1000</f>
        <v>252.33500000000001</v>
      </c>
      <c r="N5" s="3" t="s">
        <v>34</v>
      </c>
      <c r="O5" s="31">
        <v>44869</v>
      </c>
      <c r="P5" s="30" t="s">
        <v>35</v>
      </c>
      <c r="Q5" s="30">
        <f>302760/1.2/1000</f>
        <v>252.3</v>
      </c>
      <c r="R5" s="30">
        <v>1</v>
      </c>
      <c r="S5" s="30">
        <f>302760/1.2/1000</f>
        <v>252.3</v>
      </c>
      <c r="T5" s="31">
        <v>44896</v>
      </c>
      <c r="U5" s="30"/>
      <c r="V5" s="30"/>
    </row>
    <row r="6" spans="1:22" ht="35.25" customHeight="1" x14ac:dyDescent="0.3">
      <c r="A6" s="30">
        <v>2</v>
      </c>
      <c r="B6" s="30" t="s">
        <v>21</v>
      </c>
      <c r="C6" s="30" t="s">
        <v>30</v>
      </c>
      <c r="D6" s="30" t="s">
        <v>58</v>
      </c>
      <c r="E6" s="30" t="s">
        <v>20</v>
      </c>
      <c r="F6" s="30" t="s">
        <v>22</v>
      </c>
      <c r="G6" s="30" t="s">
        <v>24</v>
      </c>
      <c r="H6" s="2"/>
      <c r="I6" s="2">
        <v>2025</v>
      </c>
      <c r="J6" s="2">
        <f>207228/1.2/1000</f>
        <v>172.69</v>
      </c>
      <c r="K6" s="2"/>
      <c r="L6" s="30">
        <v>2025</v>
      </c>
      <c r="M6" s="30">
        <f>207228/1.2/1000</f>
        <v>172.69</v>
      </c>
      <c r="N6" s="3" t="s">
        <v>26</v>
      </c>
      <c r="O6" s="31">
        <v>44873</v>
      </c>
      <c r="P6" s="30" t="s">
        <v>27</v>
      </c>
      <c r="Q6" s="30">
        <f>207228/1.2/1000</f>
        <v>172.69</v>
      </c>
      <c r="R6" s="30">
        <v>1</v>
      </c>
      <c r="S6" s="30">
        <f>207228/1.2/1000</f>
        <v>172.69</v>
      </c>
      <c r="T6" s="31">
        <v>44888</v>
      </c>
      <c r="U6" s="30"/>
      <c r="V6" s="30"/>
    </row>
    <row r="7" spans="1:22" ht="42.75" customHeight="1" x14ac:dyDescent="0.3">
      <c r="A7" s="30">
        <v>3</v>
      </c>
      <c r="B7" s="30" t="s">
        <v>21</v>
      </c>
      <c r="C7" s="30" t="s">
        <v>36</v>
      </c>
      <c r="D7" s="30" t="s">
        <v>58</v>
      </c>
      <c r="E7" s="30" t="s">
        <v>20</v>
      </c>
      <c r="F7" s="30" t="s">
        <v>37</v>
      </c>
      <c r="G7" s="30" t="s">
        <v>25</v>
      </c>
      <c r="H7" s="30"/>
      <c r="I7" s="30">
        <v>12</v>
      </c>
      <c r="J7" s="30">
        <f>128000/1.2/1000</f>
        <v>106.66666666666667</v>
      </c>
      <c r="K7" s="30"/>
      <c r="L7" s="30">
        <v>12</v>
      </c>
      <c r="M7" s="30">
        <f>128000/1.2/1000</f>
        <v>106.66666666666667</v>
      </c>
      <c r="N7" s="3" t="s">
        <v>38</v>
      </c>
      <c r="O7" s="31">
        <v>44873</v>
      </c>
      <c r="P7" s="30" t="s">
        <v>39</v>
      </c>
      <c r="Q7" s="30">
        <f>127556.04/1.2/1000</f>
        <v>106.2967</v>
      </c>
      <c r="R7" s="30">
        <v>1</v>
      </c>
      <c r="S7" s="30">
        <f>127556.04/1.2/1000</f>
        <v>106.2967</v>
      </c>
      <c r="T7" s="31">
        <v>44890</v>
      </c>
      <c r="U7" s="30"/>
      <c r="V7" s="30"/>
    </row>
    <row r="8" spans="1:22" ht="118.5" customHeight="1" x14ac:dyDescent="0.3">
      <c r="A8" s="30">
        <v>4</v>
      </c>
      <c r="B8" s="30" t="s">
        <v>40</v>
      </c>
      <c r="C8" s="30" t="s">
        <v>41</v>
      </c>
      <c r="D8" s="30"/>
      <c r="E8" s="30" t="s">
        <v>20</v>
      </c>
      <c r="F8" s="30" t="s">
        <v>42</v>
      </c>
      <c r="G8" s="30" t="s">
        <v>43</v>
      </c>
      <c r="H8" s="30">
        <f>596253.74/1.2/1000</f>
        <v>496.8781166666667</v>
      </c>
      <c r="I8" s="30">
        <v>1</v>
      </c>
      <c r="J8" s="30">
        <f>596253.74/1.2/1000</f>
        <v>496.8781166666667</v>
      </c>
      <c r="K8" s="30">
        <f>596253.74/1.2/1000</f>
        <v>496.8781166666667</v>
      </c>
      <c r="L8" s="30">
        <v>1</v>
      </c>
      <c r="M8" s="30">
        <f>596253.74/1.2/1000</f>
        <v>496.8781166666667</v>
      </c>
      <c r="N8" s="3" t="s">
        <v>44</v>
      </c>
      <c r="O8" s="31">
        <v>44874</v>
      </c>
      <c r="P8" s="30" t="s">
        <v>45</v>
      </c>
      <c r="Q8" s="30">
        <f>596253.74/1.2/1000</f>
        <v>496.8781166666667</v>
      </c>
      <c r="R8" s="30">
        <v>1</v>
      </c>
      <c r="S8" s="30">
        <f>596253.74/1.2/1000</f>
        <v>496.8781166666667</v>
      </c>
      <c r="T8" s="31">
        <v>44874</v>
      </c>
      <c r="U8" s="30"/>
      <c r="V8" s="30" t="s">
        <v>59</v>
      </c>
    </row>
    <row r="9" spans="1:22" ht="69.75" customHeight="1" x14ac:dyDescent="0.3">
      <c r="A9" s="30">
        <v>5</v>
      </c>
      <c r="B9" s="30" t="s">
        <v>21</v>
      </c>
      <c r="C9" s="30" t="s">
        <v>31</v>
      </c>
      <c r="D9" s="30" t="s">
        <v>58</v>
      </c>
      <c r="E9" s="30" t="s">
        <v>20</v>
      </c>
      <c r="F9" s="30" t="s">
        <v>23</v>
      </c>
      <c r="G9" s="30" t="s">
        <v>25</v>
      </c>
      <c r="H9" s="2"/>
      <c r="I9" s="2">
        <v>20</v>
      </c>
      <c r="J9" s="2">
        <f>601899.72/1.2/1000</f>
        <v>501.5831</v>
      </c>
      <c r="K9" s="2"/>
      <c r="L9" s="2">
        <v>20</v>
      </c>
      <c r="M9" s="2">
        <f>601899.72/1.2/1000</f>
        <v>501.5831</v>
      </c>
      <c r="N9" s="3" t="s">
        <v>66</v>
      </c>
      <c r="O9" s="31">
        <v>44875</v>
      </c>
      <c r="P9" s="30" t="s">
        <v>28</v>
      </c>
      <c r="Q9" s="30">
        <f>379798.26/1.2/1000</f>
        <v>316.49855000000002</v>
      </c>
      <c r="R9" s="30">
        <v>1</v>
      </c>
      <c r="S9" s="30">
        <f>379798.26/1.2/1000</f>
        <v>316.49855000000002</v>
      </c>
      <c r="T9" s="31">
        <v>44904</v>
      </c>
      <c r="U9" s="30"/>
      <c r="V9" s="30"/>
    </row>
    <row r="10" spans="1:22" ht="65.25" customHeight="1" x14ac:dyDescent="0.3">
      <c r="A10" s="30">
        <v>6</v>
      </c>
      <c r="B10" s="30" t="s">
        <v>21</v>
      </c>
      <c r="C10" s="30" t="s">
        <v>31</v>
      </c>
      <c r="D10" s="30" t="s">
        <v>58</v>
      </c>
      <c r="E10" s="30" t="s">
        <v>20</v>
      </c>
      <c r="F10" s="30" t="s">
        <v>23</v>
      </c>
      <c r="G10" s="30" t="s">
        <v>25</v>
      </c>
      <c r="H10" s="2"/>
      <c r="I10" s="2">
        <v>6</v>
      </c>
      <c r="J10" s="2">
        <f>8905.68/1.2/1000</f>
        <v>7.4214000000000002</v>
      </c>
      <c r="K10" s="2"/>
      <c r="L10" s="2">
        <v>6</v>
      </c>
      <c r="M10" s="2">
        <f>8905.68/1.2/1000</f>
        <v>7.4214000000000002</v>
      </c>
      <c r="N10" s="3" t="s">
        <v>67</v>
      </c>
      <c r="O10" s="31">
        <v>44875</v>
      </c>
      <c r="P10" s="30" t="s">
        <v>28</v>
      </c>
      <c r="Q10" s="30">
        <f>7693.2/1.2/1000</f>
        <v>6.4109999999999996</v>
      </c>
      <c r="R10" s="30">
        <v>1</v>
      </c>
      <c r="S10" s="30">
        <f>7693.2/1.2/1000</f>
        <v>6.4109999999999996</v>
      </c>
      <c r="T10" s="31">
        <v>44904</v>
      </c>
      <c r="U10" s="30"/>
      <c r="V10" s="30"/>
    </row>
    <row r="11" spans="1:22" ht="84" customHeight="1" x14ac:dyDescent="0.3">
      <c r="A11" s="30">
        <v>7</v>
      </c>
      <c r="B11" s="30" t="s">
        <v>40</v>
      </c>
      <c r="C11" s="30" t="s">
        <v>41</v>
      </c>
      <c r="D11" s="30"/>
      <c r="E11" s="30" t="s">
        <v>20</v>
      </c>
      <c r="F11" s="30" t="s">
        <v>46</v>
      </c>
      <c r="G11" s="30" t="s">
        <v>43</v>
      </c>
      <c r="H11" s="30">
        <f>65558.2/1.2/1000</f>
        <v>54.631833333333333</v>
      </c>
      <c r="I11" s="30">
        <v>1</v>
      </c>
      <c r="J11" s="30">
        <f>65558.2/1.2/1000</f>
        <v>54.631833333333333</v>
      </c>
      <c r="K11" s="30">
        <f>65558.2/1.2/1000</f>
        <v>54.631833333333333</v>
      </c>
      <c r="L11" s="30">
        <v>1</v>
      </c>
      <c r="M11" s="30">
        <f>65558.2/1.2/1000</f>
        <v>54.631833333333333</v>
      </c>
      <c r="N11" s="3" t="s">
        <v>47</v>
      </c>
      <c r="O11" s="31">
        <v>44875</v>
      </c>
      <c r="P11" s="30" t="s">
        <v>48</v>
      </c>
      <c r="Q11" s="30">
        <f>65558.2/1.2/1000</f>
        <v>54.631833333333333</v>
      </c>
      <c r="R11" s="30">
        <v>1</v>
      </c>
      <c r="S11" s="30">
        <f>65558.2/1.2/1000</f>
        <v>54.631833333333333</v>
      </c>
      <c r="T11" s="31">
        <v>44875</v>
      </c>
      <c r="U11" s="30"/>
      <c r="V11" s="30" t="s">
        <v>59</v>
      </c>
    </row>
    <row r="12" spans="1:22" ht="112.5" customHeight="1" x14ac:dyDescent="0.3">
      <c r="A12" s="30">
        <v>8</v>
      </c>
      <c r="B12" s="30" t="s">
        <v>40</v>
      </c>
      <c r="C12" s="30" t="s">
        <v>41</v>
      </c>
      <c r="D12" s="30"/>
      <c r="E12" s="30" t="s">
        <v>20</v>
      </c>
      <c r="F12" s="30" t="s">
        <v>49</v>
      </c>
      <c r="G12" s="30" t="s">
        <v>43</v>
      </c>
      <c r="H12" s="30">
        <f>238641.32/1.2/1000</f>
        <v>198.86776666666668</v>
      </c>
      <c r="I12" s="30">
        <v>1</v>
      </c>
      <c r="J12" s="30">
        <f>238641.32/1.2/1000</f>
        <v>198.86776666666668</v>
      </c>
      <c r="K12" s="30">
        <f>238641.32/1.2/1000</f>
        <v>198.86776666666668</v>
      </c>
      <c r="L12" s="30">
        <v>1</v>
      </c>
      <c r="M12" s="30">
        <f>238641.32/1.2/1000</f>
        <v>198.86776666666668</v>
      </c>
      <c r="N12" s="3" t="s">
        <v>50</v>
      </c>
      <c r="O12" s="31">
        <v>44879</v>
      </c>
      <c r="P12" s="30" t="s">
        <v>51</v>
      </c>
      <c r="Q12" s="30">
        <f>238641.32/1.2/1000</f>
        <v>198.86776666666668</v>
      </c>
      <c r="R12" s="30">
        <v>1</v>
      </c>
      <c r="S12" s="30">
        <f>238641.32/1.2/1000</f>
        <v>198.86776666666668</v>
      </c>
      <c r="T12" s="31">
        <v>44879</v>
      </c>
      <c r="U12" s="30"/>
      <c r="V12" s="30" t="s">
        <v>59</v>
      </c>
    </row>
    <row r="13" spans="1:22" ht="192.75" customHeight="1" x14ac:dyDescent="0.3">
      <c r="A13" s="30">
        <v>9</v>
      </c>
      <c r="B13" s="30" t="s">
        <v>40</v>
      </c>
      <c r="C13" s="30" t="s">
        <v>41</v>
      </c>
      <c r="D13" s="30" t="s">
        <v>58</v>
      </c>
      <c r="E13" s="30" t="s">
        <v>20</v>
      </c>
      <c r="F13" s="30" t="s">
        <v>52</v>
      </c>
      <c r="G13" s="30" t="s">
        <v>43</v>
      </c>
      <c r="H13" s="30">
        <f>3306105/1.2/1000</f>
        <v>2755.0875000000001</v>
      </c>
      <c r="I13" s="30">
        <v>1</v>
      </c>
      <c r="J13" s="30">
        <f>3306105/1.2/1000</f>
        <v>2755.0875000000001</v>
      </c>
      <c r="K13" s="30">
        <f>3306105/1.2/1000</f>
        <v>2755.0875000000001</v>
      </c>
      <c r="L13" s="30">
        <v>1</v>
      </c>
      <c r="M13" s="30">
        <f>3306105/1.2/1000</f>
        <v>2755.0875000000001</v>
      </c>
      <c r="N13" s="3" t="s">
        <v>53</v>
      </c>
      <c r="O13" s="31">
        <v>44881</v>
      </c>
      <c r="P13" s="30" t="s">
        <v>54</v>
      </c>
      <c r="Q13" s="30">
        <f>3306103.51/1.2/1000</f>
        <v>2755.0862583333333</v>
      </c>
      <c r="R13" s="30">
        <v>1</v>
      </c>
      <c r="S13" s="30">
        <f>3306103.51/1.2/1000</f>
        <v>2755.0862583333333</v>
      </c>
      <c r="T13" s="31">
        <v>44903</v>
      </c>
      <c r="U13" s="30"/>
      <c r="V13" s="30"/>
    </row>
    <row r="14" spans="1:22" ht="78" x14ac:dyDescent="0.3">
      <c r="A14" s="30">
        <v>10</v>
      </c>
      <c r="B14" s="30" t="s">
        <v>40</v>
      </c>
      <c r="C14" s="30" t="s">
        <v>41</v>
      </c>
      <c r="D14" s="30" t="s">
        <v>58</v>
      </c>
      <c r="E14" s="30" t="s">
        <v>20</v>
      </c>
      <c r="F14" s="30" t="s">
        <v>55</v>
      </c>
      <c r="G14" s="30" t="s">
        <v>43</v>
      </c>
      <c r="H14" s="30">
        <f>1980000/1.2/1000</f>
        <v>1650</v>
      </c>
      <c r="I14" s="30">
        <v>1</v>
      </c>
      <c r="J14" s="30">
        <f>1980000/1.2/1000</f>
        <v>1650</v>
      </c>
      <c r="K14" s="30">
        <f>1980000/1.2/1000</f>
        <v>1650</v>
      </c>
      <c r="L14" s="30">
        <v>1</v>
      </c>
      <c r="M14" s="30">
        <f>1980000/1.2/1000</f>
        <v>1650</v>
      </c>
      <c r="N14" s="3" t="s">
        <v>56</v>
      </c>
      <c r="O14" s="31">
        <v>44882</v>
      </c>
      <c r="P14" s="30" t="s">
        <v>57</v>
      </c>
      <c r="Q14" s="30">
        <f>1979789.87/1.2/1000</f>
        <v>1649.8248916666669</v>
      </c>
      <c r="R14" s="30">
        <v>1</v>
      </c>
      <c r="S14" s="30">
        <f>1979789.87/1.2/1000</f>
        <v>1649.8248916666669</v>
      </c>
      <c r="T14" s="31">
        <v>44903</v>
      </c>
      <c r="U14" s="30"/>
      <c r="V14" s="30"/>
    </row>
    <row r="15" spans="1:22" ht="93.6" x14ac:dyDescent="0.3">
      <c r="A15" s="30">
        <v>11</v>
      </c>
      <c r="B15" s="30" t="s">
        <v>40</v>
      </c>
      <c r="C15" s="30" t="s">
        <v>41</v>
      </c>
      <c r="D15" s="30"/>
      <c r="E15" s="30" t="s">
        <v>20</v>
      </c>
      <c r="F15" s="30" t="s">
        <v>60</v>
      </c>
      <c r="G15" s="30" t="s">
        <v>43</v>
      </c>
      <c r="H15" s="30">
        <f>529516.15/1.2/1000</f>
        <v>441.26345833333335</v>
      </c>
      <c r="I15" s="30">
        <v>1</v>
      </c>
      <c r="J15" s="30">
        <f>529516.15/1.2/1000</f>
        <v>441.26345833333335</v>
      </c>
      <c r="K15" s="30">
        <f>529516.15/1.2/1000</f>
        <v>441.26345833333335</v>
      </c>
      <c r="L15" s="30">
        <v>1</v>
      </c>
      <c r="M15" s="30">
        <f>529516.15/1.2/1000</f>
        <v>441.26345833333335</v>
      </c>
      <c r="N15" s="3" t="s">
        <v>61</v>
      </c>
      <c r="O15" s="31">
        <v>44882</v>
      </c>
      <c r="P15" s="30" t="s">
        <v>62</v>
      </c>
      <c r="Q15" s="30">
        <f>529516.15/1.2/1000</f>
        <v>441.26345833333335</v>
      </c>
      <c r="R15" s="30">
        <v>1</v>
      </c>
      <c r="S15" s="30">
        <f>529516.15/1.2/1000</f>
        <v>441.26345833333335</v>
      </c>
      <c r="T15" s="31">
        <v>44882</v>
      </c>
      <c r="U15" s="30"/>
      <c r="V15" s="30" t="s">
        <v>59</v>
      </c>
    </row>
    <row r="16" spans="1:22" ht="62.4" x14ac:dyDescent="0.3">
      <c r="A16" s="30">
        <v>12</v>
      </c>
      <c r="B16" s="30" t="s">
        <v>21</v>
      </c>
      <c r="C16" s="30" t="s">
        <v>36</v>
      </c>
      <c r="D16" s="30" t="s">
        <v>68</v>
      </c>
      <c r="E16" s="30" t="s">
        <v>20</v>
      </c>
      <c r="F16" s="30" t="s">
        <v>63</v>
      </c>
      <c r="G16" s="30" t="s">
        <v>24</v>
      </c>
      <c r="H16" s="30"/>
      <c r="I16" s="30">
        <v>84</v>
      </c>
      <c r="J16" s="30">
        <f>202860/1.2/1000</f>
        <v>169.05</v>
      </c>
      <c r="K16" s="30"/>
      <c r="L16" s="30">
        <v>84</v>
      </c>
      <c r="M16" s="30">
        <f>202860/1.2/1000</f>
        <v>169.05</v>
      </c>
      <c r="N16" s="3" t="s">
        <v>64</v>
      </c>
      <c r="O16" s="31">
        <v>44888</v>
      </c>
      <c r="P16" s="30" t="s">
        <v>65</v>
      </c>
      <c r="Q16" s="30"/>
      <c r="R16" s="30">
        <v>84</v>
      </c>
      <c r="S16" s="30">
        <f>202860/1.2/1000</f>
        <v>169.05</v>
      </c>
      <c r="T16" s="31">
        <v>44888</v>
      </c>
      <c r="U16" s="30"/>
      <c r="V16" s="30" t="s">
        <v>59</v>
      </c>
    </row>
    <row r="17" spans="1:22" ht="62.4" x14ac:dyDescent="0.3">
      <c r="A17" s="30">
        <v>13</v>
      </c>
      <c r="B17" s="30" t="s">
        <v>40</v>
      </c>
      <c r="C17" s="30" t="s">
        <v>41</v>
      </c>
      <c r="D17" s="30" t="s">
        <v>58</v>
      </c>
      <c r="E17" s="30" t="s">
        <v>20</v>
      </c>
      <c r="F17" s="30" t="s">
        <v>69</v>
      </c>
      <c r="G17" s="30" t="s">
        <v>43</v>
      </c>
      <c r="H17" s="30">
        <v>486.35840999999999</v>
      </c>
      <c r="I17" s="30">
        <v>1</v>
      </c>
      <c r="J17" s="30">
        <v>486.35840999999999</v>
      </c>
      <c r="K17" s="30">
        <v>486.35840999999999</v>
      </c>
      <c r="L17" s="30">
        <v>1</v>
      </c>
      <c r="M17" s="30">
        <v>486.35840999999999</v>
      </c>
      <c r="N17" s="3" t="s">
        <v>70</v>
      </c>
      <c r="O17" s="31">
        <v>44903</v>
      </c>
      <c r="P17" s="30" t="s">
        <v>71</v>
      </c>
      <c r="Q17" s="30">
        <v>486.35840999999999</v>
      </c>
      <c r="R17" s="30">
        <v>1</v>
      </c>
      <c r="S17" s="30">
        <v>486.35840999999999</v>
      </c>
      <c r="T17" s="31">
        <v>44903</v>
      </c>
      <c r="U17" s="30"/>
      <c r="V17" s="30" t="s">
        <v>59</v>
      </c>
    </row>
    <row r="18" spans="1:22" ht="62.4" x14ac:dyDescent="0.3">
      <c r="A18" s="30">
        <v>14</v>
      </c>
      <c r="B18" s="30" t="s">
        <v>40</v>
      </c>
      <c r="C18" s="12" t="s">
        <v>73</v>
      </c>
      <c r="D18" s="30"/>
      <c r="E18" s="30" t="s">
        <v>75</v>
      </c>
      <c r="F18" s="12" t="s">
        <v>72</v>
      </c>
      <c r="G18" s="30" t="s">
        <v>43</v>
      </c>
      <c r="H18" s="5">
        <f>51.85488/1.2</f>
        <v>43.212400000000002</v>
      </c>
      <c r="I18" s="30">
        <v>1</v>
      </c>
      <c r="J18" s="5">
        <f>51.85488/1.2</f>
        <v>43.212400000000002</v>
      </c>
      <c r="K18" s="5">
        <f>51.85488/1.2</f>
        <v>43.212400000000002</v>
      </c>
      <c r="L18" s="30">
        <v>1</v>
      </c>
      <c r="M18" s="5">
        <f>51.85488/1.2</f>
        <v>43.212400000000002</v>
      </c>
      <c r="N18" s="3" t="s">
        <v>74</v>
      </c>
      <c r="O18" s="31">
        <v>44916</v>
      </c>
      <c r="P18" s="13" t="str">
        <f>HYPERLINK("https://my.zakupki.prom.ua/remote/dispatcher/state_purchase_view/39591644", "UA-2022-12-21-012032-a")</f>
        <v>UA-2022-12-21-012032-a</v>
      </c>
      <c r="Q18" s="5">
        <f>51.85488/1.2</f>
        <v>43.212400000000002</v>
      </c>
      <c r="R18" s="30">
        <v>1</v>
      </c>
      <c r="S18" s="5">
        <f>51.85488/1.2</f>
        <v>43.212400000000002</v>
      </c>
      <c r="T18" s="31">
        <v>44916</v>
      </c>
      <c r="U18" s="30"/>
      <c r="V18" s="30" t="s">
        <v>59</v>
      </c>
    </row>
    <row r="19" spans="1:22" ht="62.4" x14ac:dyDescent="0.3">
      <c r="A19" s="30">
        <v>15</v>
      </c>
      <c r="B19" s="30" t="s">
        <v>40</v>
      </c>
      <c r="C19" s="12" t="s">
        <v>73</v>
      </c>
      <c r="D19" s="30"/>
      <c r="E19" s="30" t="s">
        <v>75</v>
      </c>
      <c r="F19" s="12" t="s">
        <v>76</v>
      </c>
      <c r="G19" s="30" t="s">
        <v>43</v>
      </c>
      <c r="H19" s="5">
        <f>1345698.88/1.2/1000</f>
        <v>1121.4157333333335</v>
      </c>
      <c r="I19" s="30">
        <v>1</v>
      </c>
      <c r="J19" s="5">
        <f>1345698.88/1.2/1000</f>
        <v>1121.4157333333335</v>
      </c>
      <c r="K19" s="5">
        <f>1345698.88/1.2/1000</f>
        <v>1121.4157333333335</v>
      </c>
      <c r="L19" s="30">
        <v>1</v>
      </c>
      <c r="M19" s="5">
        <f>1345698.88/1.2/1000</f>
        <v>1121.4157333333335</v>
      </c>
      <c r="N19" s="3" t="s">
        <v>77</v>
      </c>
      <c r="O19" s="31">
        <v>44921</v>
      </c>
      <c r="P19" s="13" t="str">
        <f>HYPERLINK("https://my.zakupki.prom.ua/remote/dispatcher/state_purchase_view/39730352", "UA-2022-12-26-003873-a")</f>
        <v>UA-2022-12-26-003873-a</v>
      </c>
      <c r="Q19" s="5">
        <f>1345698.88/1.2/1000</f>
        <v>1121.4157333333335</v>
      </c>
      <c r="R19" s="30">
        <v>1</v>
      </c>
      <c r="S19" s="5">
        <f>1345698.88/1.2/1000</f>
        <v>1121.4157333333335</v>
      </c>
      <c r="T19" s="31">
        <v>44921</v>
      </c>
      <c r="U19" s="30"/>
      <c r="V19" s="30" t="s">
        <v>59</v>
      </c>
    </row>
    <row r="20" spans="1:22" ht="62.4" x14ac:dyDescent="0.3">
      <c r="A20" s="30">
        <v>16</v>
      </c>
      <c r="B20" s="30" t="s">
        <v>40</v>
      </c>
      <c r="C20" s="12" t="s">
        <v>73</v>
      </c>
      <c r="D20" s="30"/>
      <c r="E20" s="30" t="s">
        <v>75</v>
      </c>
      <c r="F20" s="12" t="s">
        <v>78</v>
      </c>
      <c r="G20" s="30" t="s">
        <v>43</v>
      </c>
      <c r="H20" s="5">
        <f>201575.17/1.2/100</f>
        <v>1679.7930833333335</v>
      </c>
      <c r="I20" s="30">
        <v>1</v>
      </c>
      <c r="J20" s="5">
        <f>201575.17/1.2/100</f>
        <v>1679.7930833333335</v>
      </c>
      <c r="K20" s="5">
        <f>201575.17/1.2/100</f>
        <v>1679.7930833333335</v>
      </c>
      <c r="L20" s="30">
        <v>1</v>
      </c>
      <c r="M20" s="5">
        <f>201575.17/1.2/100</f>
        <v>1679.7930833333335</v>
      </c>
      <c r="N20" s="3" t="s">
        <v>82</v>
      </c>
      <c r="O20" s="14">
        <v>44943</v>
      </c>
      <c r="P20" s="13" t="str">
        <f>HYPERLINK("https://my.zakupki.prom.ua/remote/dispatcher/state_purchase_view/40092155", "UA-2023-01-17-001178-a")</f>
        <v>UA-2023-01-17-001178-a</v>
      </c>
      <c r="Q20" s="5">
        <f>201575.17/1.2/100</f>
        <v>1679.7930833333335</v>
      </c>
      <c r="R20" s="30">
        <v>1</v>
      </c>
      <c r="S20" s="5">
        <f>201575.17/1.2/100</f>
        <v>1679.7930833333335</v>
      </c>
      <c r="T20" s="14">
        <v>44943</v>
      </c>
      <c r="U20" s="30"/>
      <c r="V20" s="30" t="s">
        <v>59</v>
      </c>
    </row>
    <row r="21" spans="1:22" ht="62.4" x14ac:dyDescent="0.3">
      <c r="A21" s="30">
        <v>17</v>
      </c>
      <c r="B21" s="30" t="s">
        <v>40</v>
      </c>
      <c r="C21" s="12" t="s">
        <v>73</v>
      </c>
      <c r="D21" s="30"/>
      <c r="E21" s="30" t="s">
        <v>75</v>
      </c>
      <c r="F21" s="12" t="s">
        <v>79</v>
      </c>
      <c r="G21" s="12" t="s">
        <v>184</v>
      </c>
      <c r="H21" s="5">
        <f>185417.83/1.2/1000</f>
        <v>154.51485833333334</v>
      </c>
      <c r="I21" s="30">
        <v>1</v>
      </c>
      <c r="J21" s="5">
        <f>185417.83/1.2/1000</f>
        <v>154.51485833333334</v>
      </c>
      <c r="K21" s="5">
        <f>185417.83/1.2/1000</f>
        <v>154.51485833333334</v>
      </c>
      <c r="L21" s="30">
        <v>1</v>
      </c>
      <c r="M21" s="5">
        <f>185417.83/1.2/1000</f>
        <v>154.51485833333334</v>
      </c>
      <c r="N21" s="3" t="s">
        <v>83</v>
      </c>
      <c r="O21" s="14">
        <v>44943</v>
      </c>
      <c r="P21" s="13" t="str">
        <f>HYPERLINK("https://my.zakupki.prom.ua/remote/dispatcher/state_purchase_view/40092152", "UA-2023-01-17-001173-a")</f>
        <v>UA-2023-01-17-001173-a</v>
      </c>
      <c r="Q21" s="5">
        <f>185417.83/1.2/1000</f>
        <v>154.51485833333334</v>
      </c>
      <c r="R21" s="30">
        <v>1</v>
      </c>
      <c r="S21" s="5">
        <f>185417.83/1.2/1000</f>
        <v>154.51485833333334</v>
      </c>
      <c r="T21" s="14">
        <v>44943</v>
      </c>
      <c r="U21" s="30"/>
      <c r="V21" s="30" t="s">
        <v>59</v>
      </c>
    </row>
    <row r="22" spans="1:22" ht="62.4" x14ac:dyDescent="0.3">
      <c r="A22" s="30">
        <v>18</v>
      </c>
      <c r="B22" s="30" t="s">
        <v>40</v>
      </c>
      <c r="C22" s="12" t="s">
        <v>73</v>
      </c>
      <c r="D22" s="30"/>
      <c r="E22" s="30" t="s">
        <v>75</v>
      </c>
      <c r="F22" s="12" t="s">
        <v>80</v>
      </c>
      <c r="G22" s="12" t="s">
        <v>184</v>
      </c>
      <c r="H22" s="5">
        <f>135928.4/1.2/1000</f>
        <v>113.27366666666667</v>
      </c>
      <c r="I22" s="30">
        <v>1</v>
      </c>
      <c r="J22" s="5">
        <f>135928.4/1.2/1000</f>
        <v>113.27366666666667</v>
      </c>
      <c r="K22" s="5">
        <f>135928.4/1.2/1000</f>
        <v>113.27366666666667</v>
      </c>
      <c r="L22" s="30">
        <v>1</v>
      </c>
      <c r="M22" s="5">
        <f>135928.4/1.2/1000</f>
        <v>113.27366666666667</v>
      </c>
      <c r="N22" s="3" t="s">
        <v>84</v>
      </c>
      <c r="O22" s="14">
        <v>44943</v>
      </c>
      <c r="P22" s="13" t="str">
        <f>HYPERLINK("https://my.zakupki.prom.ua/remote/dispatcher/state_purchase_view/40091969", "UA-2023-01-17-001062-a")</f>
        <v>UA-2023-01-17-001062-a</v>
      </c>
      <c r="Q22" s="5">
        <f>135928.4/1.2/1000</f>
        <v>113.27366666666667</v>
      </c>
      <c r="R22" s="30">
        <v>1</v>
      </c>
      <c r="S22" s="5">
        <f>135928.4/1.2/1000</f>
        <v>113.27366666666667</v>
      </c>
      <c r="T22" s="14">
        <v>44943</v>
      </c>
      <c r="U22" s="30"/>
      <c r="V22" s="30" t="s">
        <v>59</v>
      </c>
    </row>
    <row r="23" spans="1:22" ht="62.4" x14ac:dyDescent="0.3">
      <c r="A23" s="30">
        <v>19</v>
      </c>
      <c r="B23" s="30" t="s">
        <v>40</v>
      </c>
      <c r="C23" s="12" t="s">
        <v>73</v>
      </c>
      <c r="D23" s="30"/>
      <c r="E23" s="30" t="s">
        <v>75</v>
      </c>
      <c r="F23" s="12" t="s">
        <v>81</v>
      </c>
      <c r="G23" s="12" t="s">
        <v>184</v>
      </c>
      <c r="H23" s="5">
        <f>189360.37/1.2/1000</f>
        <v>157.80030833333336</v>
      </c>
      <c r="I23" s="30">
        <v>1</v>
      </c>
      <c r="J23" s="5">
        <f>189360.37/1.2/1000</f>
        <v>157.80030833333336</v>
      </c>
      <c r="K23" s="5">
        <f>189360.37/1.2/1000</f>
        <v>157.80030833333336</v>
      </c>
      <c r="L23" s="30">
        <v>1</v>
      </c>
      <c r="M23" s="5">
        <f>189360.37/1.2/1000</f>
        <v>157.80030833333336</v>
      </c>
      <c r="N23" s="3" t="s">
        <v>85</v>
      </c>
      <c r="O23" s="14">
        <v>44943</v>
      </c>
      <c r="P23" s="13" t="str">
        <f>HYPERLINK("https://my.zakupki.prom.ua/remote/dispatcher/state_purchase_view/40091965", "UA-2023-01-17-001056-a")</f>
        <v>UA-2023-01-17-001056-a</v>
      </c>
      <c r="Q23" s="5">
        <f>189360.37/1.2/1000</f>
        <v>157.80030833333336</v>
      </c>
      <c r="R23" s="30">
        <v>1</v>
      </c>
      <c r="S23" s="5">
        <f>189360.37/1.2/1000</f>
        <v>157.80030833333336</v>
      </c>
      <c r="T23" s="14">
        <v>44943</v>
      </c>
      <c r="U23" s="30"/>
      <c r="V23" s="30" t="s">
        <v>59</v>
      </c>
    </row>
    <row r="24" spans="1:22" ht="46.8" x14ac:dyDescent="0.3">
      <c r="A24" s="30">
        <v>20</v>
      </c>
      <c r="B24" s="30" t="s">
        <v>21</v>
      </c>
      <c r="C24" s="12" t="s">
        <v>87</v>
      </c>
      <c r="D24" s="30" t="s">
        <v>58</v>
      </c>
      <c r="E24" s="30" t="s">
        <v>88</v>
      </c>
      <c r="F24" s="12" t="s">
        <v>86</v>
      </c>
      <c r="G24" s="30" t="s">
        <v>25</v>
      </c>
      <c r="H24" s="5"/>
      <c r="I24" s="30">
        <v>10</v>
      </c>
      <c r="J24" s="5">
        <f>11570040/1.2/1000</f>
        <v>9641.7000000000007</v>
      </c>
      <c r="K24" s="5">
        <f>11570040/1.2/1000</f>
        <v>9641.7000000000007</v>
      </c>
      <c r="L24" s="30">
        <v>10</v>
      </c>
      <c r="M24" s="5">
        <f>11570040/1.2/1000</f>
        <v>9641.7000000000007</v>
      </c>
      <c r="N24" s="3" t="s">
        <v>89</v>
      </c>
      <c r="O24" s="14">
        <v>44951</v>
      </c>
      <c r="P24" s="13" t="str">
        <f>HYPERLINK("https://my.zakupki.prom.ua/remote/dispatcher/state_purchase_view/40312420", "UA-2023-01-25-000806-a")</f>
        <v>UA-2023-01-25-000806-a</v>
      </c>
      <c r="Q24" s="5"/>
      <c r="R24" s="30">
        <v>10</v>
      </c>
      <c r="S24" s="5">
        <f>11570040/1.2/1000</f>
        <v>9641.7000000000007</v>
      </c>
      <c r="T24" s="14">
        <v>44987</v>
      </c>
      <c r="U24" s="30"/>
      <c r="V24" s="30"/>
    </row>
    <row r="25" spans="1:22" ht="78" x14ac:dyDescent="0.3">
      <c r="A25" s="30">
        <v>21</v>
      </c>
      <c r="B25" s="30" t="s">
        <v>21</v>
      </c>
      <c r="C25" s="12" t="s">
        <v>36</v>
      </c>
      <c r="D25" s="30" t="s">
        <v>58</v>
      </c>
      <c r="E25" s="30" t="s">
        <v>88</v>
      </c>
      <c r="F25" s="30" t="s">
        <v>90</v>
      </c>
      <c r="G25" s="30" t="s">
        <v>25</v>
      </c>
      <c r="H25" s="30"/>
      <c r="I25" s="30">
        <v>68</v>
      </c>
      <c r="J25" s="30">
        <f>792362.4/1.2/1000</f>
        <v>660.30200000000002</v>
      </c>
      <c r="K25" s="30">
        <f>792362.4/1.2/1000</f>
        <v>660.30200000000002</v>
      </c>
      <c r="L25" s="30">
        <v>68</v>
      </c>
      <c r="M25" s="30">
        <f>792362.4/1.2/1000</f>
        <v>660.30200000000002</v>
      </c>
      <c r="N25" s="3" t="s">
        <v>91</v>
      </c>
      <c r="O25" s="15">
        <v>44958</v>
      </c>
      <c r="P25" s="16" t="s">
        <v>92</v>
      </c>
      <c r="Q25" s="30"/>
      <c r="R25" s="30"/>
      <c r="S25" s="30"/>
      <c r="T25" s="31"/>
      <c r="U25" s="16" t="s">
        <v>93</v>
      </c>
      <c r="V25" s="30"/>
    </row>
    <row r="26" spans="1:22" ht="62.4" x14ac:dyDescent="0.3">
      <c r="A26" s="30">
        <v>22</v>
      </c>
      <c r="B26" s="30" t="s">
        <v>21</v>
      </c>
      <c r="C26" s="12" t="s">
        <v>30</v>
      </c>
      <c r="D26" s="30" t="s">
        <v>58</v>
      </c>
      <c r="E26" s="30" t="s">
        <v>88</v>
      </c>
      <c r="F26" s="30" t="s">
        <v>94</v>
      </c>
      <c r="G26" s="30" t="s">
        <v>25</v>
      </c>
      <c r="H26" s="30"/>
      <c r="I26" s="30">
        <v>13</v>
      </c>
      <c r="J26" s="30">
        <f>402939.84/1.2/1000</f>
        <v>335.78320000000002</v>
      </c>
      <c r="K26" s="30">
        <f>402939.84/1.2/1000</f>
        <v>335.78320000000002</v>
      </c>
      <c r="L26" s="30">
        <v>13</v>
      </c>
      <c r="M26" s="30">
        <f>402939.84/1.2/1000</f>
        <v>335.78320000000002</v>
      </c>
      <c r="N26" s="3" t="s">
        <v>95</v>
      </c>
      <c r="O26" s="14">
        <v>44958</v>
      </c>
      <c r="P26" s="13" t="str">
        <f>HYPERLINK("https://my.zakupki.prom.ua/remote/dispatcher/state_purchase_view/40518990", "UA-2023-02-01-009402-a")</f>
        <v>UA-2023-02-01-009402-a</v>
      </c>
      <c r="Q26" s="5"/>
      <c r="R26" s="30">
        <v>13</v>
      </c>
      <c r="S26" s="5">
        <f>388012.8/1.2/1000</f>
        <v>323.34399999999999</v>
      </c>
      <c r="T26" s="14">
        <v>44972</v>
      </c>
      <c r="U26" s="30"/>
      <c r="V26" s="30"/>
    </row>
    <row r="27" spans="1:22" ht="62.4" x14ac:dyDescent="0.3">
      <c r="A27" s="30">
        <v>23</v>
      </c>
      <c r="B27" s="30" t="s">
        <v>40</v>
      </c>
      <c r="C27" s="12" t="s">
        <v>41</v>
      </c>
      <c r="D27" s="30"/>
      <c r="E27" s="30" t="s">
        <v>75</v>
      </c>
      <c r="F27" s="12" t="s">
        <v>96</v>
      </c>
      <c r="G27" s="12" t="s">
        <v>184</v>
      </c>
      <c r="H27" s="5">
        <f>146052.66/1.2/1000</f>
        <v>121.71055</v>
      </c>
      <c r="I27" s="17">
        <v>1</v>
      </c>
      <c r="J27" s="5">
        <f>146052.66/1.2/1000</f>
        <v>121.71055</v>
      </c>
      <c r="K27" s="5">
        <f>146052.66/1.2/1000</f>
        <v>121.71055</v>
      </c>
      <c r="L27" s="17">
        <v>1</v>
      </c>
      <c r="M27" s="5">
        <f>146052.66/1.2/1000</f>
        <v>121.71055</v>
      </c>
      <c r="N27" s="3" t="s">
        <v>194</v>
      </c>
      <c r="O27" s="14">
        <v>44965</v>
      </c>
      <c r="P27" s="13" t="str">
        <f>HYPERLINK("https://my.zakupki.prom.ua/remote/dispatcher/state_purchase_view/40719635", "UA-2023-02-08-015986-a")</f>
        <v>UA-2023-02-08-015986-a</v>
      </c>
      <c r="Q27" s="5">
        <f>146052.66/1.2/1000</f>
        <v>121.71055</v>
      </c>
      <c r="R27" s="17">
        <v>1</v>
      </c>
      <c r="S27" s="5">
        <f>146052.66/1.2/1000</f>
        <v>121.71055</v>
      </c>
      <c r="T27" s="14">
        <v>44965</v>
      </c>
      <c r="U27" s="30"/>
      <c r="V27" s="30" t="s">
        <v>59</v>
      </c>
    </row>
    <row r="28" spans="1:22" ht="62.4" x14ac:dyDescent="0.3">
      <c r="A28" s="30">
        <v>24</v>
      </c>
      <c r="B28" s="30" t="s">
        <v>40</v>
      </c>
      <c r="C28" s="12" t="s">
        <v>41</v>
      </c>
      <c r="D28" s="30"/>
      <c r="E28" s="30" t="s">
        <v>75</v>
      </c>
      <c r="F28" s="12" t="s">
        <v>97</v>
      </c>
      <c r="G28" s="12" t="s">
        <v>184</v>
      </c>
      <c r="H28" s="5">
        <f>237413.22/1000/1.2</f>
        <v>197.84434999999999</v>
      </c>
      <c r="I28" s="17">
        <v>1</v>
      </c>
      <c r="J28" s="5">
        <f>237413.22/1000/1.2</f>
        <v>197.84434999999999</v>
      </c>
      <c r="K28" s="5">
        <f>237413.22/1000/1.2</f>
        <v>197.84434999999999</v>
      </c>
      <c r="L28" s="17">
        <v>1</v>
      </c>
      <c r="M28" s="5">
        <f>237413.22/1000/1.2</f>
        <v>197.84434999999999</v>
      </c>
      <c r="N28" s="3" t="s">
        <v>195</v>
      </c>
      <c r="O28" s="14">
        <v>44970</v>
      </c>
      <c r="P28" s="13" t="str">
        <f>HYPERLINK("https://my.zakupki.prom.ua/remote/dispatcher/state_purchase_view/40817379", "UA-2023-02-13-012766-a")</f>
        <v>UA-2023-02-13-012766-a</v>
      </c>
      <c r="Q28" s="5">
        <f>237413.22/1000/1.2</f>
        <v>197.84434999999999</v>
      </c>
      <c r="R28" s="17">
        <v>1</v>
      </c>
      <c r="S28" s="5">
        <f>237413.22/1000/1.2</f>
        <v>197.84434999999999</v>
      </c>
      <c r="T28" s="14">
        <v>44970</v>
      </c>
      <c r="U28" s="30"/>
      <c r="V28" s="30" t="s">
        <v>59</v>
      </c>
    </row>
    <row r="29" spans="1:22" ht="78" x14ac:dyDescent="0.3">
      <c r="A29" s="30">
        <v>25</v>
      </c>
      <c r="B29" s="30" t="s">
        <v>40</v>
      </c>
      <c r="C29" s="12" t="s">
        <v>41</v>
      </c>
      <c r="D29" s="30"/>
      <c r="E29" s="30" t="s">
        <v>20</v>
      </c>
      <c r="F29" s="12" t="s">
        <v>98</v>
      </c>
      <c r="G29" s="12" t="s">
        <v>184</v>
      </c>
      <c r="H29" s="5">
        <v>187.58670000000001</v>
      </c>
      <c r="I29" s="17">
        <v>1</v>
      </c>
      <c r="J29" s="5">
        <v>187.58670000000001</v>
      </c>
      <c r="K29" s="5">
        <v>187.58670000000001</v>
      </c>
      <c r="L29" s="17">
        <v>1</v>
      </c>
      <c r="M29" s="5">
        <v>187.58670000000001</v>
      </c>
      <c r="N29" s="3" t="s">
        <v>196</v>
      </c>
      <c r="O29" s="14">
        <v>44972</v>
      </c>
      <c r="P29" s="13" t="str">
        <f>HYPERLINK("https://my.zakupki.prom.ua/remote/dispatcher/state_purchase_view/40865826", "UA-2023-02-15-004269-a")</f>
        <v>UA-2023-02-15-004269-a</v>
      </c>
      <c r="Q29" s="5">
        <v>187.58670000000001</v>
      </c>
      <c r="R29" s="17">
        <v>1</v>
      </c>
      <c r="S29" s="5">
        <v>187.58670000000001</v>
      </c>
      <c r="T29" s="14">
        <v>44972</v>
      </c>
      <c r="U29" s="30"/>
      <c r="V29" s="30" t="s">
        <v>59</v>
      </c>
    </row>
    <row r="30" spans="1:22" ht="62.4" x14ac:dyDescent="0.3">
      <c r="A30" s="30">
        <v>26</v>
      </c>
      <c r="B30" s="30" t="s">
        <v>40</v>
      </c>
      <c r="C30" s="12" t="s">
        <v>41</v>
      </c>
      <c r="D30" s="30"/>
      <c r="E30" s="30" t="s">
        <v>20</v>
      </c>
      <c r="F30" s="12" t="s">
        <v>99</v>
      </c>
      <c r="G30" s="12" t="s">
        <v>184</v>
      </c>
      <c r="H30" s="5">
        <v>590.66898333333336</v>
      </c>
      <c r="I30" s="17">
        <v>1</v>
      </c>
      <c r="J30" s="5">
        <v>590.66898333333336</v>
      </c>
      <c r="K30" s="5">
        <v>590.66898333333336</v>
      </c>
      <c r="L30" s="17">
        <v>1</v>
      </c>
      <c r="M30" s="5">
        <v>590.66898333333336</v>
      </c>
      <c r="N30" s="3" t="s">
        <v>197</v>
      </c>
      <c r="O30" s="14">
        <v>44972</v>
      </c>
      <c r="P30" s="13" t="str">
        <f>HYPERLINK("https://my.zakupki.prom.ua/remote/dispatcher/state_purchase_view/40865423", "UA-2023-02-15-004026-a")</f>
        <v>UA-2023-02-15-004026-a</v>
      </c>
      <c r="Q30" s="5">
        <v>590.66898333333336</v>
      </c>
      <c r="R30" s="17">
        <v>1</v>
      </c>
      <c r="S30" s="5">
        <v>590.66898333333336</v>
      </c>
      <c r="T30" s="14">
        <v>44972</v>
      </c>
      <c r="U30" s="30"/>
      <c r="V30" s="30" t="s">
        <v>59</v>
      </c>
    </row>
    <row r="31" spans="1:22" ht="78" x14ac:dyDescent="0.3">
      <c r="A31" s="30">
        <v>27</v>
      </c>
      <c r="B31" s="30" t="s">
        <v>40</v>
      </c>
      <c r="C31" s="12" t="s">
        <v>41</v>
      </c>
      <c r="D31" s="30"/>
      <c r="E31" s="30" t="s">
        <v>20</v>
      </c>
      <c r="F31" s="12" t="s">
        <v>100</v>
      </c>
      <c r="G31" s="12" t="s">
        <v>184</v>
      </c>
      <c r="H31" s="5">
        <v>75.020333333333326</v>
      </c>
      <c r="I31" s="17">
        <v>1</v>
      </c>
      <c r="J31" s="5">
        <v>75.020333333333326</v>
      </c>
      <c r="K31" s="5">
        <v>75.020333333333326</v>
      </c>
      <c r="L31" s="17">
        <v>1</v>
      </c>
      <c r="M31" s="5">
        <v>75.020333333333326</v>
      </c>
      <c r="N31" s="3" t="s">
        <v>198</v>
      </c>
      <c r="O31" s="14">
        <v>44972</v>
      </c>
      <c r="P31" s="13" t="str">
        <f>HYPERLINK("https://my.zakupki.prom.ua/remote/dispatcher/state_purchase_view/40865081", "UA-2023-02-15-003851-a")</f>
        <v>UA-2023-02-15-003851-a</v>
      </c>
      <c r="Q31" s="5">
        <v>75.020333333333326</v>
      </c>
      <c r="R31" s="17">
        <v>1</v>
      </c>
      <c r="S31" s="5">
        <v>75.020333333333326</v>
      </c>
      <c r="T31" s="14">
        <v>44972</v>
      </c>
      <c r="U31" s="30"/>
      <c r="V31" s="30" t="s">
        <v>59</v>
      </c>
    </row>
    <row r="32" spans="1:22" ht="62.4" x14ac:dyDescent="0.3">
      <c r="A32" s="30">
        <v>28</v>
      </c>
      <c r="B32" s="30" t="s">
        <v>40</v>
      </c>
      <c r="C32" s="12" t="s">
        <v>41</v>
      </c>
      <c r="D32" s="30"/>
      <c r="E32" s="30" t="s">
        <v>20</v>
      </c>
      <c r="F32" s="12" t="s">
        <v>101</v>
      </c>
      <c r="G32" s="12" t="s">
        <v>184</v>
      </c>
      <c r="H32" s="5">
        <v>230.31730000000002</v>
      </c>
      <c r="I32" s="17">
        <v>1</v>
      </c>
      <c r="J32" s="5">
        <v>230.31730000000002</v>
      </c>
      <c r="K32" s="5">
        <v>230.31730000000002</v>
      </c>
      <c r="L32" s="17">
        <v>1</v>
      </c>
      <c r="M32" s="5">
        <v>230.31730000000002</v>
      </c>
      <c r="N32" s="3" t="s">
        <v>199</v>
      </c>
      <c r="O32" s="14">
        <v>44973</v>
      </c>
      <c r="P32" s="13" t="str">
        <f>HYPERLINK("https://my.zakupki.prom.ua/remote/dispatcher/state_purchase_view/40896071", "UA-2023-02-16-004517-a")</f>
        <v>UA-2023-02-16-004517-a</v>
      </c>
      <c r="Q32" s="5">
        <v>230.31730000000002</v>
      </c>
      <c r="R32" s="17">
        <v>1</v>
      </c>
      <c r="S32" s="5">
        <v>230.31730000000002</v>
      </c>
      <c r="T32" s="14">
        <v>44973</v>
      </c>
      <c r="U32" s="30"/>
      <c r="V32" s="30" t="s">
        <v>59</v>
      </c>
    </row>
    <row r="33" spans="1:22" ht="62.4" x14ac:dyDescent="0.3">
      <c r="A33" s="30">
        <v>29</v>
      </c>
      <c r="B33" s="30" t="s">
        <v>40</v>
      </c>
      <c r="C33" s="12" t="s">
        <v>73</v>
      </c>
      <c r="D33" s="30"/>
      <c r="E33" s="30" t="s">
        <v>75</v>
      </c>
      <c r="F33" s="12" t="s">
        <v>102</v>
      </c>
      <c r="G33" s="12" t="s">
        <v>184</v>
      </c>
      <c r="H33" s="5">
        <v>122.59811666666667</v>
      </c>
      <c r="I33" s="17">
        <v>1</v>
      </c>
      <c r="J33" s="5">
        <v>122.59811666666667</v>
      </c>
      <c r="K33" s="5">
        <v>122.59811666666667</v>
      </c>
      <c r="L33" s="17">
        <v>1</v>
      </c>
      <c r="M33" s="5">
        <v>122.59811666666667</v>
      </c>
      <c r="N33" s="3" t="s">
        <v>200</v>
      </c>
      <c r="O33" s="14">
        <v>44977</v>
      </c>
      <c r="P33" s="13" t="str">
        <f>HYPERLINK("https://my.zakupki.prom.ua/remote/dispatcher/state_purchase_view/40976345", "UA-2023-02-20-013513-a")</f>
        <v>UA-2023-02-20-013513-a</v>
      </c>
      <c r="Q33" s="5">
        <v>122.59811666666667</v>
      </c>
      <c r="R33" s="17">
        <v>1</v>
      </c>
      <c r="S33" s="5">
        <v>122.59811666666667</v>
      </c>
      <c r="T33" s="14">
        <v>44977</v>
      </c>
      <c r="U33" s="30"/>
      <c r="V33" s="30" t="s">
        <v>59</v>
      </c>
    </row>
    <row r="34" spans="1:22" ht="62.4" x14ac:dyDescent="0.3">
      <c r="A34" s="30">
        <v>30</v>
      </c>
      <c r="B34" s="30" t="s">
        <v>40</v>
      </c>
      <c r="C34" s="12" t="s">
        <v>73</v>
      </c>
      <c r="D34" s="30"/>
      <c r="E34" s="30" t="s">
        <v>75</v>
      </c>
      <c r="F34" s="12" t="s">
        <v>103</v>
      </c>
      <c r="G34" s="12" t="s">
        <v>184</v>
      </c>
      <c r="H34" s="5">
        <v>109.43154999999999</v>
      </c>
      <c r="I34" s="17">
        <v>1</v>
      </c>
      <c r="J34" s="5">
        <v>109.43154999999999</v>
      </c>
      <c r="K34" s="5">
        <v>109.43154999999999</v>
      </c>
      <c r="L34" s="17">
        <v>1</v>
      </c>
      <c r="M34" s="5">
        <v>109.43154999999999</v>
      </c>
      <c r="N34" s="3" t="s">
        <v>201</v>
      </c>
      <c r="O34" s="14">
        <v>44977</v>
      </c>
      <c r="P34" s="13" t="str">
        <f>HYPERLINK("https://my.zakupki.prom.ua/remote/dispatcher/state_purchase_view/40975928", "UA-2023-02-20-013352-a")</f>
        <v>UA-2023-02-20-013352-a</v>
      </c>
      <c r="Q34" s="5">
        <v>109.43154999999999</v>
      </c>
      <c r="R34" s="17">
        <v>1</v>
      </c>
      <c r="S34" s="5">
        <v>109.43154999999999</v>
      </c>
      <c r="T34" s="14">
        <v>44977</v>
      </c>
      <c r="U34" s="30"/>
      <c r="V34" s="30" t="s">
        <v>59</v>
      </c>
    </row>
    <row r="35" spans="1:22" ht="62.4" x14ac:dyDescent="0.3">
      <c r="A35" s="30">
        <v>31</v>
      </c>
      <c r="B35" s="30" t="s">
        <v>40</v>
      </c>
      <c r="C35" s="12" t="s">
        <v>73</v>
      </c>
      <c r="D35" s="30"/>
      <c r="E35" s="30" t="s">
        <v>75</v>
      </c>
      <c r="F35" s="12" t="s">
        <v>104</v>
      </c>
      <c r="G35" s="12" t="s">
        <v>184</v>
      </c>
      <c r="H35" s="5">
        <v>115.00135</v>
      </c>
      <c r="I35" s="17">
        <v>1</v>
      </c>
      <c r="J35" s="5">
        <v>115.00135</v>
      </c>
      <c r="K35" s="5">
        <v>115.00135</v>
      </c>
      <c r="L35" s="17">
        <v>1</v>
      </c>
      <c r="M35" s="5">
        <v>115.00135</v>
      </c>
      <c r="N35" s="3" t="s">
        <v>202</v>
      </c>
      <c r="O35" s="14">
        <v>44977</v>
      </c>
      <c r="P35" s="13" t="str">
        <f>HYPERLINK("https://my.zakupki.prom.ua/remote/dispatcher/state_purchase_view/40975550", "UA-2023-02-20-013114-a")</f>
        <v>UA-2023-02-20-013114-a</v>
      </c>
      <c r="Q35" s="5">
        <v>115.00135</v>
      </c>
      <c r="R35" s="17">
        <v>1</v>
      </c>
      <c r="S35" s="5">
        <v>115.00135</v>
      </c>
      <c r="T35" s="14">
        <v>44977</v>
      </c>
      <c r="U35" s="30"/>
      <c r="V35" s="30" t="s">
        <v>59</v>
      </c>
    </row>
    <row r="36" spans="1:22" ht="62.4" x14ac:dyDescent="0.3">
      <c r="A36" s="30">
        <v>32</v>
      </c>
      <c r="B36" s="30" t="s">
        <v>40</v>
      </c>
      <c r="C36" s="12" t="s">
        <v>73</v>
      </c>
      <c r="D36" s="30"/>
      <c r="E36" s="30" t="s">
        <v>75</v>
      </c>
      <c r="F36" s="12" t="s">
        <v>105</v>
      </c>
      <c r="G36" s="12" t="s">
        <v>184</v>
      </c>
      <c r="H36" s="5">
        <v>337.14424166666669</v>
      </c>
      <c r="I36" s="17">
        <v>1</v>
      </c>
      <c r="J36" s="5">
        <v>337.14424166666669</v>
      </c>
      <c r="K36" s="5">
        <v>337.14424166666669</v>
      </c>
      <c r="L36" s="17">
        <v>1</v>
      </c>
      <c r="M36" s="5">
        <v>337.14424166666669</v>
      </c>
      <c r="N36" s="3" t="s">
        <v>203</v>
      </c>
      <c r="O36" s="14">
        <v>44977</v>
      </c>
      <c r="P36" s="13" t="str">
        <f>HYPERLINK("https://my.zakupki.prom.ua/remote/dispatcher/state_purchase_view/40975514", "UA-2023-02-20-013068-a")</f>
        <v>UA-2023-02-20-013068-a</v>
      </c>
      <c r="Q36" s="5">
        <v>337.14424166666669</v>
      </c>
      <c r="R36" s="17">
        <v>1</v>
      </c>
      <c r="S36" s="5">
        <v>337.14424166666669</v>
      </c>
      <c r="T36" s="14">
        <v>44977</v>
      </c>
      <c r="U36" s="30"/>
      <c r="V36" s="30" t="s">
        <v>59</v>
      </c>
    </row>
    <row r="37" spans="1:22" ht="78" x14ac:dyDescent="0.3">
      <c r="A37" s="30">
        <v>33</v>
      </c>
      <c r="B37" s="30" t="s">
        <v>21</v>
      </c>
      <c r="C37" s="12" t="s">
        <v>170</v>
      </c>
      <c r="D37" s="30" t="s">
        <v>58</v>
      </c>
      <c r="E37" s="30" t="s">
        <v>88</v>
      </c>
      <c r="F37" s="12" t="s">
        <v>106</v>
      </c>
      <c r="G37" s="12" t="s">
        <v>185</v>
      </c>
      <c r="H37" s="30"/>
      <c r="I37" s="17">
        <v>111</v>
      </c>
      <c r="J37" s="5">
        <v>666</v>
      </c>
      <c r="K37" s="30"/>
      <c r="L37" s="17">
        <v>111</v>
      </c>
      <c r="M37" s="5">
        <v>666</v>
      </c>
      <c r="N37" s="3" t="s">
        <v>204</v>
      </c>
      <c r="O37" s="14">
        <v>44979</v>
      </c>
      <c r="P37" s="13" t="str">
        <f>HYPERLINK("https://my.zakupki.prom.ua/remote/dispatcher/state_purchase_view/41034280", "UA-2023-02-22-011861-a")</f>
        <v>UA-2023-02-22-011861-a</v>
      </c>
      <c r="Q37" s="30"/>
      <c r="R37" s="30"/>
      <c r="S37" s="30"/>
      <c r="T37" s="31"/>
      <c r="U37" s="16" t="s">
        <v>93</v>
      </c>
      <c r="V37" s="30"/>
    </row>
    <row r="38" spans="1:22" ht="78" x14ac:dyDescent="0.3">
      <c r="A38" s="30">
        <v>34</v>
      </c>
      <c r="B38" s="30" t="s">
        <v>21</v>
      </c>
      <c r="C38" s="12" t="s">
        <v>171</v>
      </c>
      <c r="D38" s="30" t="s">
        <v>58</v>
      </c>
      <c r="E38" s="30" t="s">
        <v>88</v>
      </c>
      <c r="F38" s="12" t="s">
        <v>107</v>
      </c>
      <c r="G38" s="12" t="s">
        <v>185</v>
      </c>
      <c r="H38" s="30"/>
      <c r="I38" s="17">
        <v>203</v>
      </c>
      <c r="J38" s="5">
        <v>131.29166666666669</v>
      </c>
      <c r="K38" s="30"/>
      <c r="L38" s="17">
        <v>203</v>
      </c>
      <c r="M38" s="5">
        <v>131.29166666666669</v>
      </c>
      <c r="N38" s="3" t="s">
        <v>205</v>
      </c>
      <c r="O38" s="14">
        <v>44981</v>
      </c>
      <c r="P38" s="13" t="str">
        <f>HYPERLINK("https://my.zakupki.prom.ua/remote/dispatcher/state_purchase_view/41077146", "UA-2023-02-24-003521-a")</f>
        <v>UA-2023-02-24-003521-a</v>
      </c>
      <c r="Q38" s="30"/>
      <c r="R38" s="30"/>
      <c r="S38" s="30"/>
      <c r="T38" s="31"/>
      <c r="U38" s="16" t="s">
        <v>93</v>
      </c>
      <c r="V38" s="30"/>
    </row>
    <row r="39" spans="1:22" ht="78" x14ac:dyDescent="0.3">
      <c r="A39" s="30">
        <v>35</v>
      </c>
      <c r="B39" s="30" t="s">
        <v>40</v>
      </c>
      <c r="C39" s="12" t="s">
        <v>41</v>
      </c>
      <c r="D39" s="30"/>
      <c r="E39" s="30" t="s">
        <v>20</v>
      </c>
      <c r="F39" s="12" t="s">
        <v>108</v>
      </c>
      <c r="G39" s="12" t="s">
        <v>184</v>
      </c>
      <c r="H39" s="5">
        <v>76.942691666666661</v>
      </c>
      <c r="I39" s="17">
        <v>1</v>
      </c>
      <c r="J39" s="5">
        <v>76.942691666666661</v>
      </c>
      <c r="K39" s="5">
        <v>76.942691666666661</v>
      </c>
      <c r="L39" s="17">
        <v>1</v>
      </c>
      <c r="M39" s="5">
        <v>76.942691666666661</v>
      </c>
      <c r="N39" s="3" t="s">
        <v>206</v>
      </c>
      <c r="O39" s="14">
        <v>44984</v>
      </c>
      <c r="P39" s="13" t="str">
        <f>HYPERLINK("https://my.zakupki.prom.ua/remote/dispatcher/state_purchase_view/41115637", "UA-2023-02-27-009421-a")</f>
        <v>UA-2023-02-27-009421-a</v>
      </c>
      <c r="Q39" s="5">
        <v>76.942691666666661</v>
      </c>
      <c r="R39" s="17">
        <v>1</v>
      </c>
      <c r="S39" s="5">
        <v>76.942691666666661</v>
      </c>
      <c r="T39" s="14">
        <v>44984</v>
      </c>
      <c r="U39" s="30"/>
      <c r="V39" s="30" t="s">
        <v>59</v>
      </c>
    </row>
    <row r="40" spans="1:22" ht="109.2" x14ac:dyDescent="0.3">
      <c r="A40" s="30">
        <v>36</v>
      </c>
      <c r="B40" s="30" t="s">
        <v>21</v>
      </c>
      <c r="C40" s="12" t="s">
        <v>172</v>
      </c>
      <c r="D40" s="30"/>
      <c r="E40" s="30" t="s">
        <v>88</v>
      </c>
      <c r="F40" s="12" t="s">
        <v>109</v>
      </c>
      <c r="G40" s="12" t="s">
        <v>186</v>
      </c>
      <c r="H40" s="30"/>
      <c r="I40" s="17">
        <v>7</v>
      </c>
      <c r="J40" s="5">
        <v>258.53650833333336</v>
      </c>
      <c r="K40" s="30"/>
      <c r="L40" s="17">
        <v>7</v>
      </c>
      <c r="M40" s="5">
        <v>258.53650833333336</v>
      </c>
      <c r="N40" s="3" t="s">
        <v>207</v>
      </c>
      <c r="O40" s="14">
        <v>44987</v>
      </c>
      <c r="P40" s="13" t="str">
        <f>HYPERLINK("https://my.zakupki.prom.ua/remote/dispatcher/state_purchase_view/41196363", "UA-2023-03-02-011561-a")</f>
        <v>UA-2023-03-02-011561-a</v>
      </c>
      <c r="Q40" s="30"/>
      <c r="R40" s="17">
        <v>7</v>
      </c>
      <c r="S40" s="5">
        <v>258.53650833333336</v>
      </c>
      <c r="T40" s="14">
        <v>44987</v>
      </c>
      <c r="U40" s="30"/>
      <c r="V40" s="30" t="s">
        <v>59</v>
      </c>
    </row>
    <row r="41" spans="1:22" ht="31.2" x14ac:dyDescent="0.3">
      <c r="A41" s="30">
        <v>37</v>
      </c>
      <c r="B41" s="30" t="s">
        <v>21</v>
      </c>
      <c r="C41" s="12" t="s">
        <v>173</v>
      </c>
      <c r="D41" s="30" t="s">
        <v>58</v>
      </c>
      <c r="E41" s="30" t="s">
        <v>88</v>
      </c>
      <c r="F41" s="12" t="s">
        <v>188</v>
      </c>
      <c r="G41" s="12" t="s">
        <v>185</v>
      </c>
      <c r="H41" s="30"/>
      <c r="I41" s="17">
        <v>33</v>
      </c>
      <c r="J41" s="5">
        <v>2616.89</v>
      </c>
      <c r="K41" s="30"/>
      <c r="L41" s="17">
        <v>33</v>
      </c>
      <c r="M41" s="5">
        <v>2616.89</v>
      </c>
      <c r="N41" s="3" t="s">
        <v>208</v>
      </c>
      <c r="O41" s="14">
        <v>44987</v>
      </c>
      <c r="P41" s="13" t="str">
        <f>HYPERLINK("https://my.zakupki.prom.ua/remote/dispatcher/state_purchase_view/41193065", "UA-2023-03-02-010020-a")</f>
        <v>UA-2023-03-02-010020-a</v>
      </c>
      <c r="Q41" s="30"/>
      <c r="R41" s="30">
        <v>7</v>
      </c>
      <c r="S41" s="30">
        <f>1023120/1.2/1000</f>
        <v>852.6</v>
      </c>
      <c r="T41" s="31">
        <v>45005</v>
      </c>
      <c r="U41" s="30"/>
      <c r="V41" s="30"/>
    </row>
    <row r="42" spans="1:22" ht="78" x14ac:dyDescent="0.3">
      <c r="A42" s="30">
        <v>38</v>
      </c>
      <c r="B42" s="30" t="s">
        <v>21</v>
      </c>
      <c r="C42" s="12" t="s">
        <v>174</v>
      </c>
      <c r="D42" s="30" t="s">
        <v>58</v>
      </c>
      <c r="E42" s="30" t="s">
        <v>88</v>
      </c>
      <c r="F42" s="12" t="s">
        <v>110</v>
      </c>
      <c r="G42" s="12" t="s">
        <v>187</v>
      </c>
      <c r="H42" s="30"/>
      <c r="I42" s="17">
        <v>1</v>
      </c>
      <c r="J42" s="5">
        <v>523.82000000000005</v>
      </c>
      <c r="K42" s="30"/>
      <c r="L42" s="17">
        <v>1</v>
      </c>
      <c r="M42" s="5">
        <v>523.82000000000005</v>
      </c>
      <c r="N42" s="3" t="s">
        <v>209</v>
      </c>
      <c r="O42" s="14">
        <v>44987</v>
      </c>
      <c r="P42" s="13" t="str">
        <f>HYPERLINK("https://my.zakupki.prom.ua/remote/dispatcher/state_purchase_view/41191954", "UA-2023-03-02-009549-a")</f>
        <v>UA-2023-03-02-009549-a</v>
      </c>
      <c r="Q42" s="30"/>
      <c r="R42" s="30"/>
      <c r="S42" s="30"/>
      <c r="T42" s="31"/>
      <c r="U42" s="16" t="s">
        <v>93</v>
      </c>
      <c r="V42" s="30"/>
    </row>
    <row r="43" spans="1:22" ht="78" x14ac:dyDescent="0.3">
      <c r="A43" s="30">
        <v>39</v>
      </c>
      <c r="B43" s="30" t="s">
        <v>21</v>
      </c>
      <c r="C43" s="12" t="s">
        <v>170</v>
      </c>
      <c r="D43" s="30" t="s">
        <v>58</v>
      </c>
      <c r="E43" s="30" t="s">
        <v>88</v>
      </c>
      <c r="F43" s="12" t="s">
        <v>111</v>
      </c>
      <c r="G43" s="12" t="s">
        <v>185</v>
      </c>
      <c r="H43" s="30"/>
      <c r="I43" s="17">
        <v>220</v>
      </c>
      <c r="J43" s="5">
        <v>1320</v>
      </c>
      <c r="K43" s="30"/>
      <c r="L43" s="17">
        <v>220</v>
      </c>
      <c r="M43" s="5">
        <v>1320</v>
      </c>
      <c r="N43" s="3" t="s">
        <v>210</v>
      </c>
      <c r="O43" s="14">
        <v>44987</v>
      </c>
      <c r="P43" s="13" t="str">
        <f>HYPERLINK("https://my.zakupki.prom.ua/remote/dispatcher/state_purchase_view/41191613", "UA-2023-03-02-009369-a")</f>
        <v>UA-2023-03-02-009369-a</v>
      </c>
      <c r="Q43" s="30"/>
      <c r="R43" s="30"/>
      <c r="S43" s="30"/>
      <c r="T43" s="31"/>
      <c r="U43" s="16" t="s">
        <v>93</v>
      </c>
      <c r="V43" s="30"/>
    </row>
    <row r="44" spans="1:22" ht="78" x14ac:dyDescent="0.3">
      <c r="A44" s="30">
        <v>40</v>
      </c>
      <c r="B44" s="30" t="s">
        <v>21</v>
      </c>
      <c r="C44" s="12" t="s">
        <v>87</v>
      </c>
      <c r="D44" s="30" t="s">
        <v>58</v>
      </c>
      <c r="E44" s="30" t="s">
        <v>88</v>
      </c>
      <c r="F44" s="12" t="s">
        <v>112</v>
      </c>
      <c r="G44" s="12" t="s">
        <v>185</v>
      </c>
      <c r="H44" s="30"/>
      <c r="I44" s="17">
        <v>6</v>
      </c>
      <c r="J44" s="5">
        <v>11549.82</v>
      </c>
      <c r="K44" s="30"/>
      <c r="L44" s="17">
        <v>6</v>
      </c>
      <c r="M44" s="5">
        <v>11549.82</v>
      </c>
      <c r="N44" s="3" t="s">
        <v>211</v>
      </c>
      <c r="O44" s="14">
        <v>44987</v>
      </c>
      <c r="P44" s="13" t="str">
        <f>HYPERLINK("https://my.zakupki.prom.ua/remote/dispatcher/state_purchase_view/41190509", "UA-2023-03-02-008908-a")</f>
        <v>UA-2023-03-02-008908-a</v>
      </c>
      <c r="Q44" s="30"/>
      <c r="R44" s="30"/>
      <c r="S44" s="30"/>
      <c r="T44" s="31"/>
      <c r="U44" s="16" t="s">
        <v>93</v>
      </c>
      <c r="V44" s="30"/>
    </row>
    <row r="45" spans="1:22" ht="78" x14ac:dyDescent="0.3">
      <c r="A45" s="30">
        <v>41</v>
      </c>
      <c r="B45" s="30" t="s">
        <v>21</v>
      </c>
      <c r="C45" s="12" t="s">
        <v>175</v>
      </c>
      <c r="D45" s="30" t="s">
        <v>58</v>
      </c>
      <c r="E45" s="30" t="s">
        <v>88</v>
      </c>
      <c r="F45" s="12" t="s">
        <v>113</v>
      </c>
      <c r="G45" s="12" t="s">
        <v>185</v>
      </c>
      <c r="H45" s="30"/>
      <c r="I45" s="17">
        <v>19</v>
      </c>
      <c r="J45" s="5">
        <v>3350</v>
      </c>
      <c r="K45" s="30"/>
      <c r="L45" s="17">
        <v>19</v>
      </c>
      <c r="M45" s="5">
        <v>3350</v>
      </c>
      <c r="N45" s="3" t="s">
        <v>212</v>
      </c>
      <c r="O45" s="14">
        <v>44987</v>
      </c>
      <c r="P45" s="13" t="str">
        <f>HYPERLINK("https://my.zakupki.prom.ua/remote/dispatcher/state_purchase_view/41190348", "UA-2023-03-02-008797-a")</f>
        <v>UA-2023-03-02-008797-a</v>
      </c>
      <c r="Q45" s="30"/>
      <c r="R45" s="30"/>
      <c r="S45" s="30"/>
      <c r="T45" s="31"/>
      <c r="U45" s="16" t="s">
        <v>93</v>
      </c>
      <c r="V45" s="30"/>
    </row>
    <row r="46" spans="1:22" ht="78" x14ac:dyDescent="0.3">
      <c r="A46" s="30">
        <v>42</v>
      </c>
      <c r="B46" s="30" t="s">
        <v>21</v>
      </c>
      <c r="C46" s="12" t="s">
        <v>176</v>
      </c>
      <c r="D46" s="30" t="s">
        <v>58</v>
      </c>
      <c r="E46" s="30" t="s">
        <v>88</v>
      </c>
      <c r="F46" s="12" t="s">
        <v>189</v>
      </c>
      <c r="G46" s="12" t="s">
        <v>185</v>
      </c>
      <c r="H46" s="30"/>
      <c r="I46" s="17">
        <v>1311</v>
      </c>
      <c r="J46" s="5">
        <v>6962</v>
      </c>
      <c r="K46" s="30"/>
      <c r="L46" s="17">
        <v>1311</v>
      </c>
      <c r="M46" s="5">
        <v>6962</v>
      </c>
      <c r="N46" s="3" t="s">
        <v>213</v>
      </c>
      <c r="O46" s="14">
        <v>44987</v>
      </c>
      <c r="P46" s="13" t="str">
        <f>HYPERLINK("https://my.zakupki.prom.ua/remote/dispatcher/state_purchase_view/41189548", "UA-2023-03-02-008425-a")</f>
        <v>UA-2023-03-02-008425-a</v>
      </c>
      <c r="Q46" s="30"/>
      <c r="R46" s="30"/>
      <c r="S46" s="30"/>
      <c r="T46" s="31"/>
      <c r="U46" s="16" t="s">
        <v>93</v>
      </c>
      <c r="V46" s="30"/>
    </row>
    <row r="47" spans="1:22" ht="93.6" x14ac:dyDescent="0.3">
      <c r="A47" s="30">
        <v>43</v>
      </c>
      <c r="B47" s="30" t="s">
        <v>21</v>
      </c>
      <c r="C47" s="12" t="s">
        <v>32</v>
      </c>
      <c r="D47" s="30" t="s">
        <v>58</v>
      </c>
      <c r="E47" s="30" t="s">
        <v>88</v>
      </c>
      <c r="F47" s="12" t="s">
        <v>190</v>
      </c>
      <c r="G47" s="12" t="s">
        <v>185</v>
      </c>
      <c r="H47" s="30"/>
      <c r="I47" s="17">
        <v>2985</v>
      </c>
      <c r="J47" s="5">
        <v>2425.2833333333333</v>
      </c>
      <c r="K47" s="30"/>
      <c r="L47" s="17">
        <v>2985</v>
      </c>
      <c r="M47" s="5">
        <v>2425.2833333333333</v>
      </c>
      <c r="N47" s="3" t="s">
        <v>214</v>
      </c>
      <c r="O47" s="14">
        <v>44987</v>
      </c>
      <c r="P47" s="13" t="str">
        <f>HYPERLINK("https://my.zakupki.prom.ua/remote/dispatcher/state_purchase_view/41189546", "UA-2023-03-02-008423-a")</f>
        <v>UA-2023-03-02-008423-a</v>
      </c>
      <c r="Q47" s="30"/>
      <c r="R47" s="30"/>
      <c r="S47" s="30"/>
      <c r="T47" s="31"/>
      <c r="U47" s="30" t="s">
        <v>191</v>
      </c>
      <c r="V47" s="12" t="s">
        <v>215</v>
      </c>
    </row>
    <row r="48" spans="1:22" ht="78" x14ac:dyDescent="0.3">
      <c r="A48" s="30">
        <v>44</v>
      </c>
      <c r="B48" s="30" t="s">
        <v>21</v>
      </c>
      <c r="C48" s="12" t="s">
        <v>87</v>
      </c>
      <c r="D48" s="30" t="s">
        <v>58</v>
      </c>
      <c r="E48" s="30" t="s">
        <v>88</v>
      </c>
      <c r="F48" s="12" t="s">
        <v>115</v>
      </c>
      <c r="G48" s="12" t="s">
        <v>185</v>
      </c>
      <c r="H48" s="30"/>
      <c r="I48" s="17">
        <v>7</v>
      </c>
      <c r="J48" s="5">
        <v>8155</v>
      </c>
      <c r="K48" s="30"/>
      <c r="L48" s="17">
        <v>7</v>
      </c>
      <c r="M48" s="5">
        <v>8155</v>
      </c>
      <c r="N48" s="3" t="s">
        <v>216</v>
      </c>
      <c r="O48" s="14">
        <v>44987</v>
      </c>
      <c r="P48" s="13" t="str">
        <f>HYPERLINK("https://my.zakupki.prom.ua/remote/dispatcher/state_purchase_view/41188280", "UA-2023-03-02-007860-a")</f>
        <v>UA-2023-03-02-007860-a</v>
      </c>
      <c r="Q48" s="30"/>
      <c r="R48" s="30"/>
      <c r="S48" s="30"/>
      <c r="T48" s="31"/>
      <c r="U48" s="16" t="s">
        <v>93</v>
      </c>
      <c r="V48" s="30"/>
    </row>
    <row r="49" spans="1:22" ht="93.6" x14ac:dyDescent="0.3">
      <c r="A49" s="30">
        <v>45</v>
      </c>
      <c r="B49" s="30" t="s">
        <v>40</v>
      </c>
      <c r="C49" s="12" t="s">
        <v>41</v>
      </c>
      <c r="D49" s="30" t="s">
        <v>58</v>
      </c>
      <c r="E49" s="30" t="s">
        <v>88</v>
      </c>
      <c r="F49" s="12" t="s">
        <v>192</v>
      </c>
      <c r="G49" s="12" t="s">
        <v>184</v>
      </c>
      <c r="H49" s="30">
        <f>17937191.99/1.2/1000</f>
        <v>14947.659991666666</v>
      </c>
      <c r="I49" s="17">
        <v>1</v>
      </c>
      <c r="J49" s="5">
        <v>14947.659991666666</v>
      </c>
      <c r="K49" s="30">
        <f>17937191.99/1.2/1000</f>
        <v>14947.659991666666</v>
      </c>
      <c r="L49" s="17">
        <v>1</v>
      </c>
      <c r="M49" s="30">
        <f>17937191.99/1.2/1000</f>
        <v>14947.659991666666</v>
      </c>
      <c r="N49" s="3" t="s">
        <v>217</v>
      </c>
      <c r="O49" s="14">
        <v>44988</v>
      </c>
      <c r="P49" s="13" t="str">
        <f>HYPERLINK("https://my.zakupki.prom.ua/remote/dispatcher/state_purchase_view/41222289", "UA-2023-03-03-009686-a")</f>
        <v>UA-2023-03-03-009686-a</v>
      </c>
      <c r="Q49" s="4" t="s">
        <v>218</v>
      </c>
      <c r="R49" s="30">
        <v>1</v>
      </c>
      <c r="S49" s="4" t="s">
        <v>218</v>
      </c>
      <c r="T49" s="15">
        <v>45014</v>
      </c>
      <c r="U49" s="30"/>
      <c r="V49" s="30"/>
    </row>
    <row r="50" spans="1:22" ht="78" x14ac:dyDescent="0.3">
      <c r="A50" s="30">
        <v>46</v>
      </c>
      <c r="B50" s="30" t="s">
        <v>21</v>
      </c>
      <c r="C50" s="12" t="s">
        <v>32</v>
      </c>
      <c r="D50" s="30" t="s">
        <v>58</v>
      </c>
      <c r="E50" s="30" t="s">
        <v>88</v>
      </c>
      <c r="F50" s="12" t="s">
        <v>114</v>
      </c>
      <c r="G50" s="12" t="s">
        <v>185</v>
      </c>
      <c r="H50" s="30"/>
      <c r="I50" s="17">
        <v>2883</v>
      </c>
      <c r="J50" s="5">
        <v>2021.069441666667</v>
      </c>
      <c r="K50" s="30"/>
      <c r="L50" s="17">
        <v>2883</v>
      </c>
      <c r="M50" s="5">
        <v>2021.069441666667</v>
      </c>
      <c r="N50" s="3" t="s">
        <v>219</v>
      </c>
      <c r="O50" s="14">
        <v>44988</v>
      </c>
      <c r="P50" s="13" t="str">
        <f>HYPERLINK("https://my.zakupki.prom.ua/remote/dispatcher/state_purchase_view/41204144", "UA-2023-03-03-001590-a")</f>
        <v>UA-2023-03-03-001590-a</v>
      </c>
      <c r="Q50" s="30"/>
      <c r="R50" s="30"/>
      <c r="S50" s="30"/>
      <c r="T50" s="31"/>
      <c r="U50" s="16" t="s">
        <v>93</v>
      </c>
      <c r="V50" s="30"/>
    </row>
    <row r="51" spans="1:22" ht="78" x14ac:dyDescent="0.3">
      <c r="A51" s="30">
        <v>47</v>
      </c>
      <c r="B51" s="30" t="s">
        <v>21</v>
      </c>
      <c r="C51" s="12" t="s">
        <v>177</v>
      </c>
      <c r="D51" s="30" t="s">
        <v>58</v>
      </c>
      <c r="E51" s="30" t="s">
        <v>88</v>
      </c>
      <c r="F51" s="12" t="s">
        <v>116</v>
      </c>
      <c r="G51" s="12" t="s">
        <v>185</v>
      </c>
      <c r="H51" s="30"/>
      <c r="I51" s="17">
        <v>5</v>
      </c>
      <c r="J51" s="5">
        <v>231.75</v>
      </c>
      <c r="K51" s="30"/>
      <c r="L51" s="17">
        <v>5</v>
      </c>
      <c r="M51" s="5">
        <v>231.75</v>
      </c>
      <c r="N51" s="3" t="s">
        <v>220</v>
      </c>
      <c r="O51" s="14">
        <v>44991</v>
      </c>
      <c r="P51" s="13" t="str">
        <f>HYPERLINK("https://my.zakupki.prom.ua/remote/dispatcher/state_purchase_view/41235144", "UA-2023-03-06-002683-a")</f>
        <v>UA-2023-03-06-002683-a</v>
      </c>
      <c r="Q51" s="30"/>
      <c r="R51" s="30"/>
      <c r="S51" s="30"/>
      <c r="T51" s="31"/>
      <c r="U51" s="16" t="s">
        <v>93</v>
      </c>
      <c r="V51" s="30"/>
    </row>
    <row r="52" spans="1:22" ht="78" x14ac:dyDescent="0.3">
      <c r="A52" s="30">
        <v>48</v>
      </c>
      <c r="B52" s="30" t="s">
        <v>21</v>
      </c>
      <c r="C52" s="12" t="s">
        <v>178</v>
      </c>
      <c r="D52" s="30" t="s">
        <v>58</v>
      </c>
      <c r="E52" s="30" t="s">
        <v>88</v>
      </c>
      <c r="F52" s="12" t="s">
        <v>117</v>
      </c>
      <c r="G52" s="12" t="s">
        <v>185</v>
      </c>
      <c r="H52" s="30"/>
      <c r="I52" s="17">
        <v>20</v>
      </c>
      <c r="J52" s="5">
        <v>125.4</v>
      </c>
      <c r="K52" s="30"/>
      <c r="L52" s="17">
        <v>20</v>
      </c>
      <c r="M52" s="5">
        <v>125.4</v>
      </c>
      <c r="N52" s="3" t="s">
        <v>221</v>
      </c>
      <c r="O52" s="14">
        <v>44991</v>
      </c>
      <c r="P52" s="13" t="str">
        <f>HYPERLINK("https://my.zakupki.prom.ua/remote/dispatcher/state_purchase_view/41234669", "UA-2023-03-06-002508-a")</f>
        <v>UA-2023-03-06-002508-a</v>
      </c>
      <c r="Q52" s="30"/>
      <c r="R52" s="17"/>
      <c r="S52" s="30"/>
      <c r="T52" s="31"/>
      <c r="U52" s="16" t="s">
        <v>93</v>
      </c>
      <c r="V52" s="30"/>
    </row>
    <row r="53" spans="1:22" ht="46.8" x14ac:dyDescent="0.3">
      <c r="A53" s="30">
        <v>49</v>
      </c>
      <c r="B53" s="30" t="s">
        <v>40</v>
      </c>
      <c r="C53" s="12" t="s">
        <v>41</v>
      </c>
      <c r="D53" s="30" t="s">
        <v>58</v>
      </c>
      <c r="E53" s="30" t="s">
        <v>88</v>
      </c>
      <c r="F53" s="12" t="s">
        <v>118</v>
      </c>
      <c r="G53" s="12" t="s">
        <v>184</v>
      </c>
      <c r="H53" s="5">
        <v>42557.229450000006</v>
      </c>
      <c r="I53" s="17">
        <v>1</v>
      </c>
      <c r="J53" s="5">
        <v>42557.229450000006</v>
      </c>
      <c r="K53" s="5">
        <v>42557.229450000006</v>
      </c>
      <c r="L53" s="17">
        <v>1</v>
      </c>
      <c r="M53" s="5">
        <v>42557.229450000006</v>
      </c>
      <c r="N53" s="3" t="s">
        <v>222</v>
      </c>
      <c r="O53" s="14">
        <v>44991</v>
      </c>
      <c r="P53" s="13" t="str">
        <f>HYPERLINK("https://my.zakupki.prom.ua/remote/dispatcher/state_purchase_view/41234599", "UA-2023-03-06-002447-a")</f>
        <v>UA-2023-03-06-002447-a</v>
      </c>
      <c r="Q53" s="30"/>
      <c r="R53" s="17">
        <v>1</v>
      </c>
      <c r="S53" s="30">
        <f>51038540.35/1.2/1000</f>
        <v>42532.116958333339</v>
      </c>
      <c r="T53" s="31">
        <v>45015</v>
      </c>
      <c r="U53" s="30"/>
      <c r="V53" s="30"/>
    </row>
    <row r="54" spans="1:22" ht="78" x14ac:dyDescent="0.3">
      <c r="A54" s="30">
        <v>50</v>
      </c>
      <c r="B54" s="30" t="s">
        <v>21</v>
      </c>
      <c r="C54" s="12" t="s">
        <v>179</v>
      </c>
      <c r="D54" s="30" t="s">
        <v>58</v>
      </c>
      <c r="E54" s="30" t="s">
        <v>88</v>
      </c>
      <c r="F54" s="12" t="s">
        <v>119</v>
      </c>
      <c r="G54" s="12" t="s">
        <v>185</v>
      </c>
      <c r="H54" s="30"/>
      <c r="I54" s="17">
        <v>1</v>
      </c>
      <c r="J54" s="5">
        <v>95.23</v>
      </c>
      <c r="K54" s="30"/>
      <c r="L54" s="17">
        <v>1</v>
      </c>
      <c r="M54" s="5">
        <v>95.23</v>
      </c>
      <c r="N54" s="3" t="s">
        <v>223</v>
      </c>
      <c r="O54" s="14">
        <v>44991</v>
      </c>
      <c r="P54" s="13" t="str">
        <f>HYPERLINK("https://my.zakupki.prom.ua/remote/dispatcher/state_purchase_view/41234545", "UA-2023-03-06-002433-a")</f>
        <v>UA-2023-03-06-002433-a</v>
      </c>
      <c r="Q54" s="30"/>
      <c r="R54" s="17">
        <v>1</v>
      </c>
      <c r="S54" s="30"/>
      <c r="T54" s="31"/>
      <c r="U54" s="16" t="s">
        <v>93</v>
      </c>
      <c r="V54" s="30"/>
    </row>
    <row r="55" spans="1:22" ht="46.8" x14ac:dyDescent="0.3">
      <c r="A55" s="30">
        <v>51</v>
      </c>
      <c r="B55" s="30" t="s">
        <v>21</v>
      </c>
      <c r="C55" s="12" t="s">
        <v>173</v>
      </c>
      <c r="D55" s="30" t="s">
        <v>58</v>
      </c>
      <c r="E55" s="30" t="s">
        <v>88</v>
      </c>
      <c r="F55" s="12" t="s">
        <v>120</v>
      </c>
      <c r="G55" s="12" t="s">
        <v>185</v>
      </c>
      <c r="H55" s="30"/>
      <c r="I55" s="17">
        <v>44</v>
      </c>
      <c r="J55" s="5">
        <v>3769.83</v>
      </c>
      <c r="K55" s="30"/>
      <c r="L55" s="17">
        <v>44</v>
      </c>
      <c r="M55" s="5">
        <v>3769.83</v>
      </c>
      <c r="N55" s="3" t="s">
        <v>231</v>
      </c>
      <c r="O55" s="14">
        <v>44995</v>
      </c>
      <c r="P55" s="13" t="str">
        <f>HYPERLINK("https://my.zakupki.prom.ua/remote/dispatcher/state_purchase_view/41339013", "UA-2023-03-10-004740-a")</f>
        <v>UA-2023-03-10-004740-a</v>
      </c>
      <c r="Q55" s="30"/>
      <c r="R55" s="17">
        <v>44</v>
      </c>
      <c r="S55" s="30">
        <f>4523.796/1.2</f>
        <v>3769.8300000000004</v>
      </c>
      <c r="T55" s="31">
        <v>45015</v>
      </c>
      <c r="U55" s="30"/>
      <c r="V55" s="30"/>
    </row>
    <row r="56" spans="1:22" ht="46.8" x14ac:dyDescent="0.3">
      <c r="A56" s="30">
        <v>52</v>
      </c>
      <c r="B56" s="30" t="s">
        <v>21</v>
      </c>
      <c r="C56" s="12" t="s">
        <v>170</v>
      </c>
      <c r="D56" s="30" t="s">
        <v>58</v>
      </c>
      <c r="E56" s="30" t="s">
        <v>88</v>
      </c>
      <c r="F56" s="12" t="s">
        <v>121</v>
      </c>
      <c r="G56" s="12" t="s">
        <v>185</v>
      </c>
      <c r="H56" s="30"/>
      <c r="I56" s="17">
        <v>220</v>
      </c>
      <c r="J56" s="5">
        <v>1320</v>
      </c>
      <c r="K56" s="30"/>
      <c r="L56" s="30">
        <v>220</v>
      </c>
      <c r="M56" s="30">
        <f>1584/1.2</f>
        <v>1320</v>
      </c>
      <c r="N56" s="3" t="s">
        <v>232</v>
      </c>
      <c r="O56" s="14">
        <v>44995</v>
      </c>
      <c r="P56" s="13" t="str">
        <f>HYPERLINK("https://my.zakupki.prom.ua/remote/dispatcher/state_purchase_view/41336632", "UA-2023-03-10-003712-a")</f>
        <v>UA-2023-03-10-003712-a</v>
      </c>
      <c r="Q56" s="30"/>
      <c r="R56" s="17">
        <v>220</v>
      </c>
      <c r="S56" s="30">
        <f>1584/1.2</f>
        <v>1320</v>
      </c>
      <c r="T56" s="31">
        <v>45014</v>
      </c>
      <c r="U56" s="30"/>
      <c r="V56" s="30"/>
    </row>
    <row r="57" spans="1:22" ht="78" x14ac:dyDescent="0.3">
      <c r="A57" s="30">
        <v>53</v>
      </c>
      <c r="B57" s="30" t="s">
        <v>21</v>
      </c>
      <c r="C57" s="12" t="s">
        <v>180</v>
      </c>
      <c r="D57" s="30" t="s">
        <v>58</v>
      </c>
      <c r="E57" s="30" t="s">
        <v>88</v>
      </c>
      <c r="F57" s="12" t="s">
        <v>122</v>
      </c>
      <c r="G57" s="12" t="s">
        <v>186</v>
      </c>
      <c r="H57" s="30"/>
      <c r="I57" s="17">
        <v>5</v>
      </c>
      <c r="J57" s="5">
        <v>1802.08</v>
      </c>
      <c r="K57" s="30"/>
      <c r="L57" s="30">
        <v>5</v>
      </c>
      <c r="M57" s="30">
        <f>2162.496/1.2</f>
        <v>1802.0800000000002</v>
      </c>
      <c r="N57" s="3" t="s">
        <v>233</v>
      </c>
      <c r="O57" s="14">
        <v>44995</v>
      </c>
      <c r="P57" s="13" t="str">
        <f>HYPERLINK("https://my.zakupki.prom.ua/remote/dispatcher/state_purchase_view/41329517", "UA-2023-03-10-000555-a")</f>
        <v>UA-2023-03-10-000555-a</v>
      </c>
      <c r="Q57" s="30"/>
      <c r="R57" s="30"/>
      <c r="S57" s="30"/>
      <c r="T57" s="31"/>
      <c r="U57" s="16" t="s">
        <v>93</v>
      </c>
      <c r="V57" s="30"/>
    </row>
    <row r="58" spans="1:22" ht="62.4" x14ac:dyDescent="0.3">
      <c r="A58" s="30">
        <v>54</v>
      </c>
      <c r="B58" s="30" t="s">
        <v>40</v>
      </c>
      <c r="C58" s="12" t="s">
        <v>41</v>
      </c>
      <c r="D58" s="30" t="s">
        <v>58</v>
      </c>
      <c r="E58" s="30" t="s">
        <v>88</v>
      </c>
      <c r="F58" s="12" t="s">
        <v>123</v>
      </c>
      <c r="G58" s="12" t="s">
        <v>184</v>
      </c>
      <c r="H58" s="5">
        <v>1753.2614250000001</v>
      </c>
      <c r="I58" s="17">
        <v>1</v>
      </c>
      <c r="J58" s="5">
        <v>1753.2614250000001</v>
      </c>
      <c r="K58" s="5">
        <v>1753.2614250000001</v>
      </c>
      <c r="L58" s="17">
        <v>1</v>
      </c>
      <c r="M58" s="5">
        <v>1753.2614250000001</v>
      </c>
      <c r="N58" s="3" t="s">
        <v>234</v>
      </c>
      <c r="O58" s="14">
        <v>44995</v>
      </c>
      <c r="P58" s="13" t="str">
        <f>HYPERLINK("https://my.zakupki.prom.ua/remote/dispatcher/state_purchase_view/41329000", "UA-2023-03-10-000312-a")</f>
        <v>UA-2023-03-10-000312-a</v>
      </c>
      <c r="Q58" s="30">
        <f>2062.0625/1.2</f>
        <v>1718.3854166666667</v>
      </c>
      <c r="R58" s="17">
        <v>1</v>
      </c>
      <c r="S58" s="30">
        <f>2062.0625/1.2</f>
        <v>1718.3854166666667</v>
      </c>
      <c r="T58" s="31">
        <v>45016</v>
      </c>
      <c r="U58" s="30"/>
      <c r="V58" s="30"/>
    </row>
    <row r="59" spans="1:22" ht="78" x14ac:dyDescent="0.3">
      <c r="A59" s="30">
        <v>55</v>
      </c>
      <c r="B59" s="30" t="s">
        <v>40</v>
      </c>
      <c r="C59" s="12" t="s">
        <v>41</v>
      </c>
      <c r="D59" s="30" t="s">
        <v>58</v>
      </c>
      <c r="E59" s="30" t="s">
        <v>88</v>
      </c>
      <c r="F59" s="12" t="s">
        <v>124</v>
      </c>
      <c r="G59" s="12" t="s">
        <v>184</v>
      </c>
      <c r="H59" s="5">
        <v>2892.375</v>
      </c>
      <c r="I59" s="17">
        <v>1</v>
      </c>
      <c r="J59" s="5">
        <v>2892.375</v>
      </c>
      <c r="K59" s="5">
        <v>2892.375</v>
      </c>
      <c r="L59" s="17">
        <v>1</v>
      </c>
      <c r="M59" s="5">
        <v>2892.375</v>
      </c>
      <c r="N59" s="3" t="s">
        <v>235</v>
      </c>
      <c r="O59" s="14">
        <v>44995</v>
      </c>
      <c r="P59" s="13" t="str">
        <f>HYPERLINK("https://my.zakupki.prom.ua/remote/dispatcher/state_purchase_view/41328966", "UA-2023-03-10-000295-a")</f>
        <v>UA-2023-03-10-000295-a</v>
      </c>
      <c r="Q59" s="30">
        <f>3469.624/1.2</f>
        <v>2891.3533333333335</v>
      </c>
      <c r="R59" s="17">
        <v>1</v>
      </c>
      <c r="S59" s="30">
        <f>3469.624/1.2</f>
        <v>2891.3533333333335</v>
      </c>
      <c r="T59" s="31">
        <v>45016</v>
      </c>
      <c r="U59" s="30"/>
      <c r="V59" s="30"/>
    </row>
    <row r="60" spans="1:22" ht="62.4" x14ac:dyDescent="0.3">
      <c r="A60" s="30">
        <v>56</v>
      </c>
      <c r="B60" s="30" t="s">
        <v>40</v>
      </c>
      <c r="C60" s="12" t="s">
        <v>41</v>
      </c>
      <c r="D60" s="30" t="s">
        <v>58</v>
      </c>
      <c r="E60" s="30" t="s">
        <v>88</v>
      </c>
      <c r="F60" s="12" t="s">
        <v>125</v>
      </c>
      <c r="G60" s="12" t="s">
        <v>184</v>
      </c>
      <c r="H60" s="5">
        <v>2611.0114750000002</v>
      </c>
      <c r="I60" s="17">
        <v>1</v>
      </c>
      <c r="J60" s="5">
        <v>2611.0114750000002</v>
      </c>
      <c r="K60" s="5">
        <v>2611.0114750000002</v>
      </c>
      <c r="L60" s="17">
        <v>1</v>
      </c>
      <c r="M60" s="5">
        <v>2611.0114750000002</v>
      </c>
      <c r="N60" s="3" t="s">
        <v>236</v>
      </c>
      <c r="O60" s="14">
        <v>44995</v>
      </c>
      <c r="P60" s="13" t="str">
        <f>HYPERLINK("https://my.zakupki.prom.ua/remote/dispatcher/state_purchase_view/41328917", "UA-2023-03-10-000274-a")</f>
        <v>UA-2023-03-10-000274-a</v>
      </c>
      <c r="Q60" s="30">
        <f>3133.03369/1.2</f>
        <v>2610.8614083333337</v>
      </c>
      <c r="R60" s="17">
        <v>1</v>
      </c>
      <c r="S60" s="30">
        <f>3133.03369/1.2</f>
        <v>2610.8614083333337</v>
      </c>
      <c r="T60" s="31">
        <v>45019</v>
      </c>
      <c r="U60" s="30"/>
      <c r="V60" s="30"/>
    </row>
    <row r="61" spans="1:22" ht="62.4" x14ac:dyDescent="0.3">
      <c r="A61" s="30">
        <v>57</v>
      </c>
      <c r="B61" s="30" t="s">
        <v>40</v>
      </c>
      <c r="C61" s="12" t="s">
        <v>41</v>
      </c>
      <c r="D61" s="30" t="s">
        <v>58</v>
      </c>
      <c r="E61" s="30" t="s">
        <v>88</v>
      </c>
      <c r="F61" s="12" t="s">
        <v>126</v>
      </c>
      <c r="G61" s="12" t="s">
        <v>184</v>
      </c>
      <c r="H61" s="5">
        <v>1568.5536083333334</v>
      </c>
      <c r="I61" s="17">
        <v>1</v>
      </c>
      <c r="J61" s="5">
        <v>1568.5536083333334</v>
      </c>
      <c r="K61" s="5">
        <v>1568.5536083333334</v>
      </c>
      <c r="L61" s="17">
        <v>1</v>
      </c>
      <c r="M61" s="5">
        <v>1568.5536083333334</v>
      </c>
      <c r="N61" s="3" t="s">
        <v>237</v>
      </c>
      <c r="O61" s="14">
        <v>44995</v>
      </c>
      <c r="P61" s="3" t="str">
        <f>HYPERLINK("https://my.zakupki.prom.ua/remote/dispatcher/state_purchase_view/41328890", "UA-2023-03-10-000247-a")</f>
        <v>UA-2023-03-10-000247-a</v>
      </c>
      <c r="Q61" s="30">
        <f>1846.75629/1.2</f>
        <v>1538.963575</v>
      </c>
      <c r="R61" s="17">
        <v>1</v>
      </c>
      <c r="S61" s="30">
        <f>1846.75629/1.2</f>
        <v>1538.963575</v>
      </c>
      <c r="T61" s="31">
        <v>45016</v>
      </c>
      <c r="U61" s="30"/>
      <c r="V61" s="30"/>
    </row>
    <row r="62" spans="1:22" ht="62.4" x14ac:dyDescent="0.3">
      <c r="A62" s="30">
        <v>58</v>
      </c>
      <c r="B62" s="30" t="s">
        <v>40</v>
      </c>
      <c r="C62" s="12" t="s">
        <v>41</v>
      </c>
      <c r="D62" s="30" t="s">
        <v>58</v>
      </c>
      <c r="E62" s="30" t="s">
        <v>88</v>
      </c>
      <c r="F62" s="12" t="s">
        <v>127</v>
      </c>
      <c r="G62" s="12" t="s">
        <v>184</v>
      </c>
      <c r="H62" s="5">
        <v>4437.0822250000001</v>
      </c>
      <c r="I62" s="17">
        <v>1</v>
      </c>
      <c r="J62" s="5">
        <v>4437.0822250000001</v>
      </c>
      <c r="K62" s="5">
        <v>4437.0822250000001</v>
      </c>
      <c r="L62" s="17">
        <v>1</v>
      </c>
      <c r="M62" s="5">
        <v>4437.0822250000001</v>
      </c>
      <c r="N62" s="3" t="s">
        <v>238</v>
      </c>
      <c r="O62" s="14">
        <v>44995</v>
      </c>
      <c r="P62" s="3" t="str">
        <f>HYPERLINK("https://my.zakupki.prom.ua/remote/dispatcher/state_purchase_view/41328762", "UA-2023-03-10-000208-a")</f>
        <v>UA-2023-03-10-000208-a</v>
      </c>
      <c r="Q62" s="30">
        <f>5097.12242/1.2</f>
        <v>4247.6020166666667</v>
      </c>
      <c r="R62" s="17">
        <v>1</v>
      </c>
      <c r="S62" s="30">
        <f>5097.12242/1.2</f>
        <v>4247.6020166666667</v>
      </c>
      <c r="T62" s="31">
        <v>45019</v>
      </c>
      <c r="U62" s="30"/>
      <c r="V62" s="30"/>
    </row>
    <row r="63" spans="1:22" ht="62.4" x14ac:dyDescent="0.3">
      <c r="A63" s="30">
        <v>59</v>
      </c>
      <c r="B63" s="30" t="s">
        <v>40</v>
      </c>
      <c r="C63" s="12" t="s">
        <v>41</v>
      </c>
      <c r="D63" s="30" t="s">
        <v>58</v>
      </c>
      <c r="E63" s="30" t="s">
        <v>88</v>
      </c>
      <c r="F63" s="12" t="s">
        <v>128</v>
      </c>
      <c r="G63" s="12" t="s">
        <v>184</v>
      </c>
      <c r="H63" s="5">
        <v>1814.2742500000002</v>
      </c>
      <c r="I63" s="17">
        <v>1</v>
      </c>
      <c r="J63" s="5">
        <v>1814.2742500000002</v>
      </c>
      <c r="K63" s="5">
        <v>1814.2742500000002</v>
      </c>
      <c r="L63" s="17">
        <v>1</v>
      </c>
      <c r="M63" s="5">
        <v>1814.2742500000002</v>
      </c>
      <c r="N63" s="3" t="s">
        <v>239</v>
      </c>
      <c r="O63" s="14">
        <v>44995</v>
      </c>
      <c r="P63" s="13" t="str">
        <f>HYPERLINK("https://my.zakupki.prom.ua/remote/dispatcher/state_purchase_view/41328752", "UA-2023-03-10-000196-a")</f>
        <v>UA-2023-03-10-000196-a</v>
      </c>
      <c r="Q63" s="30">
        <f>2176.62168/1.2</f>
        <v>1813.8514000000002</v>
      </c>
      <c r="R63" s="17">
        <v>1</v>
      </c>
      <c r="S63" s="30">
        <f>2176.62168/1.2</f>
        <v>1813.8514000000002</v>
      </c>
      <c r="T63" s="31">
        <v>45016</v>
      </c>
      <c r="U63" s="30"/>
      <c r="V63" s="30"/>
    </row>
    <row r="64" spans="1:22" ht="62.4" x14ac:dyDescent="0.3">
      <c r="A64" s="30">
        <v>60</v>
      </c>
      <c r="B64" s="30" t="s">
        <v>40</v>
      </c>
      <c r="C64" s="12" t="s">
        <v>41</v>
      </c>
      <c r="D64" s="30" t="s">
        <v>58</v>
      </c>
      <c r="E64" s="30" t="s">
        <v>88</v>
      </c>
      <c r="F64" s="12" t="s">
        <v>129</v>
      </c>
      <c r="G64" s="12" t="s">
        <v>184</v>
      </c>
      <c r="H64" s="5">
        <v>4839.9405166666666</v>
      </c>
      <c r="I64" s="17">
        <v>1</v>
      </c>
      <c r="J64" s="5">
        <v>4839.9405166666666</v>
      </c>
      <c r="K64" s="5">
        <v>4839.9405166666666</v>
      </c>
      <c r="L64" s="17">
        <v>1</v>
      </c>
      <c r="M64" s="5">
        <v>4839.9405166666666</v>
      </c>
      <c r="N64" s="3" t="s">
        <v>240</v>
      </c>
      <c r="O64" s="14">
        <v>44995</v>
      </c>
      <c r="P64" s="13" t="str">
        <f>HYPERLINK("https://my.zakupki.prom.ua/remote/dispatcher/state_purchase_view/41328638", "UA-2023-03-10-000148-a")</f>
        <v>UA-2023-03-10-000148-a</v>
      </c>
      <c r="Q64" s="30">
        <f>5570.64129/1.2</f>
        <v>4642.2010749999999</v>
      </c>
      <c r="R64" s="17">
        <v>1</v>
      </c>
      <c r="S64" s="30">
        <f>5570.64129/1.2</f>
        <v>4642.2010749999999</v>
      </c>
      <c r="T64" s="31">
        <v>45016</v>
      </c>
      <c r="U64" s="30"/>
      <c r="V64" s="30"/>
    </row>
    <row r="65" spans="1:22" ht="46.8" x14ac:dyDescent="0.3">
      <c r="A65" s="30">
        <v>61</v>
      </c>
      <c r="B65" s="30" t="s">
        <v>21</v>
      </c>
      <c r="C65" s="12" t="s">
        <v>181</v>
      </c>
      <c r="D65" s="30" t="s">
        <v>58</v>
      </c>
      <c r="E65" s="30" t="s">
        <v>88</v>
      </c>
      <c r="F65" s="12" t="s">
        <v>130</v>
      </c>
      <c r="G65" s="12" t="s">
        <v>185</v>
      </c>
      <c r="H65" s="30"/>
      <c r="I65" s="17">
        <v>990</v>
      </c>
      <c r="J65" s="5">
        <v>4536.68</v>
      </c>
      <c r="K65" s="30"/>
      <c r="L65" s="30">
        <v>990</v>
      </c>
      <c r="M65" s="30">
        <f>5444.016/1.2</f>
        <v>4536.68</v>
      </c>
      <c r="N65" s="3" t="s">
        <v>241</v>
      </c>
      <c r="O65" s="14">
        <v>44998</v>
      </c>
      <c r="P65" s="13" t="str">
        <f>HYPERLINK("https://my.zakupki.prom.ua/remote/dispatcher/state_purchase_view/41371338", "UA-2023-03-13-007155-a")</f>
        <v>UA-2023-03-13-007155-a</v>
      </c>
      <c r="Q65" s="30"/>
      <c r="R65" s="17">
        <v>990</v>
      </c>
      <c r="S65" s="30">
        <f>4841.1/1.2</f>
        <v>4034.2500000000005</v>
      </c>
      <c r="T65" s="31">
        <v>45016</v>
      </c>
      <c r="U65" s="30"/>
      <c r="V65" s="30"/>
    </row>
    <row r="66" spans="1:22" ht="46.8" x14ac:dyDescent="0.3">
      <c r="A66" s="30">
        <v>62</v>
      </c>
      <c r="B66" s="30" t="s">
        <v>21</v>
      </c>
      <c r="C66" s="12" t="s">
        <v>173</v>
      </c>
      <c r="D66" s="30" t="s">
        <v>58</v>
      </c>
      <c r="E66" s="30" t="s">
        <v>88</v>
      </c>
      <c r="F66" s="12" t="s">
        <v>131</v>
      </c>
      <c r="G66" s="12" t="s">
        <v>185</v>
      </c>
      <c r="H66" s="30"/>
      <c r="I66" s="17">
        <v>20</v>
      </c>
      <c r="J66" s="5">
        <v>113.6</v>
      </c>
      <c r="K66" s="30"/>
      <c r="L66" s="30">
        <v>20</v>
      </c>
      <c r="M66" s="30">
        <f>136.32/1.2</f>
        <v>113.6</v>
      </c>
      <c r="N66" s="3" t="s">
        <v>242</v>
      </c>
      <c r="O66" s="14">
        <v>44998</v>
      </c>
      <c r="P66" s="13" t="str">
        <f>HYPERLINK("https://my.zakupki.prom.ua/remote/dispatcher/state_purchase_view/41363968", "UA-2023-03-13-003744-a")</f>
        <v>UA-2023-03-13-003744-a</v>
      </c>
      <c r="Q66" s="30"/>
      <c r="R66" s="17">
        <v>20</v>
      </c>
      <c r="S66" s="30">
        <f>108/1.2</f>
        <v>90</v>
      </c>
      <c r="T66" s="31">
        <v>45015</v>
      </c>
      <c r="U66" s="30"/>
      <c r="V66" s="30"/>
    </row>
    <row r="67" spans="1:22" ht="78" x14ac:dyDescent="0.3">
      <c r="A67" s="30">
        <v>63</v>
      </c>
      <c r="B67" s="30" t="s">
        <v>40</v>
      </c>
      <c r="C67" s="12" t="s">
        <v>41</v>
      </c>
      <c r="D67" s="30" t="s">
        <v>58</v>
      </c>
      <c r="E67" s="30" t="s">
        <v>88</v>
      </c>
      <c r="F67" s="12" t="s">
        <v>132</v>
      </c>
      <c r="G67" s="12" t="s">
        <v>184</v>
      </c>
      <c r="H67" s="5">
        <v>5063.9220000000005</v>
      </c>
      <c r="I67" s="17">
        <v>1</v>
      </c>
      <c r="J67" s="5">
        <v>5063.9220000000005</v>
      </c>
      <c r="K67" s="5">
        <v>5063.9220000000005</v>
      </c>
      <c r="L67" s="17">
        <v>1</v>
      </c>
      <c r="M67" s="5">
        <v>5063.9220000000005</v>
      </c>
      <c r="N67" s="3" t="s">
        <v>243</v>
      </c>
      <c r="O67" s="14">
        <v>44999</v>
      </c>
      <c r="P67" s="13" t="str">
        <f>HYPERLINK("https://my.zakupki.prom.ua/remote/dispatcher/state_purchase_view/41401307", "UA-2023-03-14-007942-a")</f>
        <v>UA-2023-03-14-007942-a</v>
      </c>
      <c r="Q67" s="30">
        <f>2693.73535/1.2</f>
        <v>2244.7794583333334</v>
      </c>
      <c r="R67" s="17">
        <v>1</v>
      </c>
      <c r="S67" s="30">
        <f>2693.73535/1.2</f>
        <v>2244.7794583333334</v>
      </c>
      <c r="T67" s="31">
        <v>45016</v>
      </c>
      <c r="U67" s="30"/>
      <c r="V67" s="30"/>
    </row>
    <row r="68" spans="1:22" ht="62.4" x14ac:dyDescent="0.3">
      <c r="A68" s="30">
        <v>64</v>
      </c>
      <c r="B68" s="30" t="s">
        <v>21</v>
      </c>
      <c r="C68" s="12" t="s">
        <v>182</v>
      </c>
      <c r="D68" s="30" t="s">
        <v>58</v>
      </c>
      <c r="E68" s="30" t="s">
        <v>88</v>
      </c>
      <c r="F68" s="12" t="s">
        <v>133</v>
      </c>
      <c r="G68" s="12" t="s">
        <v>185</v>
      </c>
      <c r="H68" s="5">
        <v>779.63</v>
      </c>
      <c r="I68" s="17">
        <v>1</v>
      </c>
      <c r="J68" s="5">
        <v>779.63</v>
      </c>
      <c r="K68" s="5">
        <v>779.63</v>
      </c>
      <c r="L68" s="17">
        <v>1</v>
      </c>
      <c r="M68" s="5">
        <v>779.63</v>
      </c>
      <c r="N68" s="3" t="s">
        <v>244</v>
      </c>
      <c r="O68" s="14">
        <v>44999</v>
      </c>
      <c r="P68" s="13" t="str">
        <f>HYPERLINK("https://my.zakupki.prom.ua/remote/dispatcher/state_purchase_view/41385730", "UA-2023-03-14-001150-a")</f>
        <v>UA-2023-03-14-001150-a</v>
      </c>
      <c r="Q68" s="30">
        <f>935.46/1.2</f>
        <v>779.55000000000007</v>
      </c>
      <c r="R68" s="17">
        <v>1</v>
      </c>
      <c r="S68" s="30">
        <f>935.46/1.2</f>
        <v>779.55000000000007</v>
      </c>
      <c r="T68" s="31">
        <v>45014</v>
      </c>
      <c r="U68" s="30"/>
      <c r="V68" s="30"/>
    </row>
    <row r="69" spans="1:22" ht="93.6" x14ac:dyDescent="0.3">
      <c r="A69" s="30">
        <v>65</v>
      </c>
      <c r="B69" s="30" t="s">
        <v>21</v>
      </c>
      <c r="C69" s="12" t="s">
        <v>183</v>
      </c>
      <c r="D69" s="30" t="s">
        <v>58</v>
      </c>
      <c r="E69" s="30" t="s">
        <v>88</v>
      </c>
      <c r="F69" s="12" t="s">
        <v>134</v>
      </c>
      <c r="G69" s="12" t="s">
        <v>185</v>
      </c>
      <c r="H69" s="5">
        <v>536.25</v>
      </c>
      <c r="I69" s="17">
        <v>1</v>
      </c>
      <c r="J69" s="5">
        <v>536.25</v>
      </c>
      <c r="K69" s="5">
        <v>536.25</v>
      </c>
      <c r="L69" s="17">
        <v>1</v>
      </c>
      <c r="M69" s="5">
        <v>536.25</v>
      </c>
      <c r="N69" s="3" t="s">
        <v>245</v>
      </c>
      <c r="O69" s="14">
        <v>44999</v>
      </c>
      <c r="P69" s="13" t="str">
        <f>HYPERLINK("https://my.zakupki.prom.ua/remote/dispatcher/state_purchase_view/41385337", "UA-2023-03-14-000978-a")</f>
        <v>UA-2023-03-14-000978-a</v>
      </c>
      <c r="Q69" s="30">
        <f>640.38/1.2</f>
        <v>533.65</v>
      </c>
      <c r="R69" s="17">
        <v>1</v>
      </c>
      <c r="S69" s="30">
        <f>640.38/1.2</f>
        <v>533.65</v>
      </c>
      <c r="T69" s="31">
        <v>45014</v>
      </c>
      <c r="U69" s="30"/>
      <c r="V69" s="30"/>
    </row>
    <row r="70" spans="1:22" ht="78" x14ac:dyDescent="0.3">
      <c r="A70" s="30">
        <v>66</v>
      </c>
      <c r="B70" s="30" t="s">
        <v>40</v>
      </c>
      <c r="C70" s="12" t="s">
        <v>41</v>
      </c>
      <c r="D70" s="30" t="s">
        <v>58</v>
      </c>
      <c r="E70" s="30" t="s">
        <v>88</v>
      </c>
      <c r="F70" s="12" t="s">
        <v>135</v>
      </c>
      <c r="G70" s="12" t="s">
        <v>184</v>
      </c>
      <c r="H70" s="5">
        <v>10976.597466666668</v>
      </c>
      <c r="I70" s="17">
        <v>1</v>
      </c>
      <c r="J70" s="5">
        <v>10976.597466666668</v>
      </c>
      <c r="K70" s="5">
        <v>10976.597466666668</v>
      </c>
      <c r="L70" s="17">
        <v>1</v>
      </c>
      <c r="M70" s="5">
        <v>10976.597466666668</v>
      </c>
      <c r="N70" s="3" t="s">
        <v>246</v>
      </c>
      <c r="O70" s="14">
        <v>45000</v>
      </c>
      <c r="P70" s="13" t="str">
        <f>HYPERLINK("https://my.zakupki.prom.ua/remote/dispatcher/state_purchase_view/41435209", "UA-2023-03-15-010399-a")</f>
        <v>UA-2023-03-15-010399-a</v>
      </c>
      <c r="Q70" s="30">
        <f>13100/1.2</f>
        <v>10916.666666666668</v>
      </c>
      <c r="R70" s="17">
        <v>1</v>
      </c>
      <c r="S70" s="30">
        <f>13100/1.2</f>
        <v>10916.666666666668</v>
      </c>
      <c r="T70" s="31">
        <v>45016</v>
      </c>
      <c r="U70" s="30"/>
      <c r="V70" s="30"/>
    </row>
    <row r="71" spans="1:22" ht="78" x14ac:dyDescent="0.3">
      <c r="A71" s="30">
        <v>67</v>
      </c>
      <c r="B71" s="30" t="s">
        <v>40</v>
      </c>
      <c r="C71" s="12" t="s">
        <v>41</v>
      </c>
      <c r="D71" s="30" t="s">
        <v>58</v>
      </c>
      <c r="E71" s="30" t="s">
        <v>88</v>
      </c>
      <c r="F71" s="12" t="s">
        <v>136</v>
      </c>
      <c r="G71" s="12" t="s">
        <v>184</v>
      </c>
      <c r="H71" s="5">
        <v>11223.566733333335</v>
      </c>
      <c r="I71" s="17">
        <v>1</v>
      </c>
      <c r="J71" s="5">
        <v>11223.566733333335</v>
      </c>
      <c r="K71" s="5">
        <v>11223.566733333335</v>
      </c>
      <c r="L71" s="17">
        <v>1</v>
      </c>
      <c r="M71" s="5">
        <v>11223.566733333335</v>
      </c>
      <c r="N71" s="3" t="s">
        <v>247</v>
      </c>
      <c r="O71" s="14">
        <v>45000</v>
      </c>
      <c r="P71" s="13" t="str">
        <f>HYPERLINK("https://my.zakupki.prom.ua/remote/dispatcher/state_purchase_view/41434270", "UA-2023-03-15-009913-a")</f>
        <v>UA-2023-03-15-009913-a</v>
      </c>
      <c r="Q71" s="30">
        <f>13395/1.2</f>
        <v>11162.5</v>
      </c>
      <c r="R71" s="17">
        <v>1</v>
      </c>
      <c r="S71" s="30">
        <f>13395/1.2</f>
        <v>11162.5</v>
      </c>
      <c r="T71" s="31">
        <v>45016</v>
      </c>
      <c r="U71" s="30"/>
      <c r="V71" s="30"/>
    </row>
    <row r="72" spans="1:22" ht="78" x14ac:dyDescent="0.3">
      <c r="A72" s="30">
        <v>68</v>
      </c>
      <c r="B72" s="30" t="s">
        <v>40</v>
      </c>
      <c r="C72" s="12" t="s">
        <v>41</v>
      </c>
      <c r="D72" s="30" t="s">
        <v>58</v>
      </c>
      <c r="E72" s="30" t="s">
        <v>88</v>
      </c>
      <c r="F72" s="12" t="s">
        <v>137</v>
      </c>
      <c r="G72" s="12" t="s">
        <v>184</v>
      </c>
      <c r="H72" s="5">
        <v>11550.103533333333</v>
      </c>
      <c r="I72" s="17">
        <v>1</v>
      </c>
      <c r="J72" s="5">
        <v>11550.103533333333</v>
      </c>
      <c r="K72" s="5">
        <v>11550.103533333333</v>
      </c>
      <c r="L72" s="17">
        <v>1</v>
      </c>
      <c r="M72" s="5">
        <v>11550.103533333333</v>
      </c>
      <c r="N72" s="3" t="s">
        <v>248</v>
      </c>
      <c r="O72" s="14">
        <v>45000</v>
      </c>
      <c r="P72" s="3" t="str">
        <f>HYPERLINK("https://my.zakupki.prom.ua/remote/dispatcher/state_purchase_view/41432337", "UA-2023-03-15-009047-a")</f>
        <v>UA-2023-03-15-009047-a</v>
      </c>
      <c r="Q72" s="30">
        <f>13790/1.2</f>
        <v>11491.666666666668</v>
      </c>
      <c r="R72" s="17">
        <v>1</v>
      </c>
      <c r="S72" s="30">
        <f>13790/1.2</f>
        <v>11491.666666666668</v>
      </c>
      <c r="T72" s="31">
        <v>45016</v>
      </c>
      <c r="U72" s="30"/>
      <c r="V72" s="30"/>
    </row>
    <row r="73" spans="1:22" ht="62.4" x14ac:dyDescent="0.3">
      <c r="A73" s="30">
        <v>69</v>
      </c>
      <c r="B73" s="30" t="s">
        <v>40</v>
      </c>
      <c r="C73" s="12" t="s">
        <v>41</v>
      </c>
      <c r="D73" s="30" t="s">
        <v>58</v>
      </c>
      <c r="E73" s="30" t="s">
        <v>88</v>
      </c>
      <c r="F73" s="12" t="s">
        <v>138</v>
      </c>
      <c r="G73" s="12" t="s">
        <v>184</v>
      </c>
      <c r="H73" s="5">
        <v>22769.216683333332</v>
      </c>
      <c r="I73" s="17">
        <v>1</v>
      </c>
      <c r="J73" s="5">
        <v>22769.216683333332</v>
      </c>
      <c r="K73" s="5">
        <v>22769.216683333332</v>
      </c>
      <c r="L73" s="17">
        <v>1</v>
      </c>
      <c r="M73" s="5">
        <v>22769.216683333332</v>
      </c>
      <c r="N73" s="3" t="s">
        <v>249</v>
      </c>
      <c r="O73" s="14">
        <v>45000</v>
      </c>
      <c r="P73" s="13" t="str">
        <f>HYPERLINK("https://my.zakupki.prom.ua/remote/dispatcher/state_purchase_view/41429057", "UA-2023-03-15-007635-a")</f>
        <v>UA-2023-03-15-007635-a</v>
      </c>
      <c r="Q73" s="30">
        <f>26459.5992/1.2</f>
        <v>22049.666000000001</v>
      </c>
      <c r="R73" s="17">
        <v>1</v>
      </c>
      <c r="S73" s="30">
        <f>26459.5992/1.2</f>
        <v>22049.666000000001</v>
      </c>
      <c r="T73" s="31">
        <v>45023</v>
      </c>
      <c r="U73" s="30"/>
      <c r="V73" s="30"/>
    </row>
    <row r="74" spans="1:22" ht="62.4" x14ac:dyDescent="0.3">
      <c r="A74" s="30">
        <v>70</v>
      </c>
      <c r="B74" s="30" t="s">
        <v>40</v>
      </c>
      <c r="C74" s="12" t="s">
        <v>41</v>
      </c>
      <c r="D74" s="30" t="s">
        <v>58</v>
      </c>
      <c r="E74" s="30" t="s">
        <v>88</v>
      </c>
      <c r="F74" s="12" t="s">
        <v>139</v>
      </c>
      <c r="G74" s="12" t="s">
        <v>184</v>
      </c>
      <c r="H74" s="5">
        <v>8007.6770000000006</v>
      </c>
      <c r="I74" s="17">
        <v>1</v>
      </c>
      <c r="J74" s="5">
        <v>8007.6770000000006</v>
      </c>
      <c r="K74" s="5">
        <v>8007.6770000000006</v>
      </c>
      <c r="L74" s="17">
        <v>1</v>
      </c>
      <c r="M74" s="5">
        <v>8007.6770000000006</v>
      </c>
      <c r="N74" s="3" t="s">
        <v>250</v>
      </c>
      <c r="O74" s="14">
        <v>45000</v>
      </c>
      <c r="P74" s="13" t="str">
        <f>HYPERLINK("https://my.zakupki.prom.ua/remote/dispatcher/state_purchase_view/41428807", "UA-2023-03-15-007484-a")</f>
        <v>UA-2023-03-15-007484-a</v>
      </c>
      <c r="Q74" s="30">
        <f>9600/1.2</f>
        <v>8000</v>
      </c>
      <c r="R74" s="17">
        <v>1</v>
      </c>
      <c r="S74" s="30">
        <f>9600/1.2</f>
        <v>8000</v>
      </c>
      <c r="T74" s="31">
        <v>45016</v>
      </c>
      <c r="U74" s="30"/>
      <c r="V74" s="30"/>
    </row>
    <row r="75" spans="1:22" ht="62.4" x14ac:dyDescent="0.3">
      <c r="A75" s="30">
        <v>71</v>
      </c>
      <c r="B75" s="30" t="s">
        <v>40</v>
      </c>
      <c r="C75" s="12" t="s">
        <v>41</v>
      </c>
      <c r="D75" s="30" t="s">
        <v>58</v>
      </c>
      <c r="E75" s="30" t="s">
        <v>88</v>
      </c>
      <c r="F75" s="12" t="s">
        <v>140</v>
      </c>
      <c r="G75" s="12" t="s">
        <v>184</v>
      </c>
      <c r="H75" s="5">
        <v>9955.5533000000014</v>
      </c>
      <c r="I75" s="17">
        <v>1</v>
      </c>
      <c r="J75" s="5">
        <v>9955.5533000000014</v>
      </c>
      <c r="K75" s="5">
        <v>9955.5533000000014</v>
      </c>
      <c r="L75" s="17">
        <v>1</v>
      </c>
      <c r="M75" s="5">
        <v>9955.5533000000014</v>
      </c>
      <c r="N75" s="3" t="s">
        <v>251</v>
      </c>
      <c r="O75" s="14">
        <v>45000</v>
      </c>
      <c r="P75" s="13" t="str">
        <f>HYPERLINK("https://my.zakupki.prom.ua/remote/dispatcher/state_purchase_view/41428016", "UA-2023-03-15-007191-a")</f>
        <v>UA-2023-03-15-007191-a</v>
      </c>
      <c r="Q75" s="30">
        <f>11932.9032/1.2</f>
        <v>9944.0860000000011</v>
      </c>
      <c r="R75" s="17">
        <v>1</v>
      </c>
      <c r="S75" s="30">
        <f>11932.9032/1.2</f>
        <v>9944.0860000000011</v>
      </c>
      <c r="T75" s="31">
        <v>45021</v>
      </c>
      <c r="U75" s="30"/>
      <c r="V75" s="30"/>
    </row>
    <row r="76" spans="1:22" ht="62.4" x14ac:dyDescent="0.3">
      <c r="A76" s="30">
        <v>72</v>
      </c>
      <c r="B76" s="30" t="s">
        <v>40</v>
      </c>
      <c r="C76" s="12" t="s">
        <v>41</v>
      </c>
      <c r="D76" s="30" t="s">
        <v>58</v>
      </c>
      <c r="E76" s="30" t="s">
        <v>88</v>
      </c>
      <c r="F76" s="12" t="s">
        <v>141</v>
      </c>
      <c r="G76" s="12" t="s">
        <v>184</v>
      </c>
      <c r="H76" s="5">
        <v>30543.989266666667</v>
      </c>
      <c r="I76" s="17">
        <v>1</v>
      </c>
      <c r="J76" s="5">
        <v>30543.989266666667</v>
      </c>
      <c r="K76" s="5">
        <v>30543.989266666667</v>
      </c>
      <c r="L76" s="17">
        <v>1</v>
      </c>
      <c r="M76" s="5">
        <v>30543.989266666667</v>
      </c>
      <c r="N76" s="3" t="s">
        <v>252</v>
      </c>
      <c r="O76" s="14">
        <v>45000</v>
      </c>
      <c r="P76" s="13" t="str">
        <f>HYPERLINK("https://my.zakupki.prom.ua/remote/dispatcher/state_purchase_view/41427937", "UA-2023-03-15-007154-a")</f>
        <v>UA-2023-03-15-007154-a</v>
      </c>
      <c r="Q76" s="30">
        <f>26652.65348/1.2</f>
        <v>22210.544566666667</v>
      </c>
      <c r="R76" s="17">
        <v>1</v>
      </c>
      <c r="S76" s="30">
        <f>26652.65348/1.2</f>
        <v>22210.544566666667</v>
      </c>
      <c r="T76" s="31">
        <v>45022</v>
      </c>
      <c r="U76" s="30"/>
      <c r="V76" s="30"/>
    </row>
    <row r="77" spans="1:22" ht="78" x14ac:dyDescent="0.3">
      <c r="A77" s="30">
        <v>73</v>
      </c>
      <c r="B77" s="30" t="s">
        <v>40</v>
      </c>
      <c r="C77" s="12" t="s">
        <v>41</v>
      </c>
      <c r="D77" s="30" t="s">
        <v>58</v>
      </c>
      <c r="E77" s="30" t="s">
        <v>88</v>
      </c>
      <c r="F77" s="12" t="s">
        <v>142</v>
      </c>
      <c r="G77" s="12" t="s">
        <v>184</v>
      </c>
      <c r="H77" s="5">
        <v>2456.56</v>
      </c>
      <c r="I77" s="17">
        <v>1</v>
      </c>
      <c r="J77" s="5">
        <v>2456.56</v>
      </c>
      <c r="K77" s="5">
        <v>2456.56</v>
      </c>
      <c r="L77" s="17">
        <v>1</v>
      </c>
      <c r="M77" s="5">
        <v>2456.56</v>
      </c>
      <c r="N77" s="3" t="s">
        <v>253</v>
      </c>
      <c r="O77" s="14">
        <v>45000</v>
      </c>
      <c r="P77" s="13" t="str">
        <f>HYPERLINK("https://my.zakupki.prom.ua/remote/dispatcher/state_purchase_view/41427498", "UA-2023-03-15-006954-a")</f>
        <v>UA-2023-03-15-006954-a</v>
      </c>
      <c r="Q77" s="30">
        <f>2947.73092/1.2</f>
        <v>2456.4424333333336</v>
      </c>
      <c r="R77" s="17">
        <v>1</v>
      </c>
      <c r="S77" s="30">
        <f>2947.73092/1.2</f>
        <v>2456.4424333333336</v>
      </c>
      <c r="T77" s="31">
        <v>45016</v>
      </c>
      <c r="U77" s="30"/>
      <c r="V77" s="30"/>
    </row>
    <row r="78" spans="1:22" ht="93.6" x14ac:dyDescent="0.3">
      <c r="A78" s="30">
        <v>74</v>
      </c>
      <c r="B78" s="30" t="s">
        <v>40</v>
      </c>
      <c r="C78" s="12" t="s">
        <v>41</v>
      </c>
      <c r="D78" s="30" t="s">
        <v>58</v>
      </c>
      <c r="E78" s="30" t="s">
        <v>88</v>
      </c>
      <c r="F78" s="12" t="s">
        <v>143</v>
      </c>
      <c r="G78" s="12" t="s">
        <v>184</v>
      </c>
      <c r="H78" s="5">
        <v>2438.35</v>
      </c>
      <c r="I78" s="17">
        <v>1</v>
      </c>
      <c r="J78" s="5">
        <v>2438.35</v>
      </c>
      <c r="K78" s="5">
        <v>2438.35</v>
      </c>
      <c r="L78" s="17">
        <v>1</v>
      </c>
      <c r="M78" s="5">
        <v>2438.35</v>
      </c>
      <c r="N78" s="3" t="s">
        <v>254</v>
      </c>
      <c r="O78" s="14">
        <v>45000</v>
      </c>
      <c r="P78" s="13" t="str">
        <f>HYPERLINK("https://my.zakupki.prom.ua/remote/dispatcher/state_purchase_view/41427101", "UA-2023-03-15-006780-a")</f>
        <v>UA-2023-03-15-006780-a</v>
      </c>
      <c r="Q78" s="30">
        <f>2921.13972/1.2</f>
        <v>2434.2831000000001</v>
      </c>
      <c r="R78" s="17">
        <v>1</v>
      </c>
      <c r="S78" s="30">
        <f>2921.13972/1.2</f>
        <v>2434.2831000000001</v>
      </c>
      <c r="T78" s="31">
        <v>45016</v>
      </c>
      <c r="U78" s="30"/>
      <c r="V78" s="30"/>
    </row>
    <row r="79" spans="1:22" ht="93.6" x14ac:dyDescent="0.3">
      <c r="A79" s="30">
        <v>75</v>
      </c>
      <c r="B79" s="30" t="s">
        <v>40</v>
      </c>
      <c r="C79" s="12" t="s">
        <v>41</v>
      </c>
      <c r="D79" s="30" t="s">
        <v>58</v>
      </c>
      <c r="E79" s="30" t="s">
        <v>88</v>
      </c>
      <c r="F79" s="12" t="s">
        <v>144</v>
      </c>
      <c r="G79" s="12" t="s">
        <v>184</v>
      </c>
      <c r="H79" s="5">
        <v>1540.42</v>
      </c>
      <c r="I79" s="17">
        <v>1</v>
      </c>
      <c r="J79" s="5">
        <v>1540.42</v>
      </c>
      <c r="K79" s="5">
        <v>1540.42</v>
      </c>
      <c r="L79" s="17">
        <v>1</v>
      </c>
      <c r="M79" s="5">
        <v>1540.42</v>
      </c>
      <c r="N79" s="3" t="s">
        <v>255</v>
      </c>
      <c r="O79" s="14">
        <v>45000</v>
      </c>
      <c r="P79" s="13" t="str">
        <f>HYPERLINK("https://my.zakupki.prom.ua/remote/dispatcher/state_purchase_view/41426939", "UA-2023-03-15-006678-a")</f>
        <v>UA-2023-03-15-006678-a</v>
      </c>
      <c r="Q79" s="30">
        <f>1848.00768/1.2</f>
        <v>1540.0064</v>
      </c>
      <c r="R79" s="17">
        <v>1</v>
      </c>
      <c r="S79" s="30">
        <f>1848.00768/1.2</f>
        <v>1540.0064</v>
      </c>
      <c r="T79" s="31">
        <v>45016</v>
      </c>
      <c r="U79" s="30"/>
      <c r="V79" s="30"/>
    </row>
    <row r="80" spans="1:22" ht="46.8" x14ac:dyDescent="0.3">
      <c r="A80" s="30">
        <v>76</v>
      </c>
      <c r="B80" s="30" t="s">
        <v>40</v>
      </c>
      <c r="C80" s="12" t="s">
        <v>41</v>
      </c>
      <c r="D80" s="30" t="s">
        <v>58</v>
      </c>
      <c r="E80" s="30" t="s">
        <v>88</v>
      </c>
      <c r="F80" s="12" t="s">
        <v>145</v>
      </c>
      <c r="G80" s="12" t="s">
        <v>184</v>
      </c>
      <c r="H80" s="5">
        <v>14879.444308333335</v>
      </c>
      <c r="I80" s="17">
        <v>1</v>
      </c>
      <c r="J80" s="5">
        <v>14879.444308333335</v>
      </c>
      <c r="K80" s="5">
        <v>14879.444308333335</v>
      </c>
      <c r="L80" s="17">
        <v>1</v>
      </c>
      <c r="M80" s="5">
        <v>14879.444308333335</v>
      </c>
      <c r="N80" s="3" t="s">
        <v>256</v>
      </c>
      <c r="O80" s="14">
        <v>45000</v>
      </c>
      <c r="P80" s="13" t="str">
        <f>HYPERLINK("https://my.zakupki.prom.ua/remote/dispatcher/state_purchase_view/41426867", "UA-2023-03-15-006643-a")</f>
        <v>UA-2023-03-15-006643-a</v>
      </c>
      <c r="Q80" s="30">
        <f>17614.29922/1.2</f>
        <v>14678.582683333334</v>
      </c>
      <c r="R80" s="17">
        <v>1</v>
      </c>
      <c r="S80" s="30">
        <f>17614.29922/1.2</f>
        <v>14678.582683333334</v>
      </c>
      <c r="T80" s="31">
        <v>45023</v>
      </c>
      <c r="U80" s="30"/>
      <c r="V80" s="30"/>
    </row>
    <row r="81" spans="1:22" ht="62.4" x14ac:dyDescent="0.3">
      <c r="A81" s="30">
        <v>77</v>
      </c>
      <c r="B81" s="30" t="s">
        <v>40</v>
      </c>
      <c r="C81" s="12" t="s">
        <v>41</v>
      </c>
      <c r="D81" s="30" t="s">
        <v>58</v>
      </c>
      <c r="E81" s="30" t="s">
        <v>88</v>
      </c>
      <c r="F81" s="12" t="s">
        <v>146</v>
      </c>
      <c r="G81" s="12" t="s">
        <v>184</v>
      </c>
      <c r="H81" s="5">
        <v>16220.156625</v>
      </c>
      <c r="I81" s="17">
        <v>1</v>
      </c>
      <c r="J81" s="5">
        <v>16220.156625</v>
      </c>
      <c r="K81" s="5">
        <v>16220.156625</v>
      </c>
      <c r="L81" s="17">
        <v>1</v>
      </c>
      <c r="M81" s="5">
        <v>16220.156625</v>
      </c>
      <c r="N81" s="3" t="s">
        <v>257</v>
      </c>
      <c r="O81" s="14">
        <v>45000</v>
      </c>
      <c r="P81" s="13" t="str">
        <f>HYPERLINK("https://my.zakupki.prom.ua/remote/dispatcher/state_purchase_view/41426613", "UA-2023-03-15-006562-a")</f>
        <v>UA-2023-03-15-006562-a</v>
      </c>
      <c r="Q81" s="30">
        <f>19380/1.2</f>
        <v>16150</v>
      </c>
      <c r="R81" s="17">
        <v>1</v>
      </c>
      <c r="S81" s="30">
        <f>19380/1.2</f>
        <v>16150</v>
      </c>
      <c r="T81" s="31">
        <v>45016</v>
      </c>
      <c r="U81" s="30"/>
      <c r="V81" s="30"/>
    </row>
    <row r="82" spans="1:22" ht="62.4" x14ac:dyDescent="0.3">
      <c r="A82" s="30">
        <v>78</v>
      </c>
      <c r="B82" s="30" t="s">
        <v>40</v>
      </c>
      <c r="C82" s="12" t="s">
        <v>41</v>
      </c>
      <c r="D82" s="30" t="s">
        <v>58</v>
      </c>
      <c r="E82" s="30" t="s">
        <v>88</v>
      </c>
      <c r="F82" s="12" t="s">
        <v>147</v>
      </c>
      <c r="G82" s="12" t="s">
        <v>184</v>
      </c>
      <c r="H82" s="5">
        <v>30451.739091666666</v>
      </c>
      <c r="I82" s="17">
        <v>1</v>
      </c>
      <c r="J82" s="5">
        <v>30451.739091666666</v>
      </c>
      <c r="K82" s="5">
        <v>30451.739091666666</v>
      </c>
      <c r="L82" s="17">
        <v>1</v>
      </c>
      <c r="M82" s="5">
        <v>30451.739091666666</v>
      </c>
      <c r="N82" s="3" t="s">
        <v>258</v>
      </c>
      <c r="O82" s="14">
        <v>45000</v>
      </c>
      <c r="P82" s="13" t="str">
        <f>HYPERLINK("https://my.zakupki.prom.ua/remote/dispatcher/state_purchase_view/41426508", "UA-2023-03-15-006488-a")</f>
        <v>UA-2023-03-15-006488-a</v>
      </c>
      <c r="Q82" s="30">
        <f>36542.2152/1.2</f>
        <v>30451.846000000001</v>
      </c>
      <c r="R82" s="17">
        <v>1</v>
      </c>
      <c r="S82" s="30">
        <f>36542.2152/1.2</f>
        <v>30451.846000000001</v>
      </c>
      <c r="T82" s="31">
        <v>45052</v>
      </c>
      <c r="U82" s="30"/>
      <c r="V82" s="30"/>
    </row>
    <row r="83" spans="1:22" ht="93.6" x14ac:dyDescent="0.3">
      <c r="A83" s="30">
        <v>79</v>
      </c>
      <c r="B83" s="30" t="s">
        <v>40</v>
      </c>
      <c r="C83" s="12" t="s">
        <v>41</v>
      </c>
      <c r="D83" s="30" t="s">
        <v>58</v>
      </c>
      <c r="E83" s="30" t="s">
        <v>88</v>
      </c>
      <c r="F83" s="12" t="s">
        <v>148</v>
      </c>
      <c r="G83" s="12" t="s">
        <v>184</v>
      </c>
      <c r="H83" s="5">
        <v>1803.85</v>
      </c>
      <c r="I83" s="17">
        <v>1</v>
      </c>
      <c r="J83" s="5">
        <v>1803.85</v>
      </c>
      <c r="K83" s="5">
        <v>1803.85</v>
      </c>
      <c r="L83" s="17">
        <v>1</v>
      </c>
      <c r="M83" s="5">
        <v>1803.85</v>
      </c>
      <c r="N83" s="3" t="s">
        <v>259</v>
      </c>
      <c r="O83" s="14">
        <v>45000</v>
      </c>
      <c r="P83" s="13" t="str">
        <f>HYPERLINK("https://my.zakupki.prom.ua/remote/dispatcher/state_purchase_view/41426342", "UA-2023-03-15-006405-a")</f>
        <v>UA-2023-03-15-006405-a</v>
      </c>
      <c r="Q83" s="30">
        <f>2164.56335/1.2</f>
        <v>1803.8027916666667</v>
      </c>
      <c r="R83" s="17">
        <v>1</v>
      </c>
      <c r="S83" s="30">
        <f>2164.56335/1.2</f>
        <v>1803.8027916666667</v>
      </c>
      <c r="T83" s="31">
        <v>45016</v>
      </c>
      <c r="U83" s="30"/>
      <c r="V83" s="30"/>
    </row>
    <row r="84" spans="1:22" ht="78" x14ac:dyDescent="0.3">
      <c r="A84" s="30">
        <v>80</v>
      </c>
      <c r="B84" s="30" t="s">
        <v>40</v>
      </c>
      <c r="C84" s="12" t="s">
        <v>41</v>
      </c>
      <c r="D84" s="30" t="s">
        <v>58</v>
      </c>
      <c r="E84" s="30" t="s">
        <v>88</v>
      </c>
      <c r="F84" s="12" t="s">
        <v>149</v>
      </c>
      <c r="G84" s="12" t="s">
        <v>184</v>
      </c>
      <c r="H84" s="5">
        <v>1746.94</v>
      </c>
      <c r="I84" s="17">
        <v>1</v>
      </c>
      <c r="J84" s="5">
        <v>1746.94</v>
      </c>
      <c r="K84" s="5">
        <v>1746.94</v>
      </c>
      <c r="L84" s="17">
        <v>1</v>
      </c>
      <c r="M84" s="5">
        <v>1746.94</v>
      </c>
      <c r="N84" s="3" t="s">
        <v>260</v>
      </c>
      <c r="O84" s="14">
        <v>45000</v>
      </c>
      <c r="P84" s="13" t="str">
        <f>HYPERLINK("https://my.zakupki.prom.ua/remote/dispatcher/state_purchase_view/41425999", "UA-2023-03-15-006274-a")</f>
        <v>UA-2023-03-15-006274-a</v>
      </c>
      <c r="Q84" s="30">
        <f>2096.01493/1.2</f>
        <v>1746.6791083333333</v>
      </c>
      <c r="R84" s="17">
        <v>1</v>
      </c>
      <c r="S84" s="30">
        <f>2096.01493/1.2</f>
        <v>1746.6791083333333</v>
      </c>
      <c r="T84" s="31">
        <v>45016</v>
      </c>
      <c r="U84" s="30"/>
      <c r="V84" s="30"/>
    </row>
    <row r="85" spans="1:22" ht="62.4" x14ac:dyDescent="0.3">
      <c r="A85" s="30">
        <v>81</v>
      </c>
      <c r="B85" s="30" t="s">
        <v>40</v>
      </c>
      <c r="C85" s="12" t="s">
        <v>41</v>
      </c>
      <c r="D85" s="30"/>
      <c r="E85" s="30" t="s">
        <v>88</v>
      </c>
      <c r="F85" s="12" t="s">
        <v>150</v>
      </c>
      <c r="G85" s="12" t="s">
        <v>184</v>
      </c>
      <c r="H85" s="5">
        <v>1061.1895</v>
      </c>
      <c r="I85" s="17">
        <v>1</v>
      </c>
      <c r="J85" s="5">
        <v>1061.1895</v>
      </c>
      <c r="K85" s="5">
        <v>1061.1895</v>
      </c>
      <c r="L85" s="17">
        <v>1</v>
      </c>
      <c r="M85" s="5">
        <v>1061.1895</v>
      </c>
      <c r="N85" s="3" t="s">
        <v>261</v>
      </c>
      <c r="O85" s="14">
        <v>45005</v>
      </c>
      <c r="P85" s="13" t="str">
        <f>HYPERLINK("https://my.zakupki.prom.ua/remote/dispatcher/state_purchase_view/41521877", "UA-2023-03-20-011139-a")</f>
        <v>UA-2023-03-20-011139-a</v>
      </c>
      <c r="Q85" s="30">
        <f>1273.4274/1.2</f>
        <v>1061.1895000000002</v>
      </c>
      <c r="R85" s="17">
        <v>1</v>
      </c>
      <c r="S85" s="30">
        <f>1273.4274/1.2</f>
        <v>1061.1895000000002</v>
      </c>
      <c r="T85" s="14">
        <v>45005</v>
      </c>
      <c r="U85" s="30"/>
      <c r="V85" s="30" t="s">
        <v>59</v>
      </c>
    </row>
    <row r="86" spans="1:22" ht="78" x14ac:dyDescent="0.3">
      <c r="A86" s="30">
        <v>82</v>
      </c>
      <c r="B86" s="30" t="s">
        <v>40</v>
      </c>
      <c r="C86" s="12" t="s">
        <v>41</v>
      </c>
      <c r="D86" s="30"/>
      <c r="E86" s="30" t="s">
        <v>88</v>
      </c>
      <c r="F86" s="12" t="s">
        <v>151</v>
      </c>
      <c r="G86" s="12" t="s">
        <v>184</v>
      </c>
      <c r="H86" s="5">
        <v>580.37230833333331</v>
      </c>
      <c r="I86" s="17">
        <v>1</v>
      </c>
      <c r="J86" s="5">
        <v>580.37230833333331</v>
      </c>
      <c r="K86" s="5">
        <v>580.37230833333331</v>
      </c>
      <c r="L86" s="17">
        <v>1</v>
      </c>
      <c r="M86" s="5">
        <v>580.37230833333331</v>
      </c>
      <c r="N86" s="3" t="s">
        <v>262</v>
      </c>
      <c r="O86" s="14">
        <v>45005</v>
      </c>
      <c r="P86" s="13" t="str">
        <f>HYPERLINK("https://my.zakupki.prom.ua/remote/dispatcher/state_purchase_view/41521176", "UA-2023-03-20-010821-a")</f>
        <v>UA-2023-03-20-010821-a</v>
      </c>
      <c r="Q86" s="30">
        <v>580.37230999999997</v>
      </c>
      <c r="R86" s="17">
        <v>1</v>
      </c>
      <c r="S86" s="30">
        <v>580.37230999999997</v>
      </c>
      <c r="T86" s="14">
        <v>45005</v>
      </c>
      <c r="U86" s="30"/>
      <c r="V86" s="30" t="s">
        <v>59</v>
      </c>
    </row>
    <row r="87" spans="1:22" ht="62.4" x14ac:dyDescent="0.3">
      <c r="A87" s="30">
        <v>83</v>
      </c>
      <c r="B87" s="30" t="s">
        <v>40</v>
      </c>
      <c r="C87" s="12" t="s">
        <v>41</v>
      </c>
      <c r="D87" s="30"/>
      <c r="E87" s="30" t="s">
        <v>88</v>
      </c>
      <c r="F87" s="12" t="s">
        <v>152</v>
      </c>
      <c r="G87" s="12" t="s">
        <v>184</v>
      </c>
      <c r="H87" s="5">
        <v>1126.4987166666667</v>
      </c>
      <c r="I87" s="17">
        <v>1</v>
      </c>
      <c r="J87" s="5">
        <v>1126.4987166666667</v>
      </c>
      <c r="K87" s="5">
        <v>1126.4987166666667</v>
      </c>
      <c r="L87" s="17">
        <v>1</v>
      </c>
      <c r="M87" s="5">
        <v>1126.4987166666667</v>
      </c>
      <c r="N87" s="3" t="s">
        <v>263</v>
      </c>
      <c r="O87" s="14">
        <v>45005</v>
      </c>
      <c r="P87" s="13" t="str">
        <f>HYPERLINK("https://my.zakupki.prom.ua/remote/dispatcher/state_purchase_view/41520898", "UA-2023-03-20-010690-a")</f>
        <v>UA-2023-03-20-010690-a</v>
      </c>
      <c r="Q87" s="30">
        <v>1126.49872</v>
      </c>
      <c r="R87" s="17">
        <v>1</v>
      </c>
      <c r="S87" s="30">
        <v>1126.49872</v>
      </c>
      <c r="T87" s="14">
        <v>45005</v>
      </c>
      <c r="U87" s="30"/>
      <c r="V87" s="30" t="s">
        <v>59</v>
      </c>
    </row>
    <row r="88" spans="1:22" ht="62.4" x14ac:dyDescent="0.3">
      <c r="A88" s="30">
        <v>84</v>
      </c>
      <c r="B88" s="30" t="s">
        <v>40</v>
      </c>
      <c r="C88" s="12" t="s">
        <v>41</v>
      </c>
      <c r="D88" s="30"/>
      <c r="E88" s="30" t="s">
        <v>88</v>
      </c>
      <c r="F88" s="12" t="s">
        <v>153</v>
      </c>
      <c r="G88" s="12" t="s">
        <v>184</v>
      </c>
      <c r="H88" s="5">
        <v>1059.8841916666665</v>
      </c>
      <c r="I88" s="17">
        <v>1</v>
      </c>
      <c r="J88" s="5">
        <v>1059.8841916666665</v>
      </c>
      <c r="K88" s="5">
        <v>1059.8841916666665</v>
      </c>
      <c r="L88" s="17">
        <v>1</v>
      </c>
      <c r="M88" s="5">
        <v>1059.8841916666665</v>
      </c>
      <c r="N88" s="3" t="s">
        <v>264</v>
      </c>
      <c r="O88" s="14">
        <v>45005</v>
      </c>
      <c r="P88" s="13" t="str">
        <f>HYPERLINK("https://my.zakupki.prom.ua/remote/dispatcher/state_purchase_view/41520613", "UA-2023-03-20-010574-a")</f>
        <v>UA-2023-03-20-010574-a</v>
      </c>
      <c r="Q88" s="30">
        <v>1059.88419</v>
      </c>
      <c r="R88" s="17">
        <v>1</v>
      </c>
      <c r="S88" s="30">
        <v>1059.88419</v>
      </c>
      <c r="T88" s="14">
        <v>45005</v>
      </c>
      <c r="U88" s="30"/>
      <c r="V88" s="30" t="s">
        <v>59</v>
      </c>
    </row>
    <row r="89" spans="1:22" ht="78" x14ac:dyDescent="0.3">
      <c r="A89" s="30">
        <v>85</v>
      </c>
      <c r="B89" s="30" t="s">
        <v>40</v>
      </c>
      <c r="C89" s="12" t="s">
        <v>41</v>
      </c>
      <c r="D89" s="30"/>
      <c r="E89" s="30" t="s">
        <v>88</v>
      </c>
      <c r="F89" s="12" t="s">
        <v>154</v>
      </c>
      <c r="G89" s="12" t="s">
        <v>184</v>
      </c>
      <c r="H89" s="5">
        <v>379.50758333333329</v>
      </c>
      <c r="I89" s="17">
        <v>1</v>
      </c>
      <c r="J89" s="5">
        <v>379.50758333333329</v>
      </c>
      <c r="K89" s="5">
        <v>379.50758333333329</v>
      </c>
      <c r="L89" s="17">
        <v>1</v>
      </c>
      <c r="M89" s="5">
        <v>379.50758333333329</v>
      </c>
      <c r="N89" s="3" t="s">
        <v>265</v>
      </c>
      <c r="O89" s="14">
        <v>45005</v>
      </c>
      <c r="P89" s="13" t="str">
        <f>HYPERLINK("https://my.zakupki.prom.ua/remote/dispatcher/state_purchase_view/41520444", "UA-2023-03-20-010476-a")</f>
        <v>UA-2023-03-20-010476-a</v>
      </c>
      <c r="Q89" s="30">
        <v>379.50758999999999</v>
      </c>
      <c r="R89" s="17">
        <v>1</v>
      </c>
      <c r="S89" s="30">
        <v>379.50758999999999</v>
      </c>
      <c r="T89" s="14">
        <v>45005</v>
      </c>
      <c r="U89" s="30"/>
      <c r="V89" s="30" t="s">
        <v>59</v>
      </c>
    </row>
    <row r="90" spans="1:22" ht="62.4" x14ac:dyDescent="0.3">
      <c r="A90" s="30">
        <v>86</v>
      </c>
      <c r="B90" s="30" t="s">
        <v>40</v>
      </c>
      <c r="C90" s="12" t="s">
        <v>41</v>
      </c>
      <c r="D90" s="30"/>
      <c r="E90" s="30" t="s">
        <v>88</v>
      </c>
      <c r="F90" s="12" t="s">
        <v>155</v>
      </c>
      <c r="G90" s="12" t="s">
        <v>184</v>
      </c>
      <c r="H90" s="5">
        <v>218.54481666666672</v>
      </c>
      <c r="I90" s="17">
        <v>1</v>
      </c>
      <c r="J90" s="5">
        <v>218.54481666666672</v>
      </c>
      <c r="K90" s="5">
        <v>218.54481666666672</v>
      </c>
      <c r="L90" s="17">
        <v>1</v>
      </c>
      <c r="M90" s="5">
        <v>218.54481666666672</v>
      </c>
      <c r="N90" s="3" t="s">
        <v>266</v>
      </c>
      <c r="O90" s="14">
        <v>45005</v>
      </c>
      <c r="P90" s="13" t="str">
        <f>HYPERLINK("https://my.zakupki.prom.ua/remote/dispatcher/state_purchase_view/41520379", "UA-2023-03-20-010412-a")</f>
        <v>UA-2023-03-20-010412-a</v>
      </c>
      <c r="Q90" s="30">
        <v>218.54481699999999</v>
      </c>
      <c r="R90" s="17">
        <v>1</v>
      </c>
      <c r="S90" s="30">
        <v>218.54481699999999</v>
      </c>
      <c r="T90" s="14">
        <v>45005</v>
      </c>
      <c r="U90" s="30"/>
      <c r="V90" s="30" t="s">
        <v>59</v>
      </c>
    </row>
    <row r="91" spans="1:22" ht="78" x14ac:dyDescent="0.3">
      <c r="A91" s="30">
        <v>87</v>
      </c>
      <c r="B91" s="30" t="s">
        <v>40</v>
      </c>
      <c r="C91" s="12" t="s">
        <v>41</v>
      </c>
      <c r="D91" s="30"/>
      <c r="E91" s="30" t="s">
        <v>88</v>
      </c>
      <c r="F91" s="12" t="s">
        <v>156</v>
      </c>
      <c r="G91" s="12" t="s">
        <v>184</v>
      </c>
      <c r="H91" s="5">
        <v>315.9595333333333</v>
      </c>
      <c r="I91" s="17">
        <v>1</v>
      </c>
      <c r="J91" s="5">
        <v>315.9595333333333</v>
      </c>
      <c r="K91" s="5">
        <v>315.9595333333333</v>
      </c>
      <c r="L91" s="17">
        <v>1</v>
      </c>
      <c r="M91" s="5">
        <v>315.9595333333333</v>
      </c>
      <c r="N91" s="3" t="s">
        <v>267</v>
      </c>
      <c r="O91" s="14">
        <v>45005</v>
      </c>
      <c r="P91" s="13" t="str">
        <f>HYPERLINK("https://my.zakupki.prom.ua/remote/dispatcher/state_purchase_view/41520214", "UA-2023-03-20-010365-a")</f>
        <v>UA-2023-03-20-010365-a</v>
      </c>
      <c r="Q91" s="30">
        <v>315.95952999999997</v>
      </c>
      <c r="R91" s="17">
        <v>1</v>
      </c>
      <c r="S91" s="30">
        <v>315.95952999999997</v>
      </c>
      <c r="T91" s="14">
        <v>45005</v>
      </c>
      <c r="U91" s="30"/>
      <c r="V91" s="30" t="s">
        <v>59</v>
      </c>
    </row>
    <row r="92" spans="1:22" ht="62.4" x14ac:dyDescent="0.3">
      <c r="A92" s="30">
        <v>88</v>
      </c>
      <c r="B92" s="30" t="s">
        <v>40</v>
      </c>
      <c r="C92" s="12" t="s">
        <v>41</v>
      </c>
      <c r="D92" s="30"/>
      <c r="E92" s="30" t="s">
        <v>88</v>
      </c>
      <c r="F92" s="12" t="s">
        <v>157</v>
      </c>
      <c r="G92" s="12" t="s">
        <v>184</v>
      </c>
      <c r="H92" s="5">
        <v>421.47824166666669</v>
      </c>
      <c r="I92" s="17">
        <v>1</v>
      </c>
      <c r="J92" s="5">
        <v>421.47824166666669</v>
      </c>
      <c r="K92" s="5">
        <v>421.47824166666669</v>
      </c>
      <c r="L92" s="17">
        <v>1</v>
      </c>
      <c r="M92" s="5">
        <v>421.47824166666669</v>
      </c>
      <c r="N92" s="3" t="s">
        <v>268</v>
      </c>
      <c r="O92" s="14">
        <v>45005</v>
      </c>
      <c r="P92" s="13" t="str">
        <f>HYPERLINK("https://my.zakupki.prom.ua/remote/dispatcher/state_purchase_view/41520193", "UA-2023-03-20-010348-a")</f>
        <v>UA-2023-03-20-010348-a</v>
      </c>
      <c r="Q92" s="30">
        <v>421.47824000000003</v>
      </c>
      <c r="R92" s="17">
        <v>1</v>
      </c>
      <c r="S92" s="30">
        <v>421.47824000000003</v>
      </c>
      <c r="T92" s="14">
        <v>45005</v>
      </c>
      <c r="U92" s="30"/>
      <c r="V92" s="30" t="s">
        <v>59</v>
      </c>
    </row>
    <row r="93" spans="1:22" ht="78" x14ac:dyDescent="0.3">
      <c r="A93" s="30">
        <v>89</v>
      </c>
      <c r="B93" s="30" t="s">
        <v>40</v>
      </c>
      <c r="C93" s="12" t="s">
        <v>41</v>
      </c>
      <c r="D93" s="30"/>
      <c r="E93" s="30" t="s">
        <v>88</v>
      </c>
      <c r="F93" s="12" t="s">
        <v>158</v>
      </c>
      <c r="G93" s="12" t="s">
        <v>184</v>
      </c>
      <c r="H93" s="5">
        <v>750.01798333333329</v>
      </c>
      <c r="I93" s="17">
        <v>1</v>
      </c>
      <c r="J93" s="5">
        <v>750.01798333333329</v>
      </c>
      <c r="K93" s="5">
        <v>750.01798333333329</v>
      </c>
      <c r="L93" s="17">
        <v>1</v>
      </c>
      <c r="M93" s="5">
        <v>750.01798333333329</v>
      </c>
      <c r="N93" s="3" t="s">
        <v>269</v>
      </c>
      <c r="O93" s="14">
        <v>45005</v>
      </c>
      <c r="P93" s="13" t="str">
        <f>HYPERLINK("https://my.zakupki.prom.ua/remote/dispatcher/state_purchase_view/41520067", "UA-2023-03-20-010273-a")</f>
        <v>UA-2023-03-20-010273-a</v>
      </c>
      <c r="Q93" s="30">
        <v>750.01799000000005</v>
      </c>
      <c r="R93" s="17">
        <v>1</v>
      </c>
      <c r="S93" s="30">
        <v>750.01799000000005</v>
      </c>
      <c r="T93" s="14">
        <v>45005</v>
      </c>
      <c r="U93" s="30"/>
      <c r="V93" s="30" t="s">
        <v>59</v>
      </c>
    </row>
    <row r="94" spans="1:22" ht="78" x14ac:dyDescent="0.3">
      <c r="A94" s="30">
        <v>90</v>
      </c>
      <c r="B94" s="30" t="s">
        <v>40</v>
      </c>
      <c r="C94" s="12" t="s">
        <v>41</v>
      </c>
      <c r="D94" s="30"/>
      <c r="E94" s="30" t="s">
        <v>88</v>
      </c>
      <c r="F94" s="12" t="s">
        <v>159</v>
      </c>
      <c r="G94" s="12" t="s">
        <v>184</v>
      </c>
      <c r="H94" s="5">
        <v>337.77145833333338</v>
      </c>
      <c r="I94" s="17">
        <v>1</v>
      </c>
      <c r="J94" s="5">
        <v>337.77145833333338</v>
      </c>
      <c r="K94" s="5">
        <v>337.77145833333338</v>
      </c>
      <c r="L94" s="17">
        <v>1</v>
      </c>
      <c r="M94" s="5">
        <v>337.77145833333338</v>
      </c>
      <c r="N94" s="3" t="s">
        <v>270</v>
      </c>
      <c r="O94" s="14">
        <v>45005</v>
      </c>
      <c r="P94" s="13" t="str">
        <f>HYPERLINK("https://my.zakupki.prom.ua/remote/dispatcher/state_purchase_view/41519874", "UA-2023-03-20-010255-a")</f>
        <v>UA-2023-03-20-010255-a</v>
      </c>
      <c r="Q94" s="30">
        <v>337.77145999999999</v>
      </c>
      <c r="R94" s="17">
        <v>1</v>
      </c>
      <c r="S94" s="30">
        <v>337.77145999999999</v>
      </c>
      <c r="T94" s="14">
        <v>45005</v>
      </c>
      <c r="U94" s="30"/>
      <c r="V94" s="30" t="s">
        <v>59</v>
      </c>
    </row>
    <row r="95" spans="1:22" ht="62.4" x14ac:dyDescent="0.3">
      <c r="A95" s="30">
        <v>91</v>
      </c>
      <c r="B95" s="30" t="s">
        <v>40</v>
      </c>
      <c r="C95" s="12" t="s">
        <v>41</v>
      </c>
      <c r="D95" s="30"/>
      <c r="E95" s="30" t="s">
        <v>88</v>
      </c>
      <c r="F95" s="12" t="s">
        <v>160</v>
      </c>
      <c r="G95" s="12" t="s">
        <v>184</v>
      </c>
      <c r="H95" s="5">
        <v>239.70174166666669</v>
      </c>
      <c r="I95" s="17">
        <v>1</v>
      </c>
      <c r="J95" s="5">
        <v>239.70174166666669</v>
      </c>
      <c r="K95" s="5">
        <v>239.70174166666669</v>
      </c>
      <c r="L95" s="17">
        <v>1</v>
      </c>
      <c r="M95" s="5">
        <v>239.70174166666669</v>
      </c>
      <c r="N95" s="3" t="s">
        <v>271</v>
      </c>
      <c r="O95" s="14">
        <v>45005</v>
      </c>
      <c r="P95" s="13" t="str">
        <f>HYPERLINK("https://my.zakupki.prom.ua/remote/dispatcher/state_purchase_view/41519753", "UA-2023-03-20-010178-a")</f>
        <v>UA-2023-03-20-010178-a</v>
      </c>
      <c r="Q95" s="30">
        <v>239.70174</v>
      </c>
      <c r="R95" s="17">
        <v>1</v>
      </c>
      <c r="S95" s="30">
        <v>239.70174</v>
      </c>
      <c r="T95" s="14">
        <v>45005</v>
      </c>
      <c r="U95" s="30"/>
      <c r="V95" s="30" t="s">
        <v>59</v>
      </c>
    </row>
    <row r="96" spans="1:22" ht="78" x14ac:dyDescent="0.3">
      <c r="A96" s="30">
        <v>92</v>
      </c>
      <c r="B96" s="30" t="s">
        <v>40</v>
      </c>
      <c r="C96" s="12" t="s">
        <v>41</v>
      </c>
      <c r="D96" s="30"/>
      <c r="E96" s="30" t="s">
        <v>88</v>
      </c>
      <c r="F96" s="12" t="s">
        <v>161</v>
      </c>
      <c r="G96" s="12" t="s">
        <v>184</v>
      </c>
      <c r="H96" s="5">
        <v>274.92998333333333</v>
      </c>
      <c r="I96" s="17">
        <v>1</v>
      </c>
      <c r="J96" s="5">
        <v>274.92998333333333</v>
      </c>
      <c r="K96" s="5">
        <v>274.92998333333333</v>
      </c>
      <c r="L96" s="17">
        <v>1</v>
      </c>
      <c r="M96" s="5">
        <v>274.92998333333333</v>
      </c>
      <c r="N96" s="3" t="s">
        <v>272</v>
      </c>
      <c r="O96" s="14">
        <v>45005</v>
      </c>
      <c r="P96" s="13" t="str">
        <f>HYPERLINK("https://my.zakupki.prom.ua/remote/dispatcher/state_purchase_view/41519653", "UA-2023-03-20-010114-a")</f>
        <v>UA-2023-03-20-010114-a</v>
      </c>
      <c r="Q96" s="30">
        <v>274.92998</v>
      </c>
      <c r="R96" s="17">
        <v>1</v>
      </c>
      <c r="S96" s="30">
        <v>274.92998</v>
      </c>
      <c r="T96" s="14">
        <v>45005</v>
      </c>
      <c r="U96" s="30"/>
      <c r="V96" s="30" t="s">
        <v>59</v>
      </c>
    </row>
    <row r="97" spans="1:22" ht="62.4" x14ac:dyDescent="0.3">
      <c r="A97" s="30">
        <v>93</v>
      </c>
      <c r="B97" s="30" t="s">
        <v>40</v>
      </c>
      <c r="C97" s="12" t="s">
        <v>41</v>
      </c>
      <c r="D97" s="30"/>
      <c r="E97" s="30" t="s">
        <v>88</v>
      </c>
      <c r="F97" s="12" t="s">
        <v>162</v>
      </c>
      <c r="G97" s="12" t="s">
        <v>184</v>
      </c>
      <c r="H97" s="5">
        <v>322.49216666666666</v>
      </c>
      <c r="I97" s="17">
        <v>1</v>
      </c>
      <c r="J97" s="5">
        <v>322.49216666666666</v>
      </c>
      <c r="K97" s="5">
        <v>322.49216666666666</v>
      </c>
      <c r="L97" s="17">
        <v>1</v>
      </c>
      <c r="M97" s="5">
        <v>322.49216666666666</v>
      </c>
      <c r="N97" s="3" t="s">
        <v>273</v>
      </c>
      <c r="O97" s="14">
        <v>45005</v>
      </c>
      <c r="P97" s="13" t="str">
        <f>HYPERLINK("https://my.zakupki.prom.ua/remote/dispatcher/state_purchase_view/41519552", "UA-2023-03-20-010049-a")</f>
        <v>UA-2023-03-20-010049-a</v>
      </c>
      <c r="Q97" s="30">
        <v>322.49216000000001</v>
      </c>
      <c r="R97" s="17">
        <v>1</v>
      </c>
      <c r="S97" s="30">
        <v>322.49216000000001</v>
      </c>
      <c r="T97" s="14">
        <v>45005</v>
      </c>
      <c r="U97" s="30"/>
      <c r="V97" s="30" t="s">
        <v>59</v>
      </c>
    </row>
    <row r="98" spans="1:22" ht="78" x14ac:dyDescent="0.3">
      <c r="A98" s="30">
        <v>94</v>
      </c>
      <c r="B98" s="30" t="s">
        <v>40</v>
      </c>
      <c r="C98" s="12" t="s">
        <v>41</v>
      </c>
      <c r="D98" s="30"/>
      <c r="E98" s="30" t="s">
        <v>88</v>
      </c>
      <c r="F98" s="12" t="s">
        <v>163</v>
      </c>
      <c r="G98" s="12" t="s">
        <v>184</v>
      </c>
      <c r="H98" s="5">
        <v>390.85191666666668</v>
      </c>
      <c r="I98" s="17">
        <v>1</v>
      </c>
      <c r="J98" s="5">
        <v>390.85191666666668</v>
      </c>
      <c r="K98" s="5">
        <v>390.85191666666668</v>
      </c>
      <c r="L98" s="17">
        <v>1</v>
      </c>
      <c r="M98" s="5">
        <v>390.85191666666668</v>
      </c>
      <c r="N98" s="3" t="s">
        <v>274</v>
      </c>
      <c r="O98" s="14">
        <v>45005</v>
      </c>
      <c r="P98" s="13" t="str">
        <f>HYPERLINK("https://my.zakupki.prom.ua/remote/dispatcher/state_purchase_view/41519534", "UA-2023-03-20-010028-a")</f>
        <v>UA-2023-03-20-010028-a</v>
      </c>
      <c r="Q98" s="30">
        <v>390.85192000000001</v>
      </c>
      <c r="R98" s="17">
        <v>1</v>
      </c>
      <c r="S98" s="30">
        <v>390.85192000000001</v>
      </c>
      <c r="T98" s="14">
        <v>45005</v>
      </c>
      <c r="U98" s="30"/>
      <c r="V98" s="30" t="s">
        <v>59</v>
      </c>
    </row>
    <row r="99" spans="1:22" ht="78" x14ac:dyDescent="0.3">
      <c r="A99" s="30">
        <v>95</v>
      </c>
      <c r="B99" s="30" t="s">
        <v>40</v>
      </c>
      <c r="C99" s="12" t="s">
        <v>41</v>
      </c>
      <c r="D99" s="30"/>
      <c r="E99" s="30" t="s">
        <v>88</v>
      </c>
      <c r="F99" s="12" t="s">
        <v>164</v>
      </c>
      <c r="G99" s="12" t="s">
        <v>184</v>
      </c>
      <c r="H99" s="5">
        <v>742.09535000000005</v>
      </c>
      <c r="I99" s="17">
        <v>1</v>
      </c>
      <c r="J99" s="5">
        <v>742.09535000000005</v>
      </c>
      <c r="K99" s="5">
        <v>742.09535000000005</v>
      </c>
      <c r="L99" s="17">
        <v>1</v>
      </c>
      <c r="M99" s="5">
        <v>742.09535000000005</v>
      </c>
      <c r="N99" s="3" t="s">
        <v>275</v>
      </c>
      <c r="O99" s="14">
        <v>45005</v>
      </c>
      <c r="P99" s="13" t="str">
        <f>HYPERLINK("https://my.zakupki.prom.ua/remote/dispatcher/state_purchase_view/41519330", "UA-2023-03-20-010007-a")</f>
        <v>UA-2023-03-20-010007-a</v>
      </c>
      <c r="Q99" s="30">
        <v>742.09535000000005</v>
      </c>
      <c r="R99" s="17">
        <v>1</v>
      </c>
      <c r="S99" s="30">
        <v>742.09535000000005</v>
      </c>
      <c r="T99" s="14">
        <v>45005</v>
      </c>
      <c r="U99" s="30"/>
      <c r="V99" s="30" t="s">
        <v>59</v>
      </c>
    </row>
    <row r="100" spans="1:22" ht="62.4" x14ac:dyDescent="0.3">
      <c r="A100" s="30">
        <v>96</v>
      </c>
      <c r="B100" s="30" t="s">
        <v>40</v>
      </c>
      <c r="C100" s="12" t="s">
        <v>41</v>
      </c>
      <c r="D100" s="30"/>
      <c r="E100" s="30" t="s">
        <v>88</v>
      </c>
      <c r="F100" s="12" t="s">
        <v>165</v>
      </c>
      <c r="G100" s="12" t="s">
        <v>184</v>
      </c>
      <c r="H100" s="5">
        <v>365.38350000000003</v>
      </c>
      <c r="I100" s="17">
        <v>1</v>
      </c>
      <c r="J100" s="5">
        <v>365.38350000000003</v>
      </c>
      <c r="K100" s="5">
        <v>365.38350000000003</v>
      </c>
      <c r="L100" s="17">
        <v>1</v>
      </c>
      <c r="M100" s="5">
        <v>365.38350000000003</v>
      </c>
      <c r="N100" s="3" t="s">
        <v>276</v>
      </c>
      <c r="O100" s="14">
        <v>45005</v>
      </c>
      <c r="P100" s="13" t="str">
        <f>HYPERLINK("https://my.zakupki.prom.ua/remote/dispatcher/state_purchase_view/41519085", "UA-2023-03-20-009888-a")</f>
        <v>UA-2023-03-20-009888-a</v>
      </c>
      <c r="Q100" s="30">
        <v>365.38350000000003</v>
      </c>
      <c r="R100" s="17">
        <v>1</v>
      </c>
      <c r="S100" s="30">
        <v>365.38350000000003</v>
      </c>
      <c r="T100" s="14">
        <v>45005</v>
      </c>
      <c r="U100" s="30"/>
      <c r="V100" s="30" t="s">
        <v>59</v>
      </c>
    </row>
    <row r="101" spans="1:22" ht="62.4" x14ac:dyDescent="0.3">
      <c r="A101" s="30">
        <v>97</v>
      </c>
      <c r="B101" s="30" t="s">
        <v>40</v>
      </c>
      <c r="C101" s="12" t="s">
        <v>73</v>
      </c>
      <c r="D101" s="30"/>
      <c r="E101" s="30" t="s">
        <v>75</v>
      </c>
      <c r="F101" s="12" t="s">
        <v>166</v>
      </c>
      <c r="G101" s="12" t="s">
        <v>184</v>
      </c>
      <c r="H101" s="5">
        <v>1245.8333</v>
      </c>
      <c r="I101" s="17">
        <v>1</v>
      </c>
      <c r="J101" s="5">
        <v>1245.8333</v>
      </c>
      <c r="K101" s="5">
        <v>1245.8333</v>
      </c>
      <c r="L101" s="17">
        <v>1</v>
      </c>
      <c r="M101" s="5">
        <v>1245.8333</v>
      </c>
      <c r="N101" s="3" t="s">
        <v>277</v>
      </c>
      <c r="O101" s="14">
        <v>45005</v>
      </c>
      <c r="P101" s="13" t="str">
        <f>HYPERLINK("https://my.zakupki.prom.ua/remote/dispatcher/state_purchase_view/41512826", "UA-2023-03-20-007084-a")</f>
        <v>UA-2023-03-20-007084-a</v>
      </c>
      <c r="Q101" s="30">
        <v>1245.8333</v>
      </c>
      <c r="R101" s="17">
        <v>1</v>
      </c>
      <c r="S101" s="30">
        <v>1245.8333</v>
      </c>
      <c r="T101" s="14">
        <v>45005</v>
      </c>
      <c r="U101" s="30"/>
      <c r="V101" s="30" t="s">
        <v>59</v>
      </c>
    </row>
    <row r="102" spans="1:22" ht="46.8" x14ac:dyDescent="0.3">
      <c r="A102" s="30">
        <v>98</v>
      </c>
      <c r="B102" s="30" t="s">
        <v>21</v>
      </c>
      <c r="C102" s="12" t="s">
        <v>32</v>
      </c>
      <c r="D102" s="30" t="s">
        <v>58</v>
      </c>
      <c r="E102" s="30" t="s">
        <v>88</v>
      </c>
      <c r="F102" s="12" t="s">
        <v>167</v>
      </c>
      <c r="G102" s="12" t="s">
        <v>185</v>
      </c>
      <c r="H102" s="30"/>
      <c r="I102" s="17">
        <v>979</v>
      </c>
      <c r="J102" s="5">
        <v>727.25</v>
      </c>
      <c r="K102" s="30"/>
      <c r="L102" s="30">
        <v>979</v>
      </c>
      <c r="M102" s="30">
        <f>872.7/1.2</f>
        <v>727.25000000000011</v>
      </c>
      <c r="N102" s="3" t="s">
        <v>278</v>
      </c>
      <c r="O102" s="14">
        <v>45005</v>
      </c>
      <c r="P102" s="13" t="str">
        <f>HYPERLINK("https://my.zakupki.prom.ua/remote/dispatcher/state_purchase_view/41510975", "UA-2023-03-20-006270-a")</f>
        <v>UA-2023-03-20-006270-a</v>
      </c>
      <c r="Q102" s="30"/>
      <c r="R102" s="17">
        <v>939</v>
      </c>
      <c r="S102" s="30">
        <f>662.7/1.2</f>
        <v>552.25000000000011</v>
      </c>
      <c r="T102" s="31">
        <v>45019</v>
      </c>
      <c r="U102" s="30"/>
      <c r="V102" s="30"/>
    </row>
    <row r="103" spans="1:22" ht="78" x14ac:dyDescent="0.3">
      <c r="A103" s="30">
        <v>99</v>
      </c>
      <c r="B103" s="30" t="s">
        <v>21</v>
      </c>
      <c r="C103" s="12" t="s">
        <v>173</v>
      </c>
      <c r="D103" s="30" t="s">
        <v>58</v>
      </c>
      <c r="E103" s="30" t="s">
        <v>88</v>
      </c>
      <c r="F103" s="12" t="s">
        <v>168</v>
      </c>
      <c r="G103" s="12" t="s">
        <v>185</v>
      </c>
      <c r="H103" s="30"/>
      <c r="I103" s="17">
        <v>20</v>
      </c>
      <c r="J103" s="5">
        <v>89.4</v>
      </c>
      <c r="K103" s="30"/>
      <c r="L103" s="30">
        <v>20</v>
      </c>
      <c r="M103" s="30">
        <f>107.28/1.2</f>
        <v>89.4</v>
      </c>
      <c r="N103" s="3" t="s">
        <v>279</v>
      </c>
      <c r="O103" s="14">
        <v>45006</v>
      </c>
      <c r="P103" s="13" t="str">
        <f>HYPERLINK("https://my.zakupki.prom.ua/remote/dispatcher/state_purchase_view/41550489", "UA-2023-03-21-011539-a")</f>
        <v>UA-2023-03-21-011539-a</v>
      </c>
      <c r="Q103" s="30"/>
      <c r="R103" s="17"/>
      <c r="S103" s="30"/>
      <c r="T103" s="31"/>
      <c r="U103" s="16" t="s">
        <v>93</v>
      </c>
      <c r="V103" s="30"/>
    </row>
    <row r="104" spans="1:22" ht="46.8" x14ac:dyDescent="0.3">
      <c r="A104" s="30">
        <v>100</v>
      </c>
      <c r="B104" s="30" t="s">
        <v>21</v>
      </c>
      <c r="C104" s="12" t="s">
        <v>173</v>
      </c>
      <c r="D104" s="30" t="s">
        <v>58</v>
      </c>
      <c r="E104" s="30" t="s">
        <v>88</v>
      </c>
      <c r="F104" s="12" t="s">
        <v>169</v>
      </c>
      <c r="G104" s="12" t="s">
        <v>185</v>
      </c>
      <c r="H104" s="30"/>
      <c r="I104" s="17">
        <v>1</v>
      </c>
      <c r="J104" s="5">
        <v>140</v>
      </c>
      <c r="K104" s="30"/>
      <c r="L104" s="30">
        <v>1</v>
      </c>
      <c r="M104" s="30">
        <f>168/1.2</f>
        <v>140</v>
      </c>
      <c r="N104" s="3" t="s">
        <v>280</v>
      </c>
      <c r="O104" s="14">
        <v>45006</v>
      </c>
      <c r="P104" s="13" t="str">
        <f>HYPERLINK("https://my.zakupki.prom.ua/remote/dispatcher/state_purchase_view/41548910", "UA-2023-03-21-010868-a")</f>
        <v>UA-2023-03-21-010868-a</v>
      </c>
      <c r="Q104" s="30"/>
      <c r="R104" s="17">
        <v>1</v>
      </c>
      <c r="S104" s="30">
        <f>167.49/1.2</f>
        <v>139.57500000000002</v>
      </c>
      <c r="T104" s="31">
        <v>45030</v>
      </c>
      <c r="U104" s="30"/>
      <c r="V104" s="30"/>
    </row>
    <row r="105" spans="1:22" ht="78" x14ac:dyDescent="0.3">
      <c r="A105" s="30">
        <v>101</v>
      </c>
      <c r="B105" s="30" t="s">
        <v>40</v>
      </c>
      <c r="C105" s="12" t="s">
        <v>41</v>
      </c>
      <c r="D105" s="30" t="s">
        <v>58</v>
      </c>
      <c r="E105" s="30" t="s">
        <v>88</v>
      </c>
      <c r="F105" s="12" t="s">
        <v>193</v>
      </c>
      <c r="G105" s="12" t="s">
        <v>184</v>
      </c>
      <c r="H105" s="5">
        <v>2679.66</v>
      </c>
      <c r="I105" s="17">
        <v>1</v>
      </c>
      <c r="J105" s="5">
        <v>2679.66</v>
      </c>
      <c r="K105" s="5">
        <v>2679.66</v>
      </c>
      <c r="L105" s="17">
        <v>1</v>
      </c>
      <c r="M105" s="5">
        <v>2679.66</v>
      </c>
      <c r="N105" s="3" t="s">
        <v>281</v>
      </c>
      <c r="O105" s="14">
        <v>45007</v>
      </c>
      <c r="P105" s="13" t="str">
        <f>HYPERLINK("https://my.zakupki.prom.ua/remote/dispatcher/state_purchase_view/41576956", "UA-2023-03-22-010199-a")</f>
        <v>UA-2023-03-22-010199-a</v>
      </c>
      <c r="Q105" s="30"/>
      <c r="R105" s="17">
        <v>1</v>
      </c>
      <c r="S105" s="5">
        <v>2679.66</v>
      </c>
      <c r="T105" s="31">
        <v>45022</v>
      </c>
      <c r="U105" s="30"/>
      <c r="V105" s="30"/>
    </row>
    <row r="106" spans="1:22" ht="46.8" x14ac:dyDescent="0.3">
      <c r="A106" s="30">
        <v>102</v>
      </c>
      <c r="B106" s="30" t="s">
        <v>40</v>
      </c>
      <c r="C106" s="12" t="s">
        <v>41</v>
      </c>
      <c r="D106" s="30" t="s">
        <v>58</v>
      </c>
      <c r="E106" s="30" t="s">
        <v>88</v>
      </c>
      <c r="F106" s="12" t="s">
        <v>357</v>
      </c>
      <c r="G106" s="12" t="s">
        <v>184</v>
      </c>
      <c r="H106" s="5">
        <v>17914.346766666669</v>
      </c>
      <c r="I106" s="17">
        <v>1</v>
      </c>
      <c r="J106" s="5">
        <v>17914.346766666669</v>
      </c>
      <c r="K106" s="5">
        <v>17914.346766666669</v>
      </c>
      <c r="L106" s="17">
        <v>1</v>
      </c>
      <c r="M106" s="5">
        <v>17914.346766666669</v>
      </c>
      <c r="N106" s="3" t="s">
        <v>282</v>
      </c>
      <c r="O106" s="14">
        <v>45007</v>
      </c>
      <c r="P106" s="13" t="str">
        <f>HYPERLINK("https://my.zakupki.prom.ua/remote/dispatcher/state_purchase_view/41563913", "UA-2023-03-22-004354-a")</f>
        <v>UA-2023-03-22-004354-a</v>
      </c>
      <c r="Q106" s="30"/>
      <c r="R106" s="17"/>
      <c r="S106" s="30"/>
      <c r="T106" s="31"/>
      <c r="U106" s="30" t="s">
        <v>458</v>
      </c>
      <c r="V106" s="30"/>
    </row>
    <row r="107" spans="1:22" ht="78" x14ac:dyDescent="0.3">
      <c r="A107" s="30">
        <v>103</v>
      </c>
      <c r="B107" s="30" t="s">
        <v>40</v>
      </c>
      <c r="C107" s="12" t="s">
        <v>41</v>
      </c>
      <c r="D107" s="30" t="s">
        <v>58</v>
      </c>
      <c r="E107" s="30" t="s">
        <v>88</v>
      </c>
      <c r="F107" s="12" t="s">
        <v>358</v>
      </c>
      <c r="G107" s="12" t="s">
        <v>184</v>
      </c>
      <c r="H107" s="30">
        <v>17914.346766666669</v>
      </c>
      <c r="I107" s="17">
        <v>1</v>
      </c>
      <c r="J107" s="5">
        <v>17914.346766666669</v>
      </c>
      <c r="K107" s="30">
        <v>17914.346766666669</v>
      </c>
      <c r="L107" s="17">
        <v>1</v>
      </c>
      <c r="M107" s="5">
        <v>17914.346766666669</v>
      </c>
      <c r="N107" s="3" t="s">
        <v>282</v>
      </c>
      <c r="O107" s="14">
        <v>45007</v>
      </c>
      <c r="P107" s="13" t="str">
        <f>HYPERLINK("https://my.zakupki.prom.ua/remote/dispatcher/state_purchase_view/41563913", "UA-2023-03-22-004354-a")</f>
        <v>UA-2023-03-22-004354-a</v>
      </c>
      <c r="Q107" s="30"/>
      <c r="R107" s="30"/>
      <c r="S107" s="30"/>
      <c r="T107" s="31"/>
      <c r="U107" s="16" t="s">
        <v>93</v>
      </c>
      <c r="V107" s="30"/>
    </row>
    <row r="108" spans="1:22" ht="140.4" x14ac:dyDescent="0.3">
      <c r="A108" s="30">
        <v>104</v>
      </c>
      <c r="B108" s="30" t="s">
        <v>40</v>
      </c>
      <c r="C108" s="12" t="s">
        <v>73</v>
      </c>
      <c r="D108" s="30"/>
      <c r="E108" s="30" t="s">
        <v>75</v>
      </c>
      <c r="F108" s="12" t="s">
        <v>224</v>
      </c>
      <c r="G108" s="12" t="s">
        <v>184</v>
      </c>
      <c r="H108" s="30">
        <v>186.94049166666667</v>
      </c>
      <c r="I108" s="17">
        <v>1</v>
      </c>
      <c r="J108" s="5">
        <f>224328.59/1.2/1000</f>
        <v>186.94049166666667</v>
      </c>
      <c r="K108" s="30">
        <v>186.94049166666667</v>
      </c>
      <c r="L108" s="17">
        <v>1</v>
      </c>
      <c r="M108" s="5">
        <f>224328.59/1.2/1000</f>
        <v>186.94049166666667</v>
      </c>
      <c r="N108" s="3" t="s">
        <v>283</v>
      </c>
      <c r="O108" s="14">
        <v>45008</v>
      </c>
      <c r="P108" s="13" t="str">
        <f>HYPERLINK("https://my.zakupki.prom.ua/remote/dispatcher/state_purchase_view/41607111", "UA-2023-03-23-011146-a")</f>
        <v>UA-2023-03-23-011146-a</v>
      </c>
      <c r="Q108" s="30">
        <f>224.32859/1.2</f>
        <v>186.94049166666667</v>
      </c>
      <c r="R108" s="17">
        <v>1</v>
      </c>
      <c r="S108" s="30">
        <f>224.32859/1.2</f>
        <v>186.94049166666667</v>
      </c>
      <c r="T108" s="14">
        <v>45008</v>
      </c>
      <c r="U108" s="30"/>
      <c r="V108" s="30" t="s">
        <v>59</v>
      </c>
    </row>
    <row r="109" spans="1:22" ht="156" x14ac:dyDescent="0.3">
      <c r="A109" s="30">
        <v>105</v>
      </c>
      <c r="B109" s="30" t="s">
        <v>40</v>
      </c>
      <c r="C109" s="12" t="s">
        <v>73</v>
      </c>
      <c r="D109" s="30"/>
      <c r="E109" s="30" t="s">
        <v>75</v>
      </c>
      <c r="F109" s="12" t="s">
        <v>225</v>
      </c>
      <c r="G109" s="12" t="s">
        <v>184</v>
      </c>
      <c r="H109" s="30">
        <v>176.64009166666668</v>
      </c>
      <c r="I109" s="17">
        <v>1</v>
      </c>
      <c r="J109" s="5">
        <v>176.64009166666668</v>
      </c>
      <c r="K109" s="30">
        <v>176.64009166666668</v>
      </c>
      <c r="L109" s="17">
        <v>1</v>
      </c>
      <c r="M109" s="5">
        <v>176.64009166666668</v>
      </c>
      <c r="N109" s="3" t="s">
        <v>284</v>
      </c>
      <c r="O109" s="14">
        <v>45008</v>
      </c>
      <c r="P109" s="13" t="str">
        <f>HYPERLINK("https://my.zakupki.prom.ua/remote/dispatcher/state_purchase_view/41606604", "UA-2023-03-23-010947-a")</f>
        <v>UA-2023-03-23-010947-a</v>
      </c>
      <c r="Q109" s="30">
        <v>176.64009999999999</v>
      </c>
      <c r="R109" s="17">
        <v>1</v>
      </c>
      <c r="S109" s="30">
        <v>176.64009999999999</v>
      </c>
      <c r="T109" s="14">
        <v>45008</v>
      </c>
      <c r="U109" s="30"/>
      <c r="V109" s="30" t="s">
        <v>59</v>
      </c>
    </row>
    <row r="110" spans="1:22" ht="171.6" x14ac:dyDescent="0.3">
      <c r="A110" s="30">
        <v>106</v>
      </c>
      <c r="B110" s="30" t="s">
        <v>40</v>
      </c>
      <c r="C110" s="12" t="s">
        <v>73</v>
      </c>
      <c r="D110" s="30"/>
      <c r="E110" s="30" t="s">
        <v>75</v>
      </c>
      <c r="F110" s="12" t="s">
        <v>226</v>
      </c>
      <c r="G110" s="12" t="s">
        <v>184</v>
      </c>
      <c r="H110" s="30">
        <v>128.66041666666669</v>
      </c>
      <c r="I110" s="17">
        <v>1</v>
      </c>
      <c r="J110" s="5">
        <v>128.66041666666669</v>
      </c>
      <c r="K110" s="30">
        <v>128.66041666666669</v>
      </c>
      <c r="L110" s="17">
        <v>1</v>
      </c>
      <c r="M110" s="5">
        <v>128.66041666666669</v>
      </c>
      <c r="N110" s="3" t="s">
        <v>285</v>
      </c>
      <c r="O110" s="14">
        <v>45008</v>
      </c>
      <c r="P110" s="13" t="str">
        <f>HYPERLINK("https://my.zakupki.prom.ua/remote/dispatcher/state_purchase_view/41606245", "UA-2023-03-23-010751-a")</f>
        <v>UA-2023-03-23-010751-a</v>
      </c>
      <c r="Q110" s="30">
        <v>128.66041999999999</v>
      </c>
      <c r="R110" s="17">
        <v>1</v>
      </c>
      <c r="S110" s="30">
        <v>128.66041999999999</v>
      </c>
      <c r="T110" s="14">
        <v>45008</v>
      </c>
      <c r="U110" s="30"/>
      <c r="V110" s="30" t="s">
        <v>59</v>
      </c>
    </row>
    <row r="111" spans="1:22" ht="156" x14ac:dyDescent="0.3">
      <c r="A111" s="30">
        <v>107</v>
      </c>
      <c r="B111" s="30" t="s">
        <v>40</v>
      </c>
      <c r="C111" s="12" t="s">
        <v>73</v>
      </c>
      <c r="D111" s="30"/>
      <c r="E111" s="30" t="s">
        <v>75</v>
      </c>
      <c r="F111" s="12" t="s">
        <v>227</v>
      </c>
      <c r="G111" s="12" t="s">
        <v>184</v>
      </c>
      <c r="H111" s="30">
        <v>248.58900000000003</v>
      </c>
      <c r="I111" s="17">
        <v>1</v>
      </c>
      <c r="J111" s="5">
        <v>248.58900000000003</v>
      </c>
      <c r="K111" s="30">
        <v>248.58900000000003</v>
      </c>
      <c r="L111" s="17">
        <v>1</v>
      </c>
      <c r="M111" s="5">
        <v>248.58900000000003</v>
      </c>
      <c r="N111" s="3" t="s">
        <v>286</v>
      </c>
      <c r="O111" s="14">
        <v>45008</v>
      </c>
      <c r="P111" s="13" t="str">
        <f>HYPERLINK("https://my.zakupki.prom.ua/remote/dispatcher/state_purchase_view/41606005", "UA-2023-03-23-010680-a")</f>
        <v>UA-2023-03-23-010680-a</v>
      </c>
      <c r="Q111" s="30">
        <v>248.589</v>
      </c>
      <c r="R111" s="17">
        <v>1</v>
      </c>
      <c r="S111" s="30">
        <v>248.589</v>
      </c>
      <c r="T111" s="14">
        <v>45008</v>
      </c>
      <c r="U111" s="30"/>
      <c r="V111" s="30" t="s">
        <v>59</v>
      </c>
    </row>
    <row r="112" spans="1:22" ht="156" x14ac:dyDescent="0.3">
      <c r="A112" s="30">
        <v>108</v>
      </c>
      <c r="B112" s="30" t="s">
        <v>40</v>
      </c>
      <c r="C112" s="12" t="s">
        <v>73</v>
      </c>
      <c r="D112" s="30"/>
      <c r="E112" s="30" t="s">
        <v>75</v>
      </c>
      <c r="F112" s="12" t="s">
        <v>228</v>
      </c>
      <c r="G112" s="12" t="s">
        <v>184</v>
      </c>
      <c r="H112" s="30">
        <v>192.21574999999999</v>
      </c>
      <c r="I112" s="17">
        <v>1</v>
      </c>
      <c r="J112" s="5">
        <v>192.21574999999999</v>
      </c>
      <c r="K112" s="30">
        <v>192.21574999999999</v>
      </c>
      <c r="L112" s="17">
        <v>1</v>
      </c>
      <c r="M112" s="5">
        <v>192.21574999999999</v>
      </c>
      <c r="N112" s="3" t="s">
        <v>287</v>
      </c>
      <c r="O112" s="14">
        <v>45008</v>
      </c>
      <c r="P112" s="13" t="str">
        <f>HYPERLINK("https://my.zakupki.prom.ua/remote/dispatcher/state_purchase_view/41605692", "UA-2023-03-23-010505-a")</f>
        <v>UA-2023-03-23-010505-a</v>
      </c>
      <c r="Q112" s="30">
        <v>230.65889999999999</v>
      </c>
      <c r="R112" s="17">
        <v>1</v>
      </c>
      <c r="S112" s="30">
        <v>230.65889999999999</v>
      </c>
      <c r="T112" s="14">
        <v>45008</v>
      </c>
      <c r="U112" s="30"/>
      <c r="V112" s="30" t="s">
        <v>59</v>
      </c>
    </row>
    <row r="113" spans="1:22" ht="156" x14ac:dyDescent="0.3">
      <c r="A113" s="30">
        <v>109</v>
      </c>
      <c r="B113" s="30" t="s">
        <v>40</v>
      </c>
      <c r="C113" s="12" t="s">
        <v>73</v>
      </c>
      <c r="D113" s="30"/>
      <c r="E113" s="30" t="s">
        <v>75</v>
      </c>
      <c r="F113" s="12" t="s">
        <v>229</v>
      </c>
      <c r="G113" s="12" t="s">
        <v>184</v>
      </c>
      <c r="H113" s="30">
        <v>201.14333333333335</v>
      </c>
      <c r="I113" s="17">
        <v>1</v>
      </c>
      <c r="J113" s="5">
        <v>201.14333333333335</v>
      </c>
      <c r="K113" s="30">
        <v>201.14333333333335</v>
      </c>
      <c r="L113" s="17">
        <v>1</v>
      </c>
      <c r="M113" s="5">
        <v>201.14333333333335</v>
      </c>
      <c r="N113" s="3" t="s">
        <v>288</v>
      </c>
      <c r="O113" s="14">
        <v>45008</v>
      </c>
      <c r="P113" s="13" t="str">
        <f>HYPERLINK("https://my.zakupki.prom.ua/remote/dispatcher/state_purchase_view/41605571", "UA-2023-03-23-010434-a")</f>
        <v>UA-2023-03-23-010434-a</v>
      </c>
      <c r="Q113" s="30">
        <v>201.14333999999999</v>
      </c>
      <c r="R113" s="17">
        <v>1</v>
      </c>
      <c r="S113" s="30">
        <v>201.14333999999999</v>
      </c>
      <c r="T113" s="14">
        <v>45008</v>
      </c>
      <c r="U113" s="30"/>
      <c r="V113" s="30" t="s">
        <v>59</v>
      </c>
    </row>
    <row r="114" spans="1:22" ht="171.6" x14ac:dyDescent="0.3">
      <c r="A114" s="30">
        <v>110</v>
      </c>
      <c r="B114" s="30" t="s">
        <v>40</v>
      </c>
      <c r="C114" s="12" t="s">
        <v>73</v>
      </c>
      <c r="D114" s="30"/>
      <c r="E114" s="30" t="s">
        <v>75</v>
      </c>
      <c r="F114" s="12" t="s">
        <v>230</v>
      </c>
      <c r="G114" s="12" t="s">
        <v>184</v>
      </c>
      <c r="H114" s="30">
        <v>200.39616666666669</v>
      </c>
      <c r="I114" s="17">
        <v>1</v>
      </c>
      <c r="J114" s="5">
        <v>200.39616666666669</v>
      </c>
      <c r="K114" s="30">
        <v>200.39616666666669</v>
      </c>
      <c r="L114" s="17">
        <v>1</v>
      </c>
      <c r="M114" s="5">
        <v>200.39616666666669</v>
      </c>
      <c r="N114" s="3" t="s">
        <v>289</v>
      </c>
      <c r="O114" s="14">
        <v>45008</v>
      </c>
      <c r="P114" s="13" t="str">
        <f>HYPERLINK("https://my.zakupki.prom.ua/remote/dispatcher/state_purchase_view/41605144", "UA-2023-03-23-010247-a")</f>
        <v>UA-2023-03-23-010247-a</v>
      </c>
      <c r="Q114" s="30">
        <v>200.39617000000001</v>
      </c>
      <c r="R114" s="17">
        <v>1</v>
      </c>
      <c r="S114" s="30">
        <v>200.39617000000001</v>
      </c>
      <c r="T114" s="14">
        <v>45008</v>
      </c>
      <c r="U114" s="30"/>
      <c r="V114" s="30" t="s">
        <v>59</v>
      </c>
    </row>
    <row r="115" spans="1:22" ht="62.4" x14ac:dyDescent="0.3">
      <c r="A115" s="30">
        <v>111</v>
      </c>
      <c r="B115" s="18" t="s">
        <v>184</v>
      </c>
      <c r="C115" s="12" t="s">
        <v>73</v>
      </c>
      <c r="D115" s="30"/>
      <c r="E115" s="30" t="s">
        <v>75</v>
      </c>
      <c r="F115" s="12" t="s">
        <v>290</v>
      </c>
      <c r="G115" s="12" t="s">
        <v>184</v>
      </c>
      <c r="H115" s="30">
        <v>82.108391666666677</v>
      </c>
      <c r="I115" s="19">
        <v>1</v>
      </c>
      <c r="J115" s="30">
        <v>82.108391666666677</v>
      </c>
      <c r="K115" s="30">
        <v>82.108391666666677</v>
      </c>
      <c r="L115" s="19">
        <v>1</v>
      </c>
      <c r="M115" s="30">
        <v>82.108391666666677</v>
      </c>
      <c r="N115" s="3" t="s">
        <v>301</v>
      </c>
      <c r="O115" s="31">
        <v>45012</v>
      </c>
      <c r="P115" s="20" t="str">
        <f>HYPERLINK("https://my.zakupki.prom.ua/remote/dispatcher/state_purchase_view/41650806", "UA-2023-03-27-006723-a")</f>
        <v>UA-2023-03-27-006723-a</v>
      </c>
      <c r="Q115" s="30">
        <v>82.10839</v>
      </c>
      <c r="R115" s="30">
        <v>1</v>
      </c>
      <c r="S115" s="30">
        <v>82.10839</v>
      </c>
      <c r="T115" s="31">
        <v>45012</v>
      </c>
      <c r="U115" s="30"/>
      <c r="V115" s="30" t="s">
        <v>59</v>
      </c>
    </row>
    <row r="116" spans="1:22" ht="62.4" x14ac:dyDescent="0.3">
      <c r="A116" s="30">
        <v>112</v>
      </c>
      <c r="B116" s="18" t="s">
        <v>184</v>
      </c>
      <c r="C116" s="12" t="s">
        <v>73</v>
      </c>
      <c r="D116" s="30"/>
      <c r="E116" s="30" t="s">
        <v>75</v>
      </c>
      <c r="F116" s="12" t="s">
        <v>291</v>
      </c>
      <c r="G116" s="12" t="s">
        <v>184</v>
      </c>
      <c r="H116" s="30">
        <v>150.86134166666665</v>
      </c>
      <c r="I116" s="19">
        <v>1</v>
      </c>
      <c r="J116" s="30">
        <v>150.86134166666665</v>
      </c>
      <c r="K116" s="30">
        <v>150.86134166666665</v>
      </c>
      <c r="L116" s="19">
        <v>1</v>
      </c>
      <c r="M116" s="30">
        <v>150.86134166666665</v>
      </c>
      <c r="N116" s="3" t="s">
        <v>302</v>
      </c>
      <c r="O116" s="31">
        <v>45012</v>
      </c>
      <c r="P116" s="20" t="str">
        <f>HYPERLINK("https://my.zakupki.prom.ua/remote/dispatcher/state_purchase_view/41649991", "UA-2023-03-27-006317-a")</f>
        <v>UA-2023-03-27-006317-a</v>
      </c>
      <c r="Q116" s="30">
        <v>150.86134000000001</v>
      </c>
      <c r="R116" s="30">
        <v>1</v>
      </c>
      <c r="S116" s="30">
        <v>150.86134000000001</v>
      </c>
      <c r="T116" s="31">
        <v>45012</v>
      </c>
      <c r="U116" s="30"/>
      <c r="V116" s="30" t="s">
        <v>59</v>
      </c>
    </row>
    <row r="117" spans="1:22" ht="62.4" x14ac:dyDescent="0.3">
      <c r="A117" s="30">
        <v>113</v>
      </c>
      <c r="B117" s="18" t="s">
        <v>184</v>
      </c>
      <c r="C117" s="12" t="s">
        <v>73</v>
      </c>
      <c r="D117" s="30"/>
      <c r="E117" s="30" t="s">
        <v>75</v>
      </c>
      <c r="F117" s="12" t="s">
        <v>292</v>
      </c>
      <c r="G117" s="12" t="s">
        <v>184</v>
      </c>
      <c r="H117" s="30">
        <v>197.69570833333333</v>
      </c>
      <c r="I117" s="19">
        <v>1</v>
      </c>
      <c r="J117" s="30">
        <v>197.69570833333333</v>
      </c>
      <c r="K117" s="30">
        <v>197.69570833333333</v>
      </c>
      <c r="L117" s="19">
        <v>1</v>
      </c>
      <c r="M117" s="30">
        <v>197.69570833333333</v>
      </c>
      <c r="N117" s="3" t="s">
        <v>303</v>
      </c>
      <c r="O117" s="31">
        <v>45012</v>
      </c>
      <c r="P117" s="20" t="str">
        <f>HYPERLINK("https://my.zakupki.prom.ua/remote/dispatcher/state_purchase_view/41648944", "UA-2023-03-27-005875-a")</f>
        <v>UA-2023-03-27-005875-a</v>
      </c>
      <c r="Q117" s="30">
        <v>197.69570999999999</v>
      </c>
      <c r="R117" s="30">
        <v>1</v>
      </c>
      <c r="S117" s="30">
        <v>197.69570999999999</v>
      </c>
      <c r="T117" s="31">
        <v>45012</v>
      </c>
      <c r="U117" s="30"/>
      <c r="V117" s="30" t="s">
        <v>59</v>
      </c>
    </row>
    <row r="118" spans="1:22" ht="171.6" x14ac:dyDescent="0.3">
      <c r="A118" s="30">
        <v>114</v>
      </c>
      <c r="B118" s="18" t="s">
        <v>184</v>
      </c>
      <c r="C118" s="12" t="s">
        <v>73</v>
      </c>
      <c r="D118" s="30"/>
      <c r="E118" s="30" t="s">
        <v>75</v>
      </c>
      <c r="F118" s="12" t="s">
        <v>293</v>
      </c>
      <c r="G118" s="12" t="s">
        <v>184</v>
      </c>
      <c r="H118" s="30">
        <v>232.07635000000002</v>
      </c>
      <c r="I118" s="19">
        <v>1</v>
      </c>
      <c r="J118" s="30">
        <v>232.07635000000002</v>
      </c>
      <c r="K118" s="30">
        <v>232.07635000000002</v>
      </c>
      <c r="L118" s="19">
        <v>1</v>
      </c>
      <c r="M118" s="30">
        <v>232.07635000000002</v>
      </c>
      <c r="N118" s="3" t="s">
        <v>304</v>
      </c>
      <c r="O118" s="31">
        <v>45012</v>
      </c>
      <c r="P118" s="20" t="str">
        <f>HYPERLINK("https://my.zakupki.prom.ua/remote/dispatcher/state_purchase_view/41648147", "UA-2023-03-27-005517-a")</f>
        <v>UA-2023-03-27-005517-a</v>
      </c>
      <c r="Q118" s="30">
        <v>232.07634999999999</v>
      </c>
      <c r="R118" s="30">
        <v>1</v>
      </c>
      <c r="S118" s="30">
        <v>232.07634999999999</v>
      </c>
      <c r="T118" s="31">
        <v>45012</v>
      </c>
      <c r="U118" s="30"/>
      <c r="V118" s="30" t="s">
        <v>59</v>
      </c>
    </row>
    <row r="119" spans="1:22" ht="187.2" x14ac:dyDescent="0.3">
      <c r="A119" s="30">
        <v>115</v>
      </c>
      <c r="B119" s="18" t="s">
        <v>184</v>
      </c>
      <c r="C119" s="12" t="s">
        <v>73</v>
      </c>
      <c r="D119" s="30"/>
      <c r="E119" s="30" t="s">
        <v>75</v>
      </c>
      <c r="F119" s="12" t="s">
        <v>294</v>
      </c>
      <c r="G119" s="12" t="s">
        <v>184</v>
      </c>
      <c r="H119" s="30">
        <v>52.414616666666667</v>
      </c>
      <c r="I119" s="19">
        <v>1</v>
      </c>
      <c r="J119" s="30">
        <v>52.414616666666667</v>
      </c>
      <c r="K119" s="30">
        <v>52.414616666666667</v>
      </c>
      <c r="L119" s="19">
        <v>1</v>
      </c>
      <c r="M119" s="30">
        <v>52.414616666666667</v>
      </c>
      <c r="N119" s="3" t="s">
        <v>305</v>
      </c>
      <c r="O119" s="31">
        <v>45012</v>
      </c>
      <c r="P119" s="20" t="str">
        <f>HYPERLINK("https://my.zakupki.prom.ua/remote/dispatcher/state_purchase_view/41647901", "UA-2023-03-27-005437-a")</f>
        <v>UA-2023-03-27-005437-a</v>
      </c>
      <c r="Q119" s="30">
        <v>52.414619999999999</v>
      </c>
      <c r="R119" s="30">
        <v>1</v>
      </c>
      <c r="S119" s="30">
        <v>52.414619999999999</v>
      </c>
      <c r="T119" s="31">
        <v>45012</v>
      </c>
      <c r="U119" s="30"/>
      <c r="V119" s="30" t="s">
        <v>59</v>
      </c>
    </row>
    <row r="120" spans="1:22" ht="171.6" x14ac:dyDescent="0.3">
      <c r="A120" s="30">
        <v>116</v>
      </c>
      <c r="B120" s="18" t="s">
        <v>184</v>
      </c>
      <c r="C120" s="12" t="s">
        <v>73</v>
      </c>
      <c r="D120" s="30"/>
      <c r="E120" s="30" t="s">
        <v>75</v>
      </c>
      <c r="F120" s="12" t="s">
        <v>295</v>
      </c>
      <c r="G120" s="12" t="s">
        <v>184</v>
      </c>
      <c r="H120" s="30">
        <v>238.34789166666664</v>
      </c>
      <c r="I120" s="19">
        <v>1</v>
      </c>
      <c r="J120" s="30">
        <v>238.34789166666664</v>
      </c>
      <c r="K120" s="30">
        <v>238.34789166666664</v>
      </c>
      <c r="L120" s="19">
        <v>1</v>
      </c>
      <c r="M120" s="30">
        <v>238.34789166666664</v>
      </c>
      <c r="N120" s="3" t="s">
        <v>306</v>
      </c>
      <c r="O120" s="31">
        <v>45012</v>
      </c>
      <c r="P120" s="20" t="str">
        <f>HYPERLINK("https://my.zakupki.prom.ua/remote/dispatcher/state_purchase_view/41645351", "UA-2023-03-27-004288-a")</f>
        <v>UA-2023-03-27-004288-a</v>
      </c>
      <c r="Q120" s="30">
        <v>238.34790000000001</v>
      </c>
      <c r="R120" s="30">
        <v>1</v>
      </c>
      <c r="S120" s="30">
        <v>238.34790000000001</v>
      </c>
      <c r="T120" s="31">
        <v>45012</v>
      </c>
      <c r="U120" s="30"/>
      <c r="V120" s="30" t="s">
        <v>59</v>
      </c>
    </row>
    <row r="121" spans="1:22" ht="171.6" x14ac:dyDescent="0.3">
      <c r="A121" s="30">
        <v>117</v>
      </c>
      <c r="B121" s="18" t="s">
        <v>184</v>
      </c>
      <c r="C121" s="12" t="s">
        <v>73</v>
      </c>
      <c r="D121" s="30"/>
      <c r="E121" s="30" t="s">
        <v>75</v>
      </c>
      <c r="F121" s="12" t="s">
        <v>296</v>
      </c>
      <c r="G121" s="12" t="s">
        <v>184</v>
      </c>
      <c r="H121" s="30">
        <v>111.73391666666667</v>
      </c>
      <c r="I121" s="19">
        <v>1</v>
      </c>
      <c r="J121" s="30">
        <v>111.73391666666667</v>
      </c>
      <c r="K121" s="30">
        <v>111.73391666666667</v>
      </c>
      <c r="L121" s="19">
        <v>1</v>
      </c>
      <c r="M121" s="30">
        <v>111.73391666666667</v>
      </c>
      <c r="N121" s="3" t="s">
        <v>307</v>
      </c>
      <c r="O121" s="31">
        <v>45012</v>
      </c>
      <c r="P121" s="20" t="str">
        <f>HYPERLINK("https://my.zakupki.prom.ua/remote/dispatcher/state_purchase_view/41644671", "UA-2023-03-27-004027-a")</f>
        <v>UA-2023-03-27-004027-a</v>
      </c>
      <c r="Q121" s="30">
        <v>111.73392</v>
      </c>
      <c r="R121" s="30">
        <v>1</v>
      </c>
      <c r="S121" s="30">
        <v>111.73392</v>
      </c>
      <c r="T121" s="31">
        <v>45012</v>
      </c>
      <c r="U121" s="30"/>
      <c r="V121" s="30" t="s">
        <v>59</v>
      </c>
    </row>
    <row r="122" spans="1:22" ht="93.6" x14ac:dyDescent="0.3">
      <c r="A122" s="30">
        <v>118</v>
      </c>
      <c r="B122" s="18" t="s">
        <v>184</v>
      </c>
      <c r="C122" s="12" t="s">
        <v>41</v>
      </c>
      <c r="D122" s="30"/>
      <c r="E122" s="30" t="s">
        <v>88</v>
      </c>
      <c r="F122" s="12" t="s">
        <v>297</v>
      </c>
      <c r="G122" s="12" t="s">
        <v>184</v>
      </c>
      <c r="H122" s="30">
        <v>260.60821666666664</v>
      </c>
      <c r="I122" s="19">
        <v>1</v>
      </c>
      <c r="J122" s="30">
        <v>260.60821666666664</v>
      </c>
      <c r="K122" s="30">
        <v>260.60821666666664</v>
      </c>
      <c r="L122" s="19">
        <v>1</v>
      </c>
      <c r="M122" s="30">
        <v>260.60821666666664</v>
      </c>
      <c r="N122" s="3" t="s">
        <v>308</v>
      </c>
      <c r="O122" s="31">
        <v>45012</v>
      </c>
      <c r="P122" s="20" t="str">
        <f>HYPERLINK("https://my.zakupki.prom.ua/remote/dispatcher/state_purchase_view/41677151", "UA-2023-03-28-006365-a")</f>
        <v>UA-2023-03-28-006365-a</v>
      </c>
      <c r="Q122" s="30">
        <v>260.60822000000002</v>
      </c>
      <c r="R122" s="30">
        <v>1</v>
      </c>
      <c r="S122" s="30">
        <v>260.60822000000002</v>
      </c>
      <c r="T122" s="31">
        <v>45012</v>
      </c>
      <c r="U122" s="30"/>
      <c r="V122" s="30" t="s">
        <v>59</v>
      </c>
    </row>
    <row r="123" spans="1:22" ht="78" x14ac:dyDescent="0.3">
      <c r="A123" s="30">
        <v>119</v>
      </c>
      <c r="B123" s="18" t="s">
        <v>21</v>
      </c>
      <c r="C123" s="12" t="s">
        <v>300</v>
      </c>
      <c r="D123" s="30" t="s">
        <v>58</v>
      </c>
      <c r="E123" s="30" t="s">
        <v>88</v>
      </c>
      <c r="F123" s="12" t="s">
        <v>298</v>
      </c>
      <c r="G123" s="12" t="s">
        <v>186</v>
      </c>
      <c r="H123" s="30"/>
      <c r="I123" s="19">
        <v>3</v>
      </c>
      <c r="J123" s="30">
        <v>225</v>
      </c>
      <c r="K123" s="30"/>
      <c r="L123" s="19">
        <v>3</v>
      </c>
      <c r="M123" s="30">
        <v>225</v>
      </c>
      <c r="N123" s="3" t="s">
        <v>309</v>
      </c>
      <c r="O123" s="31">
        <v>45013</v>
      </c>
      <c r="P123" s="20" t="str">
        <f>HYPERLINK("https://my.zakupki.prom.ua/remote/dispatcher/state_purchase_view/41675945", "UA-2023-03-28-005844-a")</f>
        <v>UA-2023-03-28-005844-a</v>
      </c>
      <c r="Q123" s="30"/>
      <c r="R123" s="30">
        <v>3</v>
      </c>
      <c r="S123" s="30">
        <f>236.84214/1.2</f>
        <v>197.36845</v>
      </c>
      <c r="T123" s="31">
        <v>45029</v>
      </c>
      <c r="U123" s="30"/>
      <c r="V123" s="30"/>
    </row>
    <row r="124" spans="1:22" ht="93.6" x14ac:dyDescent="0.3">
      <c r="A124" s="30">
        <v>120</v>
      </c>
      <c r="B124" s="18" t="s">
        <v>184</v>
      </c>
      <c r="C124" s="12" t="s">
        <v>41</v>
      </c>
      <c r="D124" s="30"/>
      <c r="E124" s="30" t="s">
        <v>88</v>
      </c>
      <c r="F124" s="12" t="s">
        <v>299</v>
      </c>
      <c r="G124" s="12" t="s">
        <v>184</v>
      </c>
      <c r="H124" s="30">
        <v>92.896299999999997</v>
      </c>
      <c r="I124" s="19">
        <v>1</v>
      </c>
      <c r="J124" s="30">
        <v>92.896299999999997</v>
      </c>
      <c r="K124" s="30">
        <v>92.896299999999997</v>
      </c>
      <c r="L124" s="19">
        <v>1</v>
      </c>
      <c r="M124" s="30">
        <v>92.896299999999997</v>
      </c>
      <c r="N124" s="3" t="s">
        <v>310</v>
      </c>
      <c r="O124" s="31">
        <v>45013</v>
      </c>
      <c r="P124" s="20" t="str">
        <f>HYPERLINK("https://my.zakupki.prom.ua/remote/dispatcher/state_purchase_view/41675869", "UA-2023-03-28-005807-a")</f>
        <v>UA-2023-03-28-005807-a</v>
      </c>
      <c r="Q124" s="30">
        <v>92.896299999999997</v>
      </c>
      <c r="R124" s="30">
        <v>1</v>
      </c>
      <c r="S124" s="30">
        <v>92.896299999999997</v>
      </c>
      <c r="T124" s="31">
        <v>45013</v>
      </c>
      <c r="U124" s="30"/>
      <c r="V124" s="30" t="s">
        <v>59</v>
      </c>
    </row>
    <row r="125" spans="1:22" ht="109.2" x14ac:dyDescent="0.3">
      <c r="A125" s="30">
        <v>121</v>
      </c>
      <c r="B125" s="18" t="s">
        <v>184</v>
      </c>
      <c r="C125" s="12" t="s">
        <v>41</v>
      </c>
      <c r="D125" s="30"/>
      <c r="E125" s="30" t="s">
        <v>88</v>
      </c>
      <c r="F125" s="12" t="s">
        <v>311</v>
      </c>
      <c r="G125" s="12" t="s">
        <v>184</v>
      </c>
      <c r="H125" s="30">
        <v>1249.6003833333334</v>
      </c>
      <c r="I125" s="30">
        <v>1</v>
      </c>
      <c r="J125" s="30">
        <v>1249.6003833333334</v>
      </c>
      <c r="K125" s="30">
        <v>1249.6003833333334</v>
      </c>
      <c r="L125" s="30">
        <v>1</v>
      </c>
      <c r="M125" s="30">
        <v>1249.6003833333334</v>
      </c>
      <c r="N125" s="3" t="s">
        <v>315</v>
      </c>
      <c r="O125" s="31">
        <v>45013</v>
      </c>
      <c r="P125" s="20" t="str">
        <f>HYPERLINK("https://my.zakupki.prom.ua/remote/dispatcher/state_purchase_view/41678983", "UA-2023-03-28-007169-a")</f>
        <v>UA-2023-03-28-007169-a</v>
      </c>
      <c r="Q125" s="30">
        <v>1249.6003833333334</v>
      </c>
      <c r="R125" s="30">
        <v>1</v>
      </c>
      <c r="S125" s="30">
        <v>1249.6003833333334</v>
      </c>
      <c r="T125" s="31">
        <v>45013</v>
      </c>
      <c r="U125" s="30"/>
      <c r="V125" s="30" t="s">
        <v>59</v>
      </c>
    </row>
    <row r="126" spans="1:22" ht="93.6" x14ac:dyDescent="0.3">
      <c r="A126" s="30">
        <v>122</v>
      </c>
      <c r="B126" s="18" t="s">
        <v>184</v>
      </c>
      <c r="C126" s="12" t="s">
        <v>41</v>
      </c>
      <c r="D126" s="30"/>
      <c r="E126" s="30" t="s">
        <v>88</v>
      </c>
      <c r="F126" s="12" t="s">
        <v>312</v>
      </c>
      <c r="G126" s="12" t="s">
        <v>184</v>
      </c>
      <c r="H126" s="30">
        <v>505.40151666666668</v>
      </c>
      <c r="I126" s="30">
        <v>1</v>
      </c>
      <c r="J126" s="30">
        <v>505.40151666666668</v>
      </c>
      <c r="K126" s="30">
        <v>505.40151666666668</v>
      </c>
      <c r="L126" s="30">
        <v>1</v>
      </c>
      <c r="M126" s="30">
        <v>505.40151666666668</v>
      </c>
      <c r="N126" s="3" t="s">
        <v>316</v>
      </c>
      <c r="O126" s="31">
        <v>45013</v>
      </c>
      <c r="P126" s="20" t="str">
        <f>HYPERLINK("https://my.zakupki.prom.ua/remote/dispatcher/state_purchase_view/41677871", "UA-2023-03-28-006674-a")</f>
        <v>UA-2023-03-28-006674-a</v>
      </c>
      <c r="Q126" s="30">
        <v>505.40151666666668</v>
      </c>
      <c r="R126" s="30">
        <v>1</v>
      </c>
      <c r="S126" s="30">
        <v>505.40151666666668</v>
      </c>
      <c r="T126" s="31">
        <v>45013</v>
      </c>
      <c r="U126" s="30"/>
      <c r="V126" s="30" t="s">
        <v>59</v>
      </c>
    </row>
    <row r="127" spans="1:22" ht="93.6" x14ac:dyDescent="0.3">
      <c r="A127" s="30">
        <v>123</v>
      </c>
      <c r="B127" s="18" t="s">
        <v>184</v>
      </c>
      <c r="C127" s="12" t="s">
        <v>41</v>
      </c>
      <c r="D127" s="30"/>
      <c r="E127" s="30" t="s">
        <v>88</v>
      </c>
      <c r="F127" s="12" t="s">
        <v>297</v>
      </c>
      <c r="G127" s="12" t="s">
        <v>184</v>
      </c>
      <c r="H127" s="30">
        <v>260.60821666666669</v>
      </c>
      <c r="I127" s="30">
        <v>1</v>
      </c>
      <c r="J127" s="30">
        <v>260.60821666666669</v>
      </c>
      <c r="K127" s="30">
        <v>260.60821666666669</v>
      </c>
      <c r="L127" s="30">
        <v>1</v>
      </c>
      <c r="M127" s="30">
        <v>260.60821666666669</v>
      </c>
      <c r="N127" s="3" t="s">
        <v>308</v>
      </c>
      <c r="O127" s="31">
        <v>45013</v>
      </c>
      <c r="P127" s="20" t="str">
        <f>HYPERLINK("https://my.zakupki.prom.ua/remote/dispatcher/state_purchase_view/41677151", "UA-2023-03-28-006365-a")</f>
        <v>UA-2023-03-28-006365-a</v>
      </c>
      <c r="Q127" s="30">
        <v>260.60821666666669</v>
      </c>
      <c r="R127" s="30">
        <v>1</v>
      </c>
      <c r="S127" s="30">
        <v>260.60821666666669</v>
      </c>
      <c r="T127" s="31">
        <v>45013</v>
      </c>
      <c r="U127" s="30"/>
      <c r="V127" s="30" t="s">
        <v>59</v>
      </c>
    </row>
    <row r="128" spans="1:22" ht="78" x14ac:dyDescent="0.3">
      <c r="A128" s="30">
        <v>124</v>
      </c>
      <c r="B128" s="18" t="s">
        <v>184</v>
      </c>
      <c r="C128" s="12" t="s">
        <v>41</v>
      </c>
      <c r="D128" s="30"/>
      <c r="E128" s="30" t="s">
        <v>88</v>
      </c>
      <c r="F128" s="30" t="s">
        <v>314</v>
      </c>
      <c r="G128" s="12" t="s">
        <v>184</v>
      </c>
      <c r="H128" s="30">
        <f>911.5919/1.2</f>
        <v>759.65991666666673</v>
      </c>
      <c r="I128" s="30">
        <v>1</v>
      </c>
      <c r="J128" s="30">
        <f>911.5919/1.2</f>
        <v>759.65991666666673</v>
      </c>
      <c r="K128" s="30">
        <f>911.5919/1.2</f>
        <v>759.65991666666673</v>
      </c>
      <c r="L128" s="30">
        <v>1</v>
      </c>
      <c r="M128" s="30">
        <f>911.5919/1.2</f>
        <v>759.65991666666673</v>
      </c>
      <c r="N128" s="3" t="s">
        <v>313</v>
      </c>
      <c r="O128" s="31">
        <v>45015</v>
      </c>
      <c r="P128" s="30" t="s">
        <v>317</v>
      </c>
      <c r="Q128" s="30">
        <f>911.5919/1.2</f>
        <v>759.65991666666673</v>
      </c>
      <c r="R128" s="30">
        <v>1</v>
      </c>
      <c r="S128" s="30">
        <f>911.5919/1.2</f>
        <v>759.65991666666673</v>
      </c>
      <c r="T128" s="31">
        <v>45015</v>
      </c>
      <c r="U128" s="30"/>
      <c r="V128" s="30" t="s">
        <v>59</v>
      </c>
    </row>
    <row r="129" spans="1:22" ht="109.2" x14ac:dyDescent="0.3">
      <c r="A129" s="30">
        <v>125</v>
      </c>
      <c r="B129" s="18" t="s">
        <v>184</v>
      </c>
      <c r="C129" s="12" t="s">
        <v>41</v>
      </c>
      <c r="D129" s="30"/>
      <c r="E129" s="30" t="s">
        <v>88</v>
      </c>
      <c r="F129" s="30" t="s">
        <v>318</v>
      </c>
      <c r="G129" s="12" t="s">
        <v>184</v>
      </c>
      <c r="H129" s="30">
        <f>457728.86/1.2/1000</f>
        <v>381.44071666666667</v>
      </c>
      <c r="I129" s="30">
        <v>1</v>
      </c>
      <c r="J129" s="30">
        <f>457728.86/1.2/1000</f>
        <v>381.44071666666667</v>
      </c>
      <c r="K129" s="30">
        <f>457728.86/1.2/1000</f>
        <v>381.44071666666667</v>
      </c>
      <c r="L129" s="30">
        <v>1</v>
      </c>
      <c r="M129" s="30">
        <f>457728.86/1.2/1000</f>
        <v>381.44071666666667</v>
      </c>
      <c r="N129" s="3" t="s">
        <v>320</v>
      </c>
      <c r="O129" s="31">
        <v>45015</v>
      </c>
      <c r="P129" s="30" t="s">
        <v>321</v>
      </c>
      <c r="Q129" s="30">
        <f>457728.86/1.2/1000</f>
        <v>381.44071666666667</v>
      </c>
      <c r="R129" s="30">
        <v>1</v>
      </c>
      <c r="S129" s="30">
        <f>457728.86/1.2/1000</f>
        <v>381.44071666666667</v>
      </c>
      <c r="T129" s="31">
        <v>45015</v>
      </c>
      <c r="U129" s="30"/>
      <c r="V129" s="30" t="s">
        <v>59</v>
      </c>
    </row>
    <row r="130" spans="1:22" ht="109.2" x14ac:dyDescent="0.3">
      <c r="A130" s="30">
        <v>126</v>
      </c>
      <c r="B130" s="21" t="s">
        <v>184</v>
      </c>
      <c r="C130" s="2" t="s">
        <v>41</v>
      </c>
      <c r="D130" s="2"/>
      <c r="E130" s="2" t="s">
        <v>88</v>
      </c>
      <c r="F130" s="2" t="s">
        <v>319</v>
      </c>
      <c r="G130" s="2" t="s">
        <v>184</v>
      </c>
      <c r="H130" s="2">
        <f>813.26934/1.2</f>
        <v>677.72445000000005</v>
      </c>
      <c r="I130" s="2">
        <v>1</v>
      </c>
      <c r="J130" s="2">
        <f>813.26934/1.2</f>
        <v>677.72445000000005</v>
      </c>
      <c r="K130" s="2">
        <f>813.26934/1.2</f>
        <v>677.72445000000005</v>
      </c>
      <c r="L130" s="2">
        <v>1</v>
      </c>
      <c r="M130" s="2">
        <f>813.26934/1.2</f>
        <v>677.72445000000005</v>
      </c>
      <c r="N130" s="22" t="s">
        <v>341</v>
      </c>
      <c r="O130" s="23">
        <v>45015</v>
      </c>
      <c r="P130" s="2" t="s">
        <v>342</v>
      </c>
      <c r="Q130" s="2">
        <f>813.26934/1.2</f>
        <v>677.72445000000005</v>
      </c>
      <c r="R130" s="2">
        <v>1</v>
      </c>
      <c r="S130" s="2">
        <f>813.26934/1.2</f>
        <v>677.72445000000005</v>
      </c>
      <c r="T130" s="23">
        <v>45015</v>
      </c>
      <c r="U130" s="2"/>
      <c r="V130" s="2" t="s">
        <v>59</v>
      </c>
    </row>
    <row r="131" spans="1:22" ht="62.4" x14ac:dyDescent="0.3">
      <c r="A131" s="30">
        <v>127</v>
      </c>
      <c r="B131" s="30" t="s">
        <v>40</v>
      </c>
      <c r="C131" s="12" t="s">
        <v>41</v>
      </c>
      <c r="D131" s="30"/>
      <c r="E131" s="30" t="s">
        <v>88</v>
      </c>
      <c r="F131" s="12" t="s">
        <v>322</v>
      </c>
      <c r="G131" s="18" t="s">
        <v>184</v>
      </c>
      <c r="H131" s="30">
        <v>73.280283333333344</v>
      </c>
      <c r="I131" s="19">
        <v>1</v>
      </c>
      <c r="J131" s="30">
        <v>73.280283333333344</v>
      </c>
      <c r="K131" s="30">
        <v>73.280283333333344</v>
      </c>
      <c r="L131" s="19">
        <v>1</v>
      </c>
      <c r="M131" s="30">
        <v>73.280283333333344</v>
      </c>
      <c r="N131" s="3" t="s">
        <v>330</v>
      </c>
      <c r="O131" s="25">
        <v>45015</v>
      </c>
      <c r="P131" s="20" t="str">
        <f>HYPERLINK("https://my.zakupki.prom.ua/remote/dispatcher/state_purchase_view/41720731", "UA-2023-03-30-003336-a")</f>
        <v>UA-2023-03-30-003336-a</v>
      </c>
      <c r="Q131" s="30">
        <v>73.280283333333344</v>
      </c>
      <c r="R131" s="19">
        <v>1</v>
      </c>
      <c r="S131" s="30">
        <v>73.280283333333344</v>
      </c>
      <c r="T131" s="25">
        <v>45015</v>
      </c>
      <c r="U131" s="30"/>
      <c r="V131" s="30" t="s">
        <v>59</v>
      </c>
    </row>
    <row r="132" spans="1:22" ht="62.4" x14ac:dyDescent="0.3">
      <c r="A132" s="30">
        <v>128</v>
      </c>
      <c r="B132" s="30" t="s">
        <v>40</v>
      </c>
      <c r="C132" s="12" t="s">
        <v>73</v>
      </c>
      <c r="D132" s="30"/>
      <c r="E132" s="30" t="s">
        <v>75</v>
      </c>
      <c r="F132" s="12" t="s">
        <v>323</v>
      </c>
      <c r="G132" s="18" t="s">
        <v>184</v>
      </c>
      <c r="H132" s="30">
        <v>115.23385</v>
      </c>
      <c r="I132" s="19">
        <v>1</v>
      </c>
      <c r="J132" s="30">
        <v>115.23385</v>
      </c>
      <c r="K132" s="30">
        <v>115.23385</v>
      </c>
      <c r="L132" s="19">
        <v>1</v>
      </c>
      <c r="M132" s="30">
        <v>115.23385</v>
      </c>
      <c r="N132" s="3" t="s">
        <v>331</v>
      </c>
      <c r="O132" s="25">
        <v>45015</v>
      </c>
      <c r="P132" s="20" t="str">
        <f>HYPERLINK("https://my.zakupki.prom.ua/remote/dispatcher/state_purchase_view/41720673", "UA-2023-03-30-003304-a")</f>
        <v>UA-2023-03-30-003304-a</v>
      </c>
      <c r="Q132" s="30">
        <v>115.23385</v>
      </c>
      <c r="R132" s="19">
        <v>1</v>
      </c>
      <c r="S132" s="30">
        <v>115.23385</v>
      </c>
      <c r="T132" s="25">
        <v>45015</v>
      </c>
      <c r="U132" s="30"/>
      <c r="V132" s="30" t="s">
        <v>59</v>
      </c>
    </row>
    <row r="133" spans="1:22" ht="62.4" x14ac:dyDescent="0.3">
      <c r="A133" s="30">
        <v>129</v>
      </c>
      <c r="B133" s="30" t="s">
        <v>40</v>
      </c>
      <c r="C133" s="12" t="s">
        <v>41</v>
      </c>
      <c r="D133" s="30"/>
      <c r="E133" s="30" t="s">
        <v>88</v>
      </c>
      <c r="F133" s="12" t="s">
        <v>324</v>
      </c>
      <c r="G133" s="18" t="s">
        <v>184</v>
      </c>
      <c r="H133" s="30">
        <v>50.018791666666672</v>
      </c>
      <c r="I133" s="19">
        <v>1</v>
      </c>
      <c r="J133" s="30">
        <v>50.018791666666672</v>
      </c>
      <c r="K133" s="30">
        <v>50.018791666666672</v>
      </c>
      <c r="L133" s="19">
        <v>1</v>
      </c>
      <c r="M133" s="30">
        <v>50.018791666666672</v>
      </c>
      <c r="N133" s="3" t="s">
        <v>332</v>
      </c>
      <c r="O133" s="25">
        <v>45015</v>
      </c>
      <c r="P133" s="20" t="str">
        <f>HYPERLINK("https://my.zakupki.prom.ua/remote/dispatcher/state_purchase_view/41720512", "UA-2023-03-30-003251-a")</f>
        <v>UA-2023-03-30-003251-a</v>
      </c>
      <c r="Q133" s="30">
        <v>50.018791666666672</v>
      </c>
      <c r="R133" s="19">
        <v>1</v>
      </c>
      <c r="S133" s="30">
        <v>50.018791666666672</v>
      </c>
      <c r="T133" s="25">
        <v>45015</v>
      </c>
      <c r="U133" s="30"/>
      <c r="V133" s="30" t="s">
        <v>59</v>
      </c>
    </row>
    <row r="134" spans="1:22" ht="62.4" x14ac:dyDescent="0.3">
      <c r="A134" s="30">
        <v>130</v>
      </c>
      <c r="B134" s="30" t="s">
        <v>40</v>
      </c>
      <c r="C134" s="12" t="s">
        <v>41</v>
      </c>
      <c r="D134" s="30"/>
      <c r="E134" s="30" t="s">
        <v>88</v>
      </c>
      <c r="F134" s="12" t="s">
        <v>325</v>
      </c>
      <c r="G134" s="18" t="s">
        <v>184</v>
      </c>
      <c r="H134" s="30">
        <v>50.018791666666672</v>
      </c>
      <c r="I134" s="19">
        <v>1</v>
      </c>
      <c r="J134" s="30">
        <v>50.018791666666672</v>
      </c>
      <c r="K134" s="30">
        <v>50.018791666666672</v>
      </c>
      <c r="L134" s="19">
        <v>1</v>
      </c>
      <c r="M134" s="30">
        <v>50.018791666666672</v>
      </c>
      <c r="N134" s="3" t="s">
        <v>333</v>
      </c>
      <c r="O134" s="25">
        <v>45015</v>
      </c>
      <c r="P134" s="20" t="str">
        <f>HYPERLINK("https://my.zakupki.prom.ua/remote/dispatcher/state_purchase_view/41720050", "UA-2023-03-30-003031-a")</f>
        <v>UA-2023-03-30-003031-a</v>
      </c>
      <c r="Q134" s="30">
        <v>50.018791666666672</v>
      </c>
      <c r="R134" s="19">
        <v>1</v>
      </c>
      <c r="S134" s="30">
        <v>50.018791666666672</v>
      </c>
      <c r="T134" s="25">
        <v>45015</v>
      </c>
      <c r="U134" s="30"/>
      <c r="V134" s="30" t="s">
        <v>59</v>
      </c>
    </row>
    <row r="135" spans="1:22" ht="62.4" x14ac:dyDescent="0.3">
      <c r="A135" s="30">
        <v>131</v>
      </c>
      <c r="B135" s="30" t="s">
        <v>40</v>
      </c>
      <c r="C135" s="12" t="s">
        <v>73</v>
      </c>
      <c r="D135" s="30"/>
      <c r="E135" s="30" t="s">
        <v>75</v>
      </c>
      <c r="F135" s="12" t="s">
        <v>326</v>
      </c>
      <c r="G135" s="18" t="s">
        <v>184</v>
      </c>
      <c r="H135" s="30">
        <v>102.12271666666666</v>
      </c>
      <c r="I135" s="19">
        <v>1</v>
      </c>
      <c r="J135" s="30">
        <v>102.12271666666666</v>
      </c>
      <c r="K135" s="30">
        <v>102.12271666666666</v>
      </c>
      <c r="L135" s="19">
        <v>1</v>
      </c>
      <c r="M135" s="30">
        <v>102.12271666666666</v>
      </c>
      <c r="N135" s="3" t="s">
        <v>334</v>
      </c>
      <c r="O135" s="25">
        <v>45015</v>
      </c>
      <c r="P135" s="20" t="str">
        <f>HYPERLINK("https://my.zakupki.prom.ua/remote/dispatcher/state_purchase_view/41719988", "UA-2023-03-30-003000-a")</f>
        <v>UA-2023-03-30-003000-a</v>
      </c>
      <c r="Q135" s="30">
        <v>102.12271666666666</v>
      </c>
      <c r="R135" s="19">
        <v>1</v>
      </c>
      <c r="S135" s="30">
        <v>102.12271666666666</v>
      </c>
      <c r="T135" s="25">
        <v>45015</v>
      </c>
      <c r="U135" s="30"/>
      <c r="V135" s="30" t="s">
        <v>59</v>
      </c>
    </row>
    <row r="136" spans="1:22" ht="62.4" x14ac:dyDescent="0.3">
      <c r="A136" s="30">
        <v>132</v>
      </c>
      <c r="B136" s="30" t="s">
        <v>40</v>
      </c>
      <c r="C136" s="12" t="s">
        <v>41</v>
      </c>
      <c r="D136" s="30"/>
      <c r="E136" s="30" t="s">
        <v>88</v>
      </c>
      <c r="F136" s="12" t="s">
        <v>327</v>
      </c>
      <c r="G136" s="18" t="s">
        <v>184</v>
      </c>
      <c r="H136" s="30">
        <v>50.688966666666666</v>
      </c>
      <c r="I136" s="19">
        <v>1</v>
      </c>
      <c r="J136" s="30">
        <v>50.688966666666666</v>
      </c>
      <c r="K136" s="30">
        <v>50.688966666666666</v>
      </c>
      <c r="L136" s="19">
        <v>1</v>
      </c>
      <c r="M136" s="30">
        <v>50.688966666666666</v>
      </c>
      <c r="N136" s="3" t="s">
        <v>335</v>
      </c>
      <c r="O136" s="25">
        <v>45015</v>
      </c>
      <c r="P136" s="20" t="str">
        <f>HYPERLINK("https://my.zakupki.prom.ua/remote/dispatcher/state_purchase_view/41719753", "UA-2023-03-30-002930-a")</f>
        <v>UA-2023-03-30-002930-a</v>
      </c>
      <c r="Q136" s="30">
        <v>50.688966666666666</v>
      </c>
      <c r="R136" s="19">
        <v>1</v>
      </c>
      <c r="S136" s="30">
        <v>50.688966666666666</v>
      </c>
      <c r="T136" s="25">
        <v>45015</v>
      </c>
      <c r="U136" s="30"/>
      <c r="V136" s="30" t="s">
        <v>59</v>
      </c>
    </row>
    <row r="137" spans="1:22" ht="62.4" x14ac:dyDescent="0.3">
      <c r="A137" s="30">
        <v>133</v>
      </c>
      <c r="B137" s="30" t="s">
        <v>40</v>
      </c>
      <c r="C137" s="12" t="s">
        <v>41</v>
      </c>
      <c r="D137" s="30"/>
      <c r="E137" s="30" t="s">
        <v>88</v>
      </c>
      <c r="F137" s="12" t="s">
        <v>328</v>
      </c>
      <c r="G137" s="18" t="s">
        <v>184</v>
      </c>
      <c r="H137" s="30">
        <v>50.24901666666667</v>
      </c>
      <c r="I137" s="19">
        <v>1</v>
      </c>
      <c r="J137" s="30">
        <v>50.24901666666667</v>
      </c>
      <c r="K137" s="30">
        <v>50.24901666666667</v>
      </c>
      <c r="L137" s="19">
        <v>1</v>
      </c>
      <c r="M137" s="30">
        <v>50.24901666666667</v>
      </c>
      <c r="N137" s="3" t="s">
        <v>336</v>
      </c>
      <c r="O137" s="25">
        <v>45015</v>
      </c>
      <c r="P137" s="20" t="str">
        <f>HYPERLINK("https://my.zakupki.prom.ua/remote/dispatcher/state_purchase_view/41719575", "UA-2023-03-30-002824-a")</f>
        <v>UA-2023-03-30-002824-a</v>
      </c>
      <c r="Q137" s="30">
        <v>50.24901666666667</v>
      </c>
      <c r="R137" s="19">
        <v>1</v>
      </c>
      <c r="S137" s="30">
        <v>50.24901666666667</v>
      </c>
      <c r="T137" s="25">
        <v>45015</v>
      </c>
      <c r="U137" s="30"/>
      <c r="V137" s="30" t="s">
        <v>59</v>
      </c>
    </row>
    <row r="138" spans="1:22" ht="62.4" x14ac:dyDescent="0.3">
      <c r="A138" s="30">
        <v>134</v>
      </c>
      <c r="B138" s="30" t="s">
        <v>40</v>
      </c>
      <c r="C138" s="12" t="s">
        <v>73</v>
      </c>
      <c r="D138" s="30"/>
      <c r="E138" s="30" t="s">
        <v>75</v>
      </c>
      <c r="F138" s="12" t="s">
        <v>329</v>
      </c>
      <c r="G138" s="18" t="s">
        <v>184</v>
      </c>
      <c r="H138" s="30">
        <v>83.923249999999996</v>
      </c>
      <c r="I138" s="19">
        <v>1</v>
      </c>
      <c r="J138" s="30">
        <v>83.923249999999996</v>
      </c>
      <c r="K138" s="30">
        <v>83.923249999999996</v>
      </c>
      <c r="L138" s="19">
        <v>1</v>
      </c>
      <c r="M138" s="30">
        <v>83.923249999999996</v>
      </c>
      <c r="N138" s="3" t="s">
        <v>337</v>
      </c>
      <c r="O138" s="25">
        <v>45015</v>
      </c>
      <c r="P138" s="20" t="str">
        <f>HYPERLINK("https://my.zakupki.prom.ua/remote/dispatcher/state_purchase_view/41719359", "UA-2023-03-30-002711-a")</f>
        <v>UA-2023-03-30-002711-a</v>
      </c>
      <c r="Q138" s="30">
        <v>83.923249999999996</v>
      </c>
      <c r="R138" s="19">
        <v>1</v>
      </c>
      <c r="S138" s="30">
        <v>83.923249999999996</v>
      </c>
      <c r="T138" s="25">
        <v>45015</v>
      </c>
      <c r="U138" s="30"/>
      <c r="V138" s="30" t="s">
        <v>59</v>
      </c>
    </row>
    <row r="139" spans="1:22" ht="62.4" x14ac:dyDescent="0.3">
      <c r="A139" s="30">
        <v>135</v>
      </c>
      <c r="B139" s="30" t="s">
        <v>40</v>
      </c>
      <c r="C139" s="12" t="s">
        <v>73</v>
      </c>
      <c r="D139" s="30"/>
      <c r="E139" s="30" t="s">
        <v>75</v>
      </c>
      <c r="F139" s="30" t="s">
        <v>338</v>
      </c>
      <c r="G139" s="18" t="s">
        <v>184</v>
      </c>
      <c r="H139" s="4">
        <f>130.78254/1.2</f>
        <v>108.98545000000001</v>
      </c>
      <c r="I139" s="30">
        <v>1</v>
      </c>
      <c r="J139" s="4">
        <f>130.78254/1.2</f>
        <v>108.98545000000001</v>
      </c>
      <c r="K139" s="4">
        <f>130.78254/1.2</f>
        <v>108.98545000000001</v>
      </c>
      <c r="L139" s="30">
        <v>1</v>
      </c>
      <c r="M139" s="4">
        <f>130.78254/1.2</f>
        <v>108.98545000000001</v>
      </c>
      <c r="N139" s="3" t="s">
        <v>340</v>
      </c>
      <c r="O139" s="25">
        <v>45015</v>
      </c>
      <c r="P139" s="30" t="s">
        <v>339</v>
      </c>
      <c r="Q139" s="4">
        <f>130.78254/1.2</f>
        <v>108.98545000000001</v>
      </c>
      <c r="R139" s="30">
        <v>1</v>
      </c>
      <c r="S139" s="4">
        <f>130.78254/1.2</f>
        <v>108.98545000000001</v>
      </c>
      <c r="T139" s="25">
        <v>45015</v>
      </c>
      <c r="U139" s="30"/>
      <c r="V139" s="30" t="s">
        <v>59</v>
      </c>
    </row>
    <row r="140" spans="1:22" ht="62.4" x14ac:dyDescent="0.3">
      <c r="A140" s="30">
        <v>136</v>
      </c>
      <c r="B140" s="30" t="s">
        <v>40</v>
      </c>
      <c r="C140" s="12" t="s">
        <v>73</v>
      </c>
      <c r="D140" s="30"/>
      <c r="E140" s="30" t="s">
        <v>75</v>
      </c>
      <c r="F140" s="12" t="s">
        <v>343</v>
      </c>
      <c r="G140" s="18" t="s">
        <v>184</v>
      </c>
      <c r="H140" s="30">
        <v>153.88545000000002</v>
      </c>
      <c r="I140" s="19">
        <v>1</v>
      </c>
      <c r="J140" s="30">
        <v>153.88545000000002</v>
      </c>
      <c r="K140" s="30">
        <v>153.88545000000002</v>
      </c>
      <c r="L140" s="19">
        <v>1</v>
      </c>
      <c r="M140" s="30">
        <v>153.88545000000002</v>
      </c>
      <c r="N140" s="3" t="s">
        <v>350</v>
      </c>
      <c r="O140" s="25">
        <v>45016</v>
      </c>
      <c r="P140" s="20" t="str">
        <f>HYPERLINK("https://my.zakupki.prom.ua/remote/dispatcher/state_purchase_view/41743220", "UA-2023-03-31-004510-a")</f>
        <v>UA-2023-03-31-004510-a</v>
      </c>
      <c r="Q140" s="30">
        <v>153.88545000000002</v>
      </c>
      <c r="R140" s="19">
        <v>1</v>
      </c>
      <c r="S140" s="30">
        <v>153.88545000000002</v>
      </c>
      <c r="T140" s="25">
        <v>45016</v>
      </c>
      <c r="U140" s="30"/>
      <c r="V140" s="30" t="s">
        <v>59</v>
      </c>
    </row>
    <row r="141" spans="1:22" ht="30.75" customHeight="1" x14ac:dyDescent="0.3">
      <c r="A141" s="30">
        <v>137</v>
      </c>
      <c r="B141" s="30" t="s">
        <v>40</v>
      </c>
      <c r="C141" s="12" t="s">
        <v>73</v>
      </c>
      <c r="D141" s="30"/>
      <c r="E141" s="30" t="s">
        <v>75</v>
      </c>
      <c r="F141" s="12" t="s">
        <v>344</v>
      </c>
      <c r="G141" s="18" t="s">
        <v>184</v>
      </c>
      <c r="H141" s="30">
        <v>163.24846666666667</v>
      </c>
      <c r="I141" s="19">
        <v>1</v>
      </c>
      <c r="J141" s="30">
        <v>163.24846666666667</v>
      </c>
      <c r="K141" s="30">
        <v>163.24846666666667</v>
      </c>
      <c r="L141" s="19">
        <v>1</v>
      </c>
      <c r="M141" s="30">
        <v>163.24846666666667</v>
      </c>
      <c r="N141" s="3" t="s">
        <v>351</v>
      </c>
      <c r="O141" s="25">
        <v>45016</v>
      </c>
      <c r="P141" s="20" t="str">
        <f>HYPERLINK("https://my.zakupki.prom.ua/remote/dispatcher/state_purchase_view/41742784", "UA-2023-03-31-004318-a")</f>
        <v>UA-2023-03-31-004318-a</v>
      </c>
      <c r="Q141" s="30">
        <v>163.24846666666667</v>
      </c>
      <c r="R141" s="19">
        <v>1</v>
      </c>
      <c r="S141" s="30">
        <v>163.24846666666667</v>
      </c>
      <c r="T141" s="25">
        <v>45016</v>
      </c>
      <c r="U141" s="30"/>
      <c r="V141" s="30" t="s">
        <v>59</v>
      </c>
    </row>
    <row r="142" spans="1:22" ht="62.4" x14ac:dyDescent="0.3">
      <c r="A142" s="30">
        <v>138</v>
      </c>
      <c r="B142" s="30" t="s">
        <v>40</v>
      </c>
      <c r="C142" s="12" t="s">
        <v>73</v>
      </c>
      <c r="D142" s="30"/>
      <c r="E142" s="30" t="s">
        <v>75</v>
      </c>
      <c r="F142" s="12" t="s">
        <v>345</v>
      </c>
      <c r="G142" s="18" t="s">
        <v>184</v>
      </c>
      <c r="H142" s="30">
        <v>135.47093333333333</v>
      </c>
      <c r="I142" s="30">
        <v>1</v>
      </c>
      <c r="J142" s="30">
        <v>135.47093333333333</v>
      </c>
      <c r="K142" s="30">
        <v>135.47093333333333</v>
      </c>
      <c r="L142" s="30">
        <v>1</v>
      </c>
      <c r="M142" s="30">
        <v>135.47093333333333</v>
      </c>
      <c r="N142" s="3" t="s">
        <v>352</v>
      </c>
      <c r="O142" s="25">
        <v>45016</v>
      </c>
      <c r="P142" s="20" t="str">
        <f>HYPERLINK("https://my.zakupki.prom.ua/remote/dispatcher/state_purchase_view/41740883", "UA-2023-03-31-003446-a")</f>
        <v>UA-2023-03-31-003446-a</v>
      </c>
      <c r="Q142" s="30">
        <v>135.47093333333333</v>
      </c>
      <c r="R142" s="30">
        <v>1</v>
      </c>
      <c r="S142" s="30">
        <v>135.47093333333333</v>
      </c>
      <c r="T142" s="25">
        <v>45016</v>
      </c>
      <c r="U142" s="30"/>
      <c r="V142" s="30" t="s">
        <v>59</v>
      </c>
    </row>
    <row r="143" spans="1:22" ht="62.4" x14ac:dyDescent="0.3">
      <c r="A143" s="30">
        <v>139</v>
      </c>
      <c r="B143" s="30" t="s">
        <v>40</v>
      </c>
      <c r="C143" s="12" t="s">
        <v>73</v>
      </c>
      <c r="D143" s="30"/>
      <c r="E143" s="30" t="s">
        <v>75</v>
      </c>
      <c r="F143" s="12" t="s">
        <v>346</v>
      </c>
      <c r="G143" s="18" t="s">
        <v>184</v>
      </c>
      <c r="H143" s="30">
        <v>139.26370000000003</v>
      </c>
      <c r="I143" s="19">
        <v>1</v>
      </c>
      <c r="J143" s="30">
        <v>139.26370000000003</v>
      </c>
      <c r="K143" s="30">
        <v>139.26370000000003</v>
      </c>
      <c r="L143" s="19">
        <v>1</v>
      </c>
      <c r="M143" s="30">
        <v>139.26370000000003</v>
      </c>
      <c r="N143" s="3" t="s">
        <v>353</v>
      </c>
      <c r="O143" s="25">
        <v>45016</v>
      </c>
      <c r="P143" s="20" t="str">
        <f>HYPERLINK("https://my.zakupki.prom.ua/remote/dispatcher/state_purchase_view/41740483", "UA-2023-03-31-003235-a")</f>
        <v>UA-2023-03-31-003235-a</v>
      </c>
      <c r="Q143" s="30">
        <v>139.26370000000003</v>
      </c>
      <c r="R143" s="19">
        <v>1</v>
      </c>
      <c r="S143" s="30">
        <v>139.26370000000003</v>
      </c>
      <c r="T143" s="25">
        <v>45016</v>
      </c>
      <c r="U143" s="30"/>
      <c r="V143" s="30" t="s">
        <v>59</v>
      </c>
    </row>
    <row r="144" spans="1:22" ht="62.4" x14ac:dyDescent="0.3">
      <c r="A144" s="30">
        <v>140</v>
      </c>
      <c r="B144" s="30" t="s">
        <v>40</v>
      </c>
      <c r="C144" s="12" t="s">
        <v>73</v>
      </c>
      <c r="D144" s="30"/>
      <c r="E144" s="30" t="s">
        <v>75</v>
      </c>
      <c r="F144" s="12" t="s">
        <v>347</v>
      </c>
      <c r="G144" s="18" t="s">
        <v>184</v>
      </c>
      <c r="H144" s="30">
        <v>289.09326666666669</v>
      </c>
      <c r="I144" s="19">
        <v>1</v>
      </c>
      <c r="J144" s="30">
        <v>289.09326666666669</v>
      </c>
      <c r="K144" s="30">
        <v>289.09326666666669</v>
      </c>
      <c r="L144" s="19">
        <v>1</v>
      </c>
      <c r="M144" s="30">
        <v>289.09326666666669</v>
      </c>
      <c r="N144" s="3" t="s">
        <v>354</v>
      </c>
      <c r="O144" s="25">
        <v>45016</v>
      </c>
      <c r="P144" s="20" t="str">
        <f>HYPERLINK("https://my.zakupki.prom.ua/remote/dispatcher/state_purchase_view/41739408", "UA-2023-03-31-002787-a")</f>
        <v>UA-2023-03-31-002787-a</v>
      </c>
      <c r="Q144" s="30">
        <v>289.09326666666669</v>
      </c>
      <c r="R144" s="19">
        <v>1</v>
      </c>
      <c r="S144" s="30">
        <v>289.09326666666669</v>
      </c>
      <c r="T144" s="25">
        <v>45016</v>
      </c>
      <c r="U144" s="30"/>
      <c r="V144" s="30" t="s">
        <v>59</v>
      </c>
    </row>
    <row r="145" spans="1:22" ht="62.4" x14ac:dyDescent="0.3">
      <c r="A145" s="30">
        <v>141</v>
      </c>
      <c r="B145" s="30" t="s">
        <v>40</v>
      </c>
      <c r="C145" s="12" t="s">
        <v>73</v>
      </c>
      <c r="D145" s="30"/>
      <c r="E145" s="30" t="s">
        <v>75</v>
      </c>
      <c r="F145" s="12" t="s">
        <v>348</v>
      </c>
      <c r="G145" s="18" t="s">
        <v>184</v>
      </c>
      <c r="H145" s="30">
        <v>95.580883333333333</v>
      </c>
      <c r="I145" s="30">
        <v>1</v>
      </c>
      <c r="J145" s="30">
        <v>95.580883333333333</v>
      </c>
      <c r="K145" s="30">
        <v>95.580883333333333</v>
      </c>
      <c r="L145" s="30">
        <v>1</v>
      </c>
      <c r="M145" s="30">
        <v>95.580883333333333</v>
      </c>
      <c r="N145" s="3" t="s">
        <v>355</v>
      </c>
      <c r="O145" s="25">
        <v>45016</v>
      </c>
      <c r="P145" s="20" t="str">
        <f>HYPERLINK("https://my.zakupki.prom.ua/remote/dispatcher/state_purchase_view/41738442", "UA-2023-03-31-002313-a")</f>
        <v>UA-2023-03-31-002313-a</v>
      </c>
      <c r="Q145" s="30">
        <v>95.580883333333333</v>
      </c>
      <c r="R145" s="30">
        <v>1</v>
      </c>
      <c r="S145" s="30">
        <v>95.580883333333333</v>
      </c>
      <c r="T145" s="25">
        <v>45016</v>
      </c>
      <c r="U145" s="30"/>
      <c r="V145" s="30" t="s">
        <v>59</v>
      </c>
    </row>
    <row r="146" spans="1:22" ht="62.4" x14ac:dyDescent="0.3">
      <c r="A146" s="30">
        <v>142</v>
      </c>
      <c r="B146" s="30" t="s">
        <v>40</v>
      </c>
      <c r="C146" s="12" t="s">
        <v>73</v>
      </c>
      <c r="D146" s="30"/>
      <c r="E146" s="30" t="s">
        <v>75</v>
      </c>
      <c r="F146" s="12" t="s">
        <v>349</v>
      </c>
      <c r="G146" s="18" t="s">
        <v>184</v>
      </c>
      <c r="H146" s="30">
        <v>155.93403333333333</v>
      </c>
      <c r="I146" s="19">
        <v>1</v>
      </c>
      <c r="J146" s="30">
        <v>155.93403333333333</v>
      </c>
      <c r="K146" s="30">
        <v>155.93403333333333</v>
      </c>
      <c r="L146" s="19">
        <v>1</v>
      </c>
      <c r="M146" s="30">
        <v>155.93403333333333</v>
      </c>
      <c r="N146" s="3" t="s">
        <v>356</v>
      </c>
      <c r="O146" s="25">
        <v>45016</v>
      </c>
      <c r="P146" s="20" t="str">
        <f>HYPERLINK("https://my.zakupki.prom.ua/remote/dispatcher/state_purchase_view/41737679", "UA-2023-03-31-001976-a")</f>
        <v>UA-2023-03-31-001976-a</v>
      </c>
      <c r="Q146" s="30">
        <v>155.93403333333333</v>
      </c>
      <c r="R146" s="19">
        <v>1</v>
      </c>
      <c r="S146" s="30">
        <v>155.93403333333333</v>
      </c>
      <c r="T146" s="25">
        <v>45016</v>
      </c>
      <c r="U146" s="30"/>
      <c r="V146" s="30" t="s">
        <v>59</v>
      </c>
    </row>
    <row r="147" spans="1:22" ht="171.6" x14ac:dyDescent="0.3">
      <c r="A147" s="30">
        <v>143</v>
      </c>
      <c r="B147" s="30" t="s">
        <v>184</v>
      </c>
      <c r="C147" s="12" t="s">
        <v>41</v>
      </c>
      <c r="D147" s="30"/>
      <c r="E147" s="30" t="s">
        <v>88</v>
      </c>
      <c r="F147" s="12" t="s">
        <v>364</v>
      </c>
      <c r="G147" s="30" t="s">
        <v>184</v>
      </c>
      <c r="H147" s="30">
        <v>102.19039166666667</v>
      </c>
      <c r="I147" s="30">
        <v>1</v>
      </c>
      <c r="J147" s="30">
        <v>102.19039166666667</v>
      </c>
      <c r="K147" s="30">
        <v>102.19039166666667</v>
      </c>
      <c r="L147" s="30">
        <v>1</v>
      </c>
      <c r="M147" s="30">
        <v>102.19039166666667</v>
      </c>
      <c r="N147" s="3" t="s">
        <v>381</v>
      </c>
      <c r="O147" s="25">
        <v>45016</v>
      </c>
      <c r="P147" s="20" t="str">
        <f>HYPERLINK("https://my.zakupki.prom.ua/remote/dispatcher/state_purchase_view/41779380", "UA-2023-04-04-000044-a")</f>
        <v>UA-2023-04-04-000044-a</v>
      </c>
      <c r="Q147" s="30">
        <v>102.19039166666667</v>
      </c>
      <c r="R147" s="30">
        <v>1</v>
      </c>
      <c r="S147" s="30">
        <v>102.19039166666667</v>
      </c>
      <c r="T147" s="25">
        <v>45016</v>
      </c>
      <c r="U147" s="30"/>
      <c r="V147" s="30" t="s">
        <v>59</v>
      </c>
    </row>
    <row r="148" spans="1:22" ht="171.6" x14ac:dyDescent="0.3">
      <c r="A148" s="30">
        <v>144</v>
      </c>
      <c r="B148" s="30" t="s">
        <v>184</v>
      </c>
      <c r="C148" s="12" t="s">
        <v>41</v>
      </c>
      <c r="D148" s="30"/>
      <c r="E148" s="30" t="s">
        <v>88</v>
      </c>
      <c r="F148" s="12" t="s">
        <v>365</v>
      </c>
      <c r="G148" s="30" t="s">
        <v>184</v>
      </c>
      <c r="H148" s="30">
        <v>71.533266666666663</v>
      </c>
      <c r="I148" s="30">
        <v>1</v>
      </c>
      <c r="J148" s="30">
        <v>71.533266666666663</v>
      </c>
      <c r="K148" s="30">
        <v>71.533266666666663</v>
      </c>
      <c r="L148" s="30">
        <v>1</v>
      </c>
      <c r="M148" s="30">
        <v>71.533266666666663</v>
      </c>
      <c r="N148" s="3" t="s">
        <v>380</v>
      </c>
      <c r="O148" s="25">
        <v>45016</v>
      </c>
      <c r="P148" s="20" t="str">
        <f>HYPERLINK("https://my.zakupki.prom.ua/remote/dispatcher/state_purchase_view/41777563", "UA-2023-04-03-010636-a")</f>
        <v>UA-2023-04-03-010636-a</v>
      </c>
      <c r="Q148" s="30">
        <v>71.533266666666663</v>
      </c>
      <c r="R148" s="30">
        <v>1</v>
      </c>
      <c r="S148" s="30">
        <v>71.533266666666663</v>
      </c>
      <c r="T148" s="25">
        <v>45016</v>
      </c>
      <c r="U148" s="30"/>
      <c r="V148" s="30" t="s">
        <v>59</v>
      </c>
    </row>
    <row r="149" spans="1:22" ht="171.6" x14ac:dyDescent="0.3">
      <c r="A149" s="30">
        <v>145</v>
      </c>
      <c r="B149" s="30" t="s">
        <v>184</v>
      </c>
      <c r="C149" s="12" t="s">
        <v>41</v>
      </c>
      <c r="D149" s="30"/>
      <c r="E149" s="30" t="s">
        <v>88</v>
      </c>
      <c r="F149" s="12" t="s">
        <v>367</v>
      </c>
      <c r="G149" s="30" t="s">
        <v>184</v>
      </c>
      <c r="H149" s="30">
        <v>696.18994999999995</v>
      </c>
      <c r="I149" s="30">
        <v>1</v>
      </c>
      <c r="J149" s="30">
        <v>696.18994999999995</v>
      </c>
      <c r="K149" s="30">
        <v>696.18994999999995</v>
      </c>
      <c r="L149" s="30">
        <v>1</v>
      </c>
      <c r="M149" s="30">
        <v>696.18994999999995</v>
      </c>
      <c r="N149" s="3" t="s">
        <v>378</v>
      </c>
      <c r="O149" s="25">
        <v>45016</v>
      </c>
      <c r="P149" s="20" t="str">
        <f>HYPERLINK("https://my.zakupki.prom.ua/remote/dispatcher/state_purchase_view/41777364", "UA-2023-04-03-010551-a")</f>
        <v>UA-2023-04-03-010551-a</v>
      </c>
      <c r="Q149" s="30">
        <v>696.18994999999995</v>
      </c>
      <c r="R149" s="30">
        <v>1</v>
      </c>
      <c r="S149" s="30">
        <v>696.18994999999995</v>
      </c>
      <c r="T149" s="25">
        <v>45016</v>
      </c>
      <c r="U149" s="30"/>
      <c r="V149" s="30" t="s">
        <v>59</v>
      </c>
    </row>
    <row r="150" spans="1:22" ht="171.6" x14ac:dyDescent="0.3">
      <c r="A150" s="30">
        <v>146</v>
      </c>
      <c r="B150" s="30" t="s">
        <v>184</v>
      </c>
      <c r="C150" s="12" t="s">
        <v>41</v>
      </c>
      <c r="D150" s="30"/>
      <c r="E150" s="30" t="s">
        <v>88</v>
      </c>
      <c r="F150" s="12" t="s">
        <v>368</v>
      </c>
      <c r="G150" s="30" t="s">
        <v>184</v>
      </c>
      <c r="H150" s="30">
        <v>758.30493333333345</v>
      </c>
      <c r="I150" s="30">
        <v>1</v>
      </c>
      <c r="J150" s="30">
        <v>758.30493333333345</v>
      </c>
      <c r="K150" s="30">
        <v>758.30493333333345</v>
      </c>
      <c r="L150" s="30">
        <v>1</v>
      </c>
      <c r="M150" s="30">
        <v>758.30493333333345</v>
      </c>
      <c r="N150" s="3" t="s">
        <v>377</v>
      </c>
      <c r="O150" s="25">
        <v>45016</v>
      </c>
      <c r="P150" s="20" t="str">
        <f>HYPERLINK("https://my.zakupki.prom.ua/remote/dispatcher/state_purchase_view/41777201", "UA-2023-04-03-010464-a")</f>
        <v>UA-2023-04-03-010464-a</v>
      </c>
      <c r="Q150" s="30">
        <v>758.30493333333345</v>
      </c>
      <c r="R150" s="30">
        <v>1</v>
      </c>
      <c r="S150" s="30">
        <v>758.30493333333345</v>
      </c>
      <c r="T150" s="25">
        <v>45016</v>
      </c>
      <c r="U150" s="30"/>
      <c r="V150" s="30" t="s">
        <v>59</v>
      </c>
    </row>
    <row r="151" spans="1:22" ht="187.2" x14ac:dyDescent="0.3">
      <c r="A151" s="30">
        <v>147</v>
      </c>
      <c r="B151" s="30" t="s">
        <v>184</v>
      </c>
      <c r="C151" s="12" t="s">
        <v>41</v>
      </c>
      <c r="D151" s="30"/>
      <c r="E151" s="30" t="s">
        <v>88</v>
      </c>
      <c r="F151" s="12" t="s">
        <v>369</v>
      </c>
      <c r="G151" s="30" t="s">
        <v>184</v>
      </c>
      <c r="H151" s="30">
        <v>976.18724166666675</v>
      </c>
      <c r="I151" s="30">
        <v>1</v>
      </c>
      <c r="J151" s="30">
        <v>976.18724166666675</v>
      </c>
      <c r="K151" s="30">
        <v>976.18724166666675</v>
      </c>
      <c r="L151" s="30">
        <v>1</v>
      </c>
      <c r="M151" s="30">
        <v>976.18724166666675</v>
      </c>
      <c r="N151" s="3" t="s">
        <v>376</v>
      </c>
      <c r="O151" s="14">
        <v>45016</v>
      </c>
      <c r="P151" s="13" t="str">
        <f>HYPERLINK("https://my.zakupki.prom.ua/remote/dispatcher/state_purchase_view/41776988", "UA-2023-04-03-010385-a")</f>
        <v>UA-2023-04-03-010385-a</v>
      </c>
      <c r="Q151" s="30">
        <v>976.18724166666675</v>
      </c>
      <c r="R151" s="30">
        <v>1</v>
      </c>
      <c r="S151" s="30">
        <v>976.18724166666675</v>
      </c>
      <c r="T151" s="14">
        <v>45016</v>
      </c>
      <c r="U151" s="30"/>
      <c r="V151" s="30" t="s">
        <v>59</v>
      </c>
    </row>
    <row r="152" spans="1:22" ht="202.8" x14ac:dyDescent="0.3">
      <c r="A152" s="30">
        <v>148</v>
      </c>
      <c r="B152" s="30" t="s">
        <v>184</v>
      </c>
      <c r="C152" s="12" t="s">
        <v>41</v>
      </c>
      <c r="D152" s="30"/>
      <c r="E152" s="30" t="s">
        <v>88</v>
      </c>
      <c r="F152" s="12" t="s">
        <v>366</v>
      </c>
      <c r="G152" s="30" t="s">
        <v>184</v>
      </c>
      <c r="H152" s="30">
        <v>532.81869166666672</v>
      </c>
      <c r="I152" s="30">
        <v>1</v>
      </c>
      <c r="J152" s="30">
        <v>532.81869166666672</v>
      </c>
      <c r="K152" s="30">
        <v>532.81869166666672</v>
      </c>
      <c r="L152" s="30">
        <v>1</v>
      </c>
      <c r="M152" s="30">
        <v>532.81869166666672</v>
      </c>
      <c r="N152" s="3" t="s">
        <v>379</v>
      </c>
      <c r="O152" s="25">
        <v>45019</v>
      </c>
      <c r="P152" s="20" t="str">
        <f>HYPERLINK("https://my.zakupki.prom.ua/remote/dispatcher/state_purchase_view/41777421", "UA-2023-04-03-010561-a")</f>
        <v>UA-2023-04-03-010561-a</v>
      </c>
      <c r="Q152" s="30">
        <v>532.81869166666672</v>
      </c>
      <c r="R152" s="30">
        <v>1</v>
      </c>
      <c r="S152" s="30">
        <v>532.81869166666672</v>
      </c>
      <c r="T152" s="25">
        <v>45019</v>
      </c>
      <c r="U152" s="30"/>
      <c r="V152" s="30" t="s">
        <v>59</v>
      </c>
    </row>
    <row r="153" spans="1:22" ht="46.8" x14ac:dyDescent="0.3">
      <c r="A153" s="30">
        <v>149</v>
      </c>
      <c r="B153" s="30" t="s">
        <v>21</v>
      </c>
      <c r="C153" s="12" t="s">
        <v>171</v>
      </c>
      <c r="D153" s="30" t="s">
        <v>58</v>
      </c>
      <c r="E153" s="30" t="s">
        <v>373</v>
      </c>
      <c r="F153" s="12" t="s">
        <v>370</v>
      </c>
      <c r="G153" s="30" t="s">
        <v>186</v>
      </c>
      <c r="H153" s="30"/>
      <c r="I153" s="17">
        <v>4</v>
      </c>
      <c r="J153" s="30">
        <v>276.76841666666667</v>
      </c>
      <c r="K153" s="30"/>
      <c r="L153" s="17">
        <v>4</v>
      </c>
      <c r="M153" s="30">
        <v>276.76841666666667</v>
      </c>
      <c r="N153" s="3" t="s">
        <v>375</v>
      </c>
      <c r="O153" s="31">
        <v>45019</v>
      </c>
      <c r="P153" s="13" t="str">
        <f>HYPERLINK("https://my.zakupki.prom.ua/remote/dispatcher/state_purchase_view/41776493", "UA-2023-04-03-010145-a")</f>
        <v>UA-2023-04-03-010145-a</v>
      </c>
      <c r="Q153" s="30"/>
      <c r="R153" s="17">
        <v>4</v>
      </c>
      <c r="S153" s="30">
        <v>276.76841666666667</v>
      </c>
      <c r="T153" s="31">
        <v>45042</v>
      </c>
      <c r="U153" s="30"/>
      <c r="V153" s="30"/>
    </row>
    <row r="154" spans="1:22" ht="78" x14ac:dyDescent="0.3">
      <c r="A154" s="30">
        <v>150</v>
      </c>
      <c r="B154" s="30" t="s">
        <v>21</v>
      </c>
      <c r="C154" s="12" t="s">
        <v>372</v>
      </c>
      <c r="D154" s="30" t="s">
        <v>58</v>
      </c>
      <c r="E154" s="30" t="s">
        <v>373</v>
      </c>
      <c r="F154" s="12" t="s">
        <v>371</v>
      </c>
      <c r="G154" s="30" t="s">
        <v>186</v>
      </c>
      <c r="H154" s="30">
        <v>914.16666666666674</v>
      </c>
      <c r="I154" s="17">
        <v>43</v>
      </c>
      <c r="J154" s="30">
        <v>914.16666666666674</v>
      </c>
      <c r="K154" s="30">
        <v>914.16666666666674</v>
      </c>
      <c r="L154" s="17">
        <v>43</v>
      </c>
      <c r="M154" s="30">
        <v>914.16666666666674</v>
      </c>
      <c r="N154" s="3" t="s">
        <v>374</v>
      </c>
      <c r="O154" s="31">
        <v>45019</v>
      </c>
      <c r="P154" s="13" t="str">
        <f>HYPERLINK("https://my.zakupki.prom.ua/remote/dispatcher/state_purchase_view/41755715", "UA-2023-04-03-000950-a")</f>
        <v>UA-2023-04-03-000950-a</v>
      </c>
      <c r="Q154" s="30"/>
      <c r="R154" s="17">
        <v>43</v>
      </c>
      <c r="S154" s="30">
        <f>1051592.88/1000/1.2</f>
        <v>876.32740000000001</v>
      </c>
      <c r="T154" s="31">
        <v>45035</v>
      </c>
      <c r="U154" s="30"/>
      <c r="V154" s="30"/>
    </row>
    <row r="155" spans="1:22" ht="202.8" x14ac:dyDescent="0.3">
      <c r="A155" s="30">
        <v>151</v>
      </c>
      <c r="B155" s="30" t="s">
        <v>184</v>
      </c>
      <c r="C155" s="12" t="s">
        <v>41</v>
      </c>
      <c r="D155" s="30"/>
      <c r="E155" s="30" t="s">
        <v>88</v>
      </c>
      <c r="F155" s="12" t="s">
        <v>359</v>
      </c>
      <c r="G155" s="30" t="s">
        <v>184</v>
      </c>
      <c r="H155" s="30">
        <v>587.16880000000003</v>
      </c>
      <c r="I155" s="30">
        <v>1</v>
      </c>
      <c r="J155" s="30">
        <v>587.16880000000003</v>
      </c>
      <c r="K155" s="30">
        <v>587.16880000000003</v>
      </c>
      <c r="L155" s="30">
        <v>1</v>
      </c>
      <c r="M155" s="30">
        <v>587.16880000000003</v>
      </c>
      <c r="N155" s="3" t="s">
        <v>386</v>
      </c>
      <c r="O155" s="25">
        <v>45020</v>
      </c>
      <c r="P155" s="20" t="str">
        <f>HYPERLINK("https://my.zakupki.prom.ua/remote/dispatcher/state_purchase_view/41781166", "UA-2023-04-04-000779-a")</f>
        <v>UA-2023-04-04-000779-a</v>
      </c>
      <c r="Q155" s="30">
        <v>587.16880000000003</v>
      </c>
      <c r="R155" s="30">
        <v>1</v>
      </c>
      <c r="S155" s="30">
        <v>587.16880000000003</v>
      </c>
      <c r="T155" s="25">
        <v>45016</v>
      </c>
      <c r="U155" s="30"/>
      <c r="V155" s="30" t="s">
        <v>59</v>
      </c>
    </row>
    <row r="156" spans="1:22" ht="202.8" x14ac:dyDescent="0.3">
      <c r="A156" s="30">
        <v>152</v>
      </c>
      <c r="B156" s="30" t="s">
        <v>184</v>
      </c>
      <c r="C156" s="12" t="s">
        <v>41</v>
      </c>
      <c r="D156" s="30"/>
      <c r="E156" s="30" t="s">
        <v>88</v>
      </c>
      <c r="F156" s="12" t="s">
        <v>360</v>
      </c>
      <c r="G156" s="30" t="s">
        <v>184</v>
      </c>
      <c r="H156" s="30">
        <v>104.89009999999999</v>
      </c>
      <c r="I156" s="30">
        <v>1</v>
      </c>
      <c r="J156" s="30">
        <v>104.89009999999999</v>
      </c>
      <c r="K156" s="30">
        <v>104.89009999999999</v>
      </c>
      <c r="L156" s="30">
        <v>1</v>
      </c>
      <c r="M156" s="30">
        <v>104.89009999999999</v>
      </c>
      <c r="N156" s="3" t="s">
        <v>385</v>
      </c>
      <c r="O156" s="25">
        <v>45020</v>
      </c>
      <c r="P156" s="20" t="str">
        <f>HYPERLINK("https://my.zakupki.prom.ua/remote/dispatcher/state_purchase_view/41780913", "UA-2023-04-04-000680-a")</f>
        <v>UA-2023-04-04-000680-a</v>
      </c>
      <c r="Q156" s="30">
        <v>104.89009999999999</v>
      </c>
      <c r="R156" s="30">
        <v>1</v>
      </c>
      <c r="S156" s="30">
        <v>104.89009999999999</v>
      </c>
      <c r="T156" s="25">
        <v>45016</v>
      </c>
      <c r="U156" s="30"/>
      <c r="V156" s="30" t="s">
        <v>59</v>
      </c>
    </row>
    <row r="157" spans="1:22" ht="202.8" x14ac:dyDescent="0.3">
      <c r="A157" s="30">
        <v>153</v>
      </c>
      <c r="B157" s="30" t="s">
        <v>184</v>
      </c>
      <c r="C157" s="12" t="s">
        <v>41</v>
      </c>
      <c r="D157" s="30"/>
      <c r="E157" s="30" t="s">
        <v>88</v>
      </c>
      <c r="F157" s="12" t="s">
        <v>361</v>
      </c>
      <c r="G157" s="30" t="s">
        <v>184</v>
      </c>
      <c r="H157" s="30">
        <v>583.41170000000011</v>
      </c>
      <c r="I157" s="30">
        <v>1</v>
      </c>
      <c r="J157" s="30">
        <v>583.41170000000011</v>
      </c>
      <c r="K157" s="30">
        <v>583.41170000000011</v>
      </c>
      <c r="L157" s="30">
        <v>1</v>
      </c>
      <c r="M157" s="30">
        <v>583.41170000000011</v>
      </c>
      <c r="N157" s="3" t="s">
        <v>384</v>
      </c>
      <c r="O157" s="25">
        <v>45020</v>
      </c>
      <c r="P157" s="20" t="str">
        <f>HYPERLINK("https://my.zakupki.prom.ua/remote/dispatcher/state_purchase_view/41780303", "UA-2023-04-04-000406-a")</f>
        <v>UA-2023-04-04-000406-a</v>
      </c>
      <c r="Q157" s="30">
        <v>583.41170000000011</v>
      </c>
      <c r="R157" s="30">
        <v>1</v>
      </c>
      <c r="S157" s="30">
        <v>583.41170000000011</v>
      </c>
      <c r="T157" s="25">
        <v>45016</v>
      </c>
      <c r="U157" s="30"/>
      <c r="V157" s="30" t="s">
        <v>59</v>
      </c>
    </row>
    <row r="158" spans="1:22" ht="202.8" x14ac:dyDescent="0.3">
      <c r="A158" s="30">
        <v>154</v>
      </c>
      <c r="B158" s="30" t="s">
        <v>184</v>
      </c>
      <c r="C158" s="12" t="s">
        <v>41</v>
      </c>
      <c r="D158" s="30"/>
      <c r="E158" s="30" t="s">
        <v>88</v>
      </c>
      <c r="F158" s="12" t="s">
        <v>362</v>
      </c>
      <c r="G158" s="30" t="s">
        <v>184</v>
      </c>
      <c r="H158" s="30">
        <v>377.21148333333338</v>
      </c>
      <c r="I158" s="30">
        <v>1</v>
      </c>
      <c r="J158" s="30">
        <v>377.21148333333338</v>
      </c>
      <c r="K158" s="30">
        <v>377.21148333333338</v>
      </c>
      <c r="L158" s="30">
        <v>1</v>
      </c>
      <c r="M158" s="30">
        <v>377.21148333333338</v>
      </c>
      <c r="N158" s="3" t="s">
        <v>383</v>
      </c>
      <c r="O158" s="25">
        <v>45020</v>
      </c>
      <c r="P158" s="20" t="str">
        <f>HYPERLINK("https://my.zakupki.prom.ua/remote/dispatcher/state_purchase_view/41779624", "UA-2023-04-04-000133-a")</f>
        <v>UA-2023-04-04-000133-a</v>
      </c>
      <c r="Q158" s="30">
        <v>377.21148333333338</v>
      </c>
      <c r="R158" s="30">
        <v>1</v>
      </c>
      <c r="S158" s="30">
        <v>377.21148333333338</v>
      </c>
      <c r="T158" s="25">
        <v>45019</v>
      </c>
      <c r="U158" s="30"/>
      <c r="V158" s="30" t="s">
        <v>59</v>
      </c>
    </row>
    <row r="159" spans="1:22" ht="93.6" x14ac:dyDescent="0.3">
      <c r="A159" s="30">
        <v>155</v>
      </c>
      <c r="B159" s="30" t="s">
        <v>184</v>
      </c>
      <c r="C159" s="12" t="s">
        <v>41</v>
      </c>
      <c r="D159" s="30"/>
      <c r="E159" s="30" t="s">
        <v>88</v>
      </c>
      <c r="F159" s="12" t="s">
        <v>363</v>
      </c>
      <c r="G159" s="30" t="s">
        <v>184</v>
      </c>
      <c r="H159" s="30">
        <v>268.31505833333335</v>
      </c>
      <c r="I159" s="30">
        <v>1</v>
      </c>
      <c r="J159" s="30">
        <v>268.31505833333335</v>
      </c>
      <c r="K159" s="30">
        <v>268.31505833333335</v>
      </c>
      <c r="L159" s="30">
        <v>1</v>
      </c>
      <c r="M159" s="30">
        <v>268.31505833333335</v>
      </c>
      <c r="N159" s="3" t="s">
        <v>382</v>
      </c>
      <c r="O159" s="25">
        <v>45020</v>
      </c>
      <c r="P159" s="20" t="str">
        <f>HYPERLINK("https://my.zakupki.prom.ua/remote/dispatcher/state_purchase_view/41779398", "UA-2023-04-04-000049-a")</f>
        <v>UA-2023-04-04-000049-a</v>
      </c>
      <c r="Q159" s="30">
        <v>268.31505833333335</v>
      </c>
      <c r="R159" s="30">
        <v>1</v>
      </c>
      <c r="S159" s="30">
        <v>268.31505833333335</v>
      </c>
      <c r="T159" s="25">
        <v>45019</v>
      </c>
      <c r="U159" s="30"/>
      <c r="V159" s="30" t="s">
        <v>59</v>
      </c>
    </row>
    <row r="160" spans="1:22" ht="46.8" x14ac:dyDescent="0.3">
      <c r="A160" s="30">
        <v>156</v>
      </c>
      <c r="B160" s="30" t="s">
        <v>40</v>
      </c>
      <c r="C160" s="26" t="s">
        <v>389</v>
      </c>
      <c r="D160" s="30" t="s">
        <v>58</v>
      </c>
      <c r="E160" s="30" t="s">
        <v>88</v>
      </c>
      <c r="F160" s="30" t="s">
        <v>390</v>
      </c>
      <c r="G160" s="30" t="s">
        <v>184</v>
      </c>
      <c r="H160" s="30">
        <f>28358391.58/1000/1.2</f>
        <v>23631.992983333334</v>
      </c>
      <c r="I160" s="30">
        <v>1</v>
      </c>
      <c r="J160" s="30">
        <f>28358391.58/1000/1.2</f>
        <v>23631.992983333334</v>
      </c>
      <c r="K160" s="30">
        <f>28358391.58/1000/1.2</f>
        <v>23631.992983333334</v>
      </c>
      <c r="L160" s="30">
        <v>1</v>
      </c>
      <c r="M160" s="30">
        <f>28358391.58/1000/1.2</f>
        <v>23631.992983333334</v>
      </c>
      <c r="N160" s="3" t="s">
        <v>387</v>
      </c>
      <c r="O160" s="31">
        <v>45020</v>
      </c>
      <c r="P160" s="16" t="s">
        <v>388</v>
      </c>
      <c r="Q160" s="30">
        <f>28338391.58/1000/1.2</f>
        <v>23615.326316666666</v>
      </c>
      <c r="R160" s="30">
        <v>1</v>
      </c>
      <c r="S160" s="30">
        <f>28338391.58/1000/1.2</f>
        <v>23615.326316666666</v>
      </c>
      <c r="T160" s="31"/>
      <c r="U160" s="30"/>
      <c r="V160" s="30"/>
    </row>
    <row r="161" spans="1:22" ht="140.4" x14ac:dyDescent="0.3">
      <c r="A161" s="30">
        <v>157</v>
      </c>
      <c r="B161" s="30" t="s">
        <v>21</v>
      </c>
      <c r="C161" s="30" t="s">
        <v>36</v>
      </c>
      <c r="D161" s="30"/>
      <c r="E161" s="30" t="s">
        <v>88</v>
      </c>
      <c r="F161" s="12" t="s">
        <v>395</v>
      </c>
      <c r="G161" s="30" t="s">
        <v>185</v>
      </c>
      <c r="H161" s="30"/>
      <c r="I161" s="17">
        <v>28</v>
      </c>
      <c r="J161" s="30">
        <v>116.76</v>
      </c>
      <c r="K161" s="30"/>
      <c r="L161" s="17">
        <v>28</v>
      </c>
      <c r="M161" s="30">
        <v>116.76</v>
      </c>
      <c r="N161" s="3" t="s">
        <v>398</v>
      </c>
      <c r="O161" s="14">
        <v>45020</v>
      </c>
      <c r="P161" s="13" t="str">
        <f>HYPERLINK("https://my.zakupki.prom.ua/remote/dispatcher/state_purchase_view/41781756", "UA-2023-04-04-001043-a")</f>
        <v>UA-2023-04-04-001043-a</v>
      </c>
      <c r="Q161" s="30"/>
      <c r="R161" s="30">
        <v>28</v>
      </c>
      <c r="S161" s="30">
        <v>116.76</v>
      </c>
      <c r="T161" s="31">
        <v>45020</v>
      </c>
      <c r="U161" s="30"/>
      <c r="V161" s="30" t="s">
        <v>59</v>
      </c>
    </row>
    <row r="162" spans="1:22" ht="202.8" x14ac:dyDescent="0.3">
      <c r="A162" s="30">
        <v>158</v>
      </c>
      <c r="B162" s="30" t="s">
        <v>40</v>
      </c>
      <c r="C162" s="30" t="s">
        <v>41</v>
      </c>
      <c r="D162" s="30"/>
      <c r="E162" s="30" t="s">
        <v>88</v>
      </c>
      <c r="F162" s="12" t="s">
        <v>359</v>
      </c>
      <c r="G162" s="30" t="s">
        <v>184</v>
      </c>
      <c r="H162" s="30">
        <v>587.16880000000003</v>
      </c>
      <c r="I162" s="17">
        <v>1</v>
      </c>
      <c r="J162" s="30">
        <v>587.16880000000003</v>
      </c>
      <c r="K162" s="30">
        <v>587.16880000000003</v>
      </c>
      <c r="L162" s="17">
        <v>1</v>
      </c>
      <c r="M162" s="30">
        <v>587.16880000000003</v>
      </c>
      <c r="N162" s="3" t="s">
        <v>386</v>
      </c>
      <c r="O162" s="14">
        <v>45020</v>
      </c>
      <c r="P162" s="13" t="str">
        <f>HYPERLINK("https://my.zakupki.prom.ua/remote/dispatcher/state_purchase_view/41781166", "UA-2023-04-04-000779-a")</f>
        <v>UA-2023-04-04-000779-a</v>
      </c>
      <c r="Q162" s="30">
        <v>587.16880000000003</v>
      </c>
      <c r="R162" s="17">
        <v>1</v>
      </c>
      <c r="S162" s="30">
        <v>587.16880000000003</v>
      </c>
      <c r="T162" s="31">
        <v>45016</v>
      </c>
      <c r="U162" s="30"/>
      <c r="V162" s="30" t="s">
        <v>59</v>
      </c>
    </row>
    <row r="163" spans="1:22" ht="202.8" x14ac:dyDescent="0.3">
      <c r="A163" s="30">
        <v>159</v>
      </c>
      <c r="B163" s="30" t="s">
        <v>40</v>
      </c>
      <c r="C163" s="30" t="s">
        <v>41</v>
      </c>
      <c r="D163" s="30"/>
      <c r="E163" s="30" t="s">
        <v>88</v>
      </c>
      <c r="F163" s="12" t="s">
        <v>360</v>
      </c>
      <c r="G163" s="30" t="s">
        <v>184</v>
      </c>
      <c r="H163" s="30">
        <v>104.89009999999999</v>
      </c>
      <c r="I163" s="17">
        <v>1</v>
      </c>
      <c r="J163" s="30">
        <v>104.89009999999999</v>
      </c>
      <c r="K163" s="30">
        <v>104.89009999999999</v>
      </c>
      <c r="L163" s="17">
        <v>1</v>
      </c>
      <c r="M163" s="30">
        <v>104.89009999999999</v>
      </c>
      <c r="N163" s="3" t="s">
        <v>385</v>
      </c>
      <c r="O163" s="14">
        <v>45020</v>
      </c>
      <c r="P163" s="13" t="str">
        <f>HYPERLINK("https://my.zakupki.prom.ua/remote/dispatcher/state_purchase_view/41780913", "UA-2023-04-04-000680-a")</f>
        <v>UA-2023-04-04-000680-a</v>
      </c>
      <c r="Q163" s="30">
        <v>104.89009999999999</v>
      </c>
      <c r="R163" s="17">
        <v>1</v>
      </c>
      <c r="S163" s="30">
        <v>104.89009999999999</v>
      </c>
      <c r="T163" s="31">
        <v>45016</v>
      </c>
      <c r="U163" s="30"/>
      <c r="V163" s="30" t="s">
        <v>59</v>
      </c>
    </row>
    <row r="164" spans="1:22" ht="202.8" x14ac:dyDescent="0.3">
      <c r="A164" s="30">
        <v>160</v>
      </c>
      <c r="B164" s="30" t="s">
        <v>40</v>
      </c>
      <c r="C164" s="30" t="s">
        <v>41</v>
      </c>
      <c r="D164" s="30"/>
      <c r="E164" s="30" t="s">
        <v>88</v>
      </c>
      <c r="F164" s="12" t="s">
        <v>361</v>
      </c>
      <c r="G164" s="30" t="s">
        <v>184</v>
      </c>
      <c r="H164" s="30">
        <v>583.41170000000011</v>
      </c>
      <c r="I164" s="17">
        <v>1</v>
      </c>
      <c r="J164" s="30">
        <v>583.41170000000011</v>
      </c>
      <c r="K164" s="30">
        <v>583.41170000000011</v>
      </c>
      <c r="L164" s="17">
        <v>1</v>
      </c>
      <c r="M164" s="30">
        <v>583.41170000000011</v>
      </c>
      <c r="N164" s="3" t="s">
        <v>384</v>
      </c>
      <c r="O164" s="14">
        <v>45020</v>
      </c>
      <c r="P164" s="13" t="str">
        <f>HYPERLINK("https://my.zakupki.prom.ua/remote/dispatcher/state_purchase_view/41780303", "UA-2023-04-04-000406-a")</f>
        <v>UA-2023-04-04-000406-a</v>
      </c>
      <c r="Q164" s="30">
        <v>583.41170000000011</v>
      </c>
      <c r="R164" s="17">
        <v>1</v>
      </c>
      <c r="S164" s="30">
        <v>583.41170000000011</v>
      </c>
      <c r="T164" s="31">
        <v>45016</v>
      </c>
      <c r="U164" s="30"/>
      <c r="V164" s="30" t="s">
        <v>59</v>
      </c>
    </row>
    <row r="165" spans="1:22" ht="202.8" x14ac:dyDescent="0.3">
      <c r="A165" s="30">
        <v>161</v>
      </c>
      <c r="B165" s="30" t="s">
        <v>40</v>
      </c>
      <c r="C165" s="30" t="s">
        <v>41</v>
      </c>
      <c r="D165" s="30"/>
      <c r="E165" s="30" t="s">
        <v>88</v>
      </c>
      <c r="F165" s="12" t="s">
        <v>362</v>
      </c>
      <c r="G165" s="30" t="s">
        <v>184</v>
      </c>
      <c r="H165" s="30">
        <v>377.21148333333338</v>
      </c>
      <c r="I165" s="17">
        <v>1</v>
      </c>
      <c r="J165" s="30">
        <v>377.21148333333338</v>
      </c>
      <c r="K165" s="30">
        <v>377.21148333333338</v>
      </c>
      <c r="L165" s="17">
        <v>1</v>
      </c>
      <c r="M165" s="30">
        <v>377.21148333333338</v>
      </c>
      <c r="N165" s="3" t="s">
        <v>383</v>
      </c>
      <c r="O165" s="14">
        <v>45020</v>
      </c>
      <c r="P165" s="13" t="str">
        <f>HYPERLINK("https://my.zakupki.prom.ua/remote/dispatcher/state_purchase_view/41779624", "UA-2023-04-04-000133-a")</f>
        <v>UA-2023-04-04-000133-a</v>
      </c>
      <c r="Q165" s="30">
        <v>377.21148333333338</v>
      </c>
      <c r="R165" s="17">
        <v>1</v>
      </c>
      <c r="S165" s="30">
        <v>377.21148333333338</v>
      </c>
      <c r="T165" s="31">
        <v>45019</v>
      </c>
      <c r="U165" s="30"/>
      <c r="V165" s="30" t="s">
        <v>59</v>
      </c>
    </row>
    <row r="166" spans="1:22" ht="93.6" x14ac:dyDescent="0.3">
      <c r="A166" s="30">
        <v>162</v>
      </c>
      <c r="B166" s="30" t="s">
        <v>40</v>
      </c>
      <c r="C166" s="30" t="s">
        <v>41</v>
      </c>
      <c r="D166" s="30"/>
      <c r="E166" s="30" t="s">
        <v>88</v>
      </c>
      <c r="F166" s="12" t="s">
        <v>363</v>
      </c>
      <c r="G166" s="30" t="s">
        <v>184</v>
      </c>
      <c r="H166" s="30">
        <v>268.31505833333335</v>
      </c>
      <c r="I166" s="17">
        <v>1</v>
      </c>
      <c r="J166" s="30">
        <v>268.31505833333335</v>
      </c>
      <c r="K166" s="30">
        <v>268.31505833333335</v>
      </c>
      <c r="L166" s="17">
        <v>1</v>
      </c>
      <c r="M166" s="30">
        <v>268.31505833333335</v>
      </c>
      <c r="N166" s="3" t="s">
        <v>382</v>
      </c>
      <c r="O166" s="14">
        <v>45020</v>
      </c>
      <c r="P166" s="13" t="str">
        <f>HYPERLINK("https://my.zakupki.prom.ua/remote/dispatcher/state_purchase_view/41779398", "UA-2023-04-04-000049-a")</f>
        <v>UA-2023-04-04-000049-a</v>
      </c>
      <c r="Q166" s="30">
        <v>268.31505833333335</v>
      </c>
      <c r="R166" s="17">
        <v>1</v>
      </c>
      <c r="S166" s="30">
        <v>268.31505833333335</v>
      </c>
      <c r="T166" s="31">
        <v>45019</v>
      </c>
      <c r="U166" s="30"/>
      <c r="V166" s="30" t="s">
        <v>59</v>
      </c>
    </row>
    <row r="167" spans="1:22" ht="171.6" x14ac:dyDescent="0.3">
      <c r="A167" s="30">
        <v>163</v>
      </c>
      <c r="B167" s="30" t="s">
        <v>40</v>
      </c>
      <c r="C167" s="30" t="s">
        <v>41</v>
      </c>
      <c r="D167" s="30"/>
      <c r="E167" s="30" t="s">
        <v>88</v>
      </c>
      <c r="F167" s="12" t="s">
        <v>364</v>
      </c>
      <c r="G167" s="30" t="s">
        <v>184</v>
      </c>
      <c r="H167" s="30">
        <v>102.19039166666667</v>
      </c>
      <c r="I167" s="17">
        <v>1</v>
      </c>
      <c r="J167" s="30">
        <v>102.19039166666667</v>
      </c>
      <c r="K167" s="30">
        <v>102.19039166666667</v>
      </c>
      <c r="L167" s="17">
        <v>1</v>
      </c>
      <c r="M167" s="30">
        <v>102.19039166666667</v>
      </c>
      <c r="N167" s="3" t="s">
        <v>381</v>
      </c>
      <c r="O167" s="14">
        <v>45020</v>
      </c>
      <c r="P167" s="13" t="str">
        <f>HYPERLINK("https://my.zakupki.prom.ua/remote/dispatcher/state_purchase_view/41779380", "UA-2023-04-04-000044-a")</f>
        <v>UA-2023-04-04-000044-a</v>
      </c>
      <c r="Q167" s="30">
        <v>102.19039166666667</v>
      </c>
      <c r="R167" s="17">
        <v>1</v>
      </c>
      <c r="S167" s="30">
        <v>102.19039166666667</v>
      </c>
      <c r="T167" s="31">
        <v>45016</v>
      </c>
      <c r="U167" s="30"/>
      <c r="V167" s="30" t="s">
        <v>59</v>
      </c>
    </row>
    <row r="168" spans="1:22" ht="62.4" x14ac:dyDescent="0.3">
      <c r="A168" s="30">
        <v>164</v>
      </c>
      <c r="B168" s="30" t="s">
        <v>40</v>
      </c>
      <c r="C168" s="30" t="s">
        <v>41</v>
      </c>
      <c r="D168" s="30"/>
      <c r="E168" s="30" t="s">
        <v>373</v>
      </c>
      <c r="F168" s="12" t="s">
        <v>392</v>
      </c>
      <c r="G168" s="30" t="s">
        <v>184</v>
      </c>
      <c r="H168" s="30">
        <v>773.17223333333334</v>
      </c>
      <c r="I168" s="17">
        <v>1</v>
      </c>
      <c r="J168" s="30">
        <v>773.17223333333334</v>
      </c>
      <c r="K168" s="30">
        <v>773.17223333333334</v>
      </c>
      <c r="L168" s="17">
        <v>1</v>
      </c>
      <c r="M168" s="30">
        <v>773.17223333333334</v>
      </c>
      <c r="N168" s="3" t="s">
        <v>399</v>
      </c>
      <c r="O168" s="14">
        <v>45021</v>
      </c>
      <c r="P168" s="13" t="str">
        <f>HYPERLINK("https://my.zakupki.prom.ua/remote/dispatcher/state_purchase_view/41830605", "UA-2023-04-05-010348-a")</f>
        <v>UA-2023-04-05-010348-a</v>
      </c>
      <c r="Q168" s="30">
        <v>773.17223333333334</v>
      </c>
      <c r="R168" s="17">
        <v>1</v>
      </c>
      <c r="S168" s="30">
        <v>773.17223333333334</v>
      </c>
      <c r="T168" s="31">
        <v>45021</v>
      </c>
      <c r="U168" s="30"/>
      <c r="V168" s="30" t="s">
        <v>59</v>
      </c>
    </row>
    <row r="169" spans="1:22" ht="109.2" x14ac:dyDescent="0.3">
      <c r="A169" s="30">
        <v>165</v>
      </c>
      <c r="B169" s="30" t="s">
        <v>40</v>
      </c>
      <c r="C169" s="30" t="s">
        <v>41</v>
      </c>
      <c r="D169" s="30"/>
      <c r="E169" s="30" t="s">
        <v>373</v>
      </c>
      <c r="F169" s="12" t="s">
        <v>393</v>
      </c>
      <c r="G169" s="30" t="s">
        <v>184</v>
      </c>
      <c r="H169" s="30">
        <v>433.25754999999998</v>
      </c>
      <c r="I169" s="17">
        <v>1</v>
      </c>
      <c r="J169" s="30">
        <v>433.25754999999998</v>
      </c>
      <c r="K169" s="30">
        <v>433.25754999999998</v>
      </c>
      <c r="L169" s="17">
        <v>1</v>
      </c>
      <c r="M169" s="30">
        <v>433.25754999999998</v>
      </c>
      <c r="N169" s="3" t="s">
        <v>400</v>
      </c>
      <c r="O169" s="14">
        <v>45021</v>
      </c>
      <c r="P169" s="13" t="str">
        <f>HYPERLINK("https://my.zakupki.prom.ua/remote/dispatcher/state_purchase_view/41829038", "UA-2023-04-05-009691-a")</f>
        <v>UA-2023-04-05-009691-a</v>
      </c>
      <c r="Q169" s="30">
        <v>433.25754999999998</v>
      </c>
      <c r="R169" s="17">
        <v>1</v>
      </c>
      <c r="S169" s="30">
        <v>433.25754999999998</v>
      </c>
      <c r="T169" s="31">
        <v>45021</v>
      </c>
      <c r="U169" s="30"/>
      <c r="V169" s="30" t="s">
        <v>59</v>
      </c>
    </row>
    <row r="170" spans="1:22" ht="62.4" x14ac:dyDescent="0.3">
      <c r="A170" s="30">
        <v>166</v>
      </c>
      <c r="B170" s="30" t="s">
        <v>40</v>
      </c>
      <c r="C170" s="30" t="s">
        <v>396</v>
      </c>
      <c r="D170" s="30"/>
      <c r="E170" s="30" t="s">
        <v>75</v>
      </c>
      <c r="F170" s="12" t="s">
        <v>394</v>
      </c>
      <c r="G170" s="30" t="s">
        <v>184</v>
      </c>
      <c r="H170" s="30">
        <v>147.59993333333335</v>
      </c>
      <c r="I170" s="17">
        <v>1</v>
      </c>
      <c r="J170" s="30">
        <v>147.59993333333335</v>
      </c>
      <c r="K170" s="30">
        <v>147.59993333333335</v>
      </c>
      <c r="L170" s="17">
        <v>1</v>
      </c>
      <c r="M170" s="30">
        <v>147.59993333333335</v>
      </c>
      <c r="N170" s="3" t="s">
        <v>401</v>
      </c>
      <c r="O170" s="14">
        <v>45021</v>
      </c>
      <c r="P170" s="13" t="str">
        <f>HYPERLINK("https://my.zakupki.prom.ua/remote/dispatcher/state_purchase_view/41816730", "UA-2023-04-05-004163-a")</f>
        <v>UA-2023-04-05-004163-a</v>
      </c>
      <c r="Q170" s="30">
        <v>147.59993333333335</v>
      </c>
      <c r="R170" s="17">
        <v>1</v>
      </c>
      <c r="S170" s="30">
        <v>147.59993333333335</v>
      </c>
      <c r="T170" s="31">
        <v>45015</v>
      </c>
      <c r="U170" s="30"/>
      <c r="V170" s="30" t="s">
        <v>59</v>
      </c>
    </row>
    <row r="171" spans="1:22" ht="62.4" x14ac:dyDescent="0.3">
      <c r="A171" s="30">
        <v>167</v>
      </c>
      <c r="B171" s="30" t="s">
        <v>21</v>
      </c>
      <c r="C171" s="30" t="s">
        <v>178</v>
      </c>
      <c r="D171" s="30" t="s">
        <v>58</v>
      </c>
      <c r="E171" s="30" t="s">
        <v>88</v>
      </c>
      <c r="F171" s="12" t="s">
        <v>391</v>
      </c>
      <c r="G171" s="30" t="s">
        <v>185</v>
      </c>
      <c r="H171" s="30" t="s">
        <v>397</v>
      </c>
      <c r="I171" s="17">
        <v>20</v>
      </c>
      <c r="J171" s="30">
        <v>125.4</v>
      </c>
      <c r="K171" s="30"/>
      <c r="L171" s="17">
        <v>20</v>
      </c>
      <c r="M171" s="30">
        <v>125.4</v>
      </c>
      <c r="N171" s="3" t="s">
        <v>402</v>
      </c>
      <c r="O171" s="14">
        <v>45023</v>
      </c>
      <c r="P171" s="13" t="str">
        <f>HYPERLINK("https://my.zakupki.prom.ua/remote/dispatcher/state_purchase_view/41866240", "UA-2023-04-07-001645-a")</f>
        <v>UA-2023-04-07-001645-a</v>
      </c>
      <c r="Q171" s="30"/>
      <c r="R171" s="30"/>
      <c r="S171" s="30"/>
      <c r="T171" s="31"/>
      <c r="U171" s="30" t="s">
        <v>410</v>
      </c>
      <c r="V171" s="30"/>
    </row>
    <row r="172" spans="1:22" ht="62.4" x14ac:dyDescent="0.3">
      <c r="A172" s="30">
        <v>168</v>
      </c>
      <c r="B172" s="30" t="s">
        <v>40</v>
      </c>
      <c r="C172" s="30" t="s">
        <v>41</v>
      </c>
      <c r="D172" s="30"/>
      <c r="E172" s="30" t="s">
        <v>373</v>
      </c>
      <c r="F172" s="30" t="s">
        <v>403</v>
      </c>
      <c r="G172" s="30" t="s">
        <v>184</v>
      </c>
      <c r="H172" s="27">
        <f>984854.68/1000/1.2</f>
        <v>820.71223333333342</v>
      </c>
      <c r="I172" s="30">
        <v>1</v>
      </c>
      <c r="J172" s="27">
        <f>984854.68/1000/1.2</f>
        <v>820.71223333333342</v>
      </c>
      <c r="K172" s="27">
        <f>984854.68/1000/1.2</f>
        <v>820.71223333333342</v>
      </c>
      <c r="L172" s="30">
        <v>1</v>
      </c>
      <c r="M172" s="27">
        <f>984854.68/1000/1.2</f>
        <v>820.71223333333342</v>
      </c>
      <c r="N172" s="3" t="s">
        <v>407</v>
      </c>
      <c r="O172" s="31">
        <v>45033</v>
      </c>
      <c r="P172" s="20" t="str">
        <f>HYPERLINK("https://my.zakupki.prom.ua/remote/dispatcher/state_purchase_view/42015454", "UA-2023-04-17-000351-a")</f>
        <v>UA-2023-04-17-000351-a</v>
      </c>
      <c r="Q172" s="27">
        <f>984854.68/1000/1.2</f>
        <v>820.71223333333342</v>
      </c>
      <c r="R172" s="30">
        <v>1</v>
      </c>
      <c r="S172" s="27">
        <f>984854.68/1000/1.2</f>
        <v>820.71223333333342</v>
      </c>
      <c r="T172" s="31">
        <v>45030</v>
      </c>
      <c r="U172" s="30"/>
      <c r="V172" s="30" t="s">
        <v>59</v>
      </c>
    </row>
    <row r="173" spans="1:22" ht="62.4" x14ac:dyDescent="0.3">
      <c r="A173" s="30">
        <v>169</v>
      </c>
      <c r="B173" s="30" t="s">
        <v>40</v>
      </c>
      <c r="C173" s="30" t="s">
        <v>41</v>
      </c>
      <c r="D173" s="30"/>
      <c r="E173" s="30" t="s">
        <v>75</v>
      </c>
      <c r="F173" s="30" t="s">
        <v>404</v>
      </c>
      <c r="G173" s="30" t="s">
        <v>184</v>
      </c>
      <c r="H173" s="27">
        <f>115076.1/1000/1.2</f>
        <v>95.896750000000011</v>
      </c>
      <c r="I173" s="30">
        <v>1</v>
      </c>
      <c r="J173" s="27">
        <f>115076.1/1000/1.2</f>
        <v>95.896750000000011</v>
      </c>
      <c r="K173" s="27">
        <f>115076.1/1000/1.2</f>
        <v>95.896750000000011</v>
      </c>
      <c r="L173" s="30">
        <v>1</v>
      </c>
      <c r="M173" s="27">
        <f>115076.1/1000/1.2</f>
        <v>95.896750000000011</v>
      </c>
      <c r="N173" s="3" t="s">
        <v>408</v>
      </c>
      <c r="O173" s="31">
        <v>45033</v>
      </c>
      <c r="P173" s="20" t="str">
        <f>HYPERLINK("https://my.zakupki.prom.ua/remote/dispatcher/state_purchase_view/42015243", "UA-2023-04-17-000253-a")</f>
        <v>UA-2023-04-17-000253-a</v>
      </c>
      <c r="Q173" s="27">
        <f>115076.1/1000/1.2</f>
        <v>95.896750000000011</v>
      </c>
      <c r="R173" s="30">
        <v>1</v>
      </c>
      <c r="S173" s="27">
        <f>115076.1/1000/1.2</f>
        <v>95.896750000000011</v>
      </c>
      <c r="T173" s="31">
        <v>45030</v>
      </c>
      <c r="U173" s="30"/>
      <c r="V173" s="30" t="s">
        <v>59</v>
      </c>
    </row>
    <row r="174" spans="1:22" ht="62.4" x14ac:dyDescent="0.3">
      <c r="A174" s="30">
        <v>170</v>
      </c>
      <c r="B174" s="30" t="s">
        <v>21</v>
      </c>
      <c r="C174" s="30" t="s">
        <v>406</v>
      </c>
      <c r="D174" s="30"/>
      <c r="E174" s="30" t="s">
        <v>373</v>
      </c>
      <c r="F174" s="30" t="s">
        <v>405</v>
      </c>
      <c r="G174" s="30" t="s">
        <v>186</v>
      </c>
      <c r="H174" s="30"/>
      <c r="I174" s="30">
        <v>14</v>
      </c>
      <c r="J174" s="27">
        <f>789259.6/1000/1.2</f>
        <v>657.7163333333333</v>
      </c>
      <c r="K174" s="30"/>
      <c r="L174" s="30">
        <v>14</v>
      </c>
      <c r="M174" s="27">
        <f>789259.6/1000/1.2</f>
        <v>657.7163333333333</v>
      </c>
      <c r="N174" s="3" t="s">
        <v>409</v>
      </c>
      <c r="O174" s="31">
        <v>45036</v>
      </c>
      <c r="P174" s="20" t="str">
        <f>HYPERLINK("https://my.zakupki.prom.ua/remote/dispatcher/state_purchase_view/42099519", "UA-2023-04-20-008821-a")</f>
        <v>UA-2023-04-20-008821-a</v>
      </c>
      <c r="Q174" s="30"/>
      <c r="R174" s="30">
        <v>14</v>
      </c>
      <c r="S174" s="27">
        <f>789259.6/1000/1.2</f>
        <v>657.7163333333333</v>
      </c>
      <c r="T174" s="31">
        <v>45054</v>
      </c>
      <c r="U174" s="30"/>
      <c r="V174" s="30"/>
    </row>
    <row r="175" spans="1:22" ht="62.4" x14ac:dyDescent="0.3">
      <c r="A175" s="30">
        <v>171</v>
      </c>
      <c r="B175" s="30" t="s">
        <v>21</v>
      </c>
      <c r="C175" s="30" t="s">
        <v>413</v>
      </c>
      <c r="D175" s="30" t="s">
        <v>58</v>
      </c>
      <c r="E175" s="30" t="s">
        <v>373</v>
      </c>
      <c r="F175" s="30" t="s">
        <v>411</v>
      </c>
      <c r="G175" s="18" t="s">
        <v>185</v>
      </c>
      <c r="H175" s="27">
        <v>583.22500000000002</v>
      </c>
      <c r="I175" s="19">
        <v>1</v>
      </c>
      <c r="J175" s="27">
        <v>583.22500000000002</v>
      </c>
      <c r="K175" s="27">
        <v>583.22500000000002</v>
      </c>
      <c r="L175" s="19">
        <v>1</v>
      </c>
      <c r="M175" s="27">
        <v>583.22500000000002</v>
      </c>
      <c r="N175" s="3" t="s">
        <v>414</v>
      </c>
      <c r="O175" s="25">
        <v>45041</v>
      </c>
      <c r="P175" s="20" t="str">
        <f>HYPERLINK("https://my.zakupki.prom.ua/remote/dispatcher/state_purchase_view/42175596", "UA-2023-04-25-007183-a")</f>
        <v>UA-2023-04-25-007183-a</v>
      </c>
      <c r="Q175" s="30"/>
      <c r="R175" s="30"/>
      <c r="S175" s="27"/>
      <c r="T175" s="31"/>
      <c r="U175" s="30" t="s">
        <v>459</v>
      </c>
      <c r="V175" s="30"/>
    </row>
    <row r="176" spans="1:22" ht="78" x14ac:dyDescent="0.3">
      <c r="A176" s="30">
        <v>172</v>
      </c>
      <c r="B176" s="30" t="s">
        <v>21</v>
      </c>
      <c r="C176" s="30" t="s">
        <v>32</v>
      </c>
      <c r="D176" s="30" t="s">
        <v>58</v>
      </c>
      <c r="E176" s="30" t="s">
        <v>373</v>
      </c>
      <c r="F176" s="30" t="s">
        <v>412</v>
      </c>
      <c r="G176" s="18" t="s">
        <v>185</v>
      </c>
      <c r="H176" s="27">
        <v>632.02200000000005</v>
      </c>
      <c r="I176" s="19">
        <v>1</v>
      </c>
      <c r="J176" s="27">
        <v>632.02200000000005</v>
      </c>
      <c r="K176" s="27">
        <v>632.02200000000005</v>
      </c>
      <c r="L176" s="19">
        <v>1</v>
      </c>
      <c r="M176" s="27">
        <v>632.02200000000005</v>
      </c>
      <c r="N176" s="3" t="s">
        <v>415</v>
      </c>
      <c r="O176" s="25">
        <v>45041</v>
      </c>
      <c r="P176" s="20" t="str">
        <f>HYPERLINK("https://my.zakupki.prom.ua/remote/dispatcher/state_purchase_view/42175373", "UA-2023-04-25-007048-a")</f>
        <v>UA-2023-04-25-007048-a</v>
      </c>
      <c r="Q176" s="30"/>
      <c r="R176" s="30"/>
      <c r="S176" s="27"/>
      <c r="T176" s="31"/>
      <c r="U176" s="30" t="s">
        <v>93</v>
      </c>
      <c r="V176" s="30"/>
    </row>
    <row r="177" spans="1:22" ht="62.4" x14ac:dyDescent="0.3">
      <c r="A177" s="30">
        <v>173</v>
      </c>
      <c r="B177" s="30" t="s">
        <v>21</v>
      </c>
      <c r="C177" s="30" t="s">
        <v>406</v>
      </c>
      <c r="D177" s="30" t="s">
        <v>58</v>
      </c>
      <c r="E177" s="30" t="s">
        <v>373</v>
      </c>
      <c r="F177" s="30" t="s">
        <v>405</v>
      </c>
      <c r="G177" s="18" t="s">
        <v>186</v>
      </c>
      <c r="H177" s="30"/>
      <c r="I177" s="19">
        <v>119</v>
      </c>
      <c r="J177" s="27">
        <v>7769.3255600000002</v>
      </c>
      <c r="K177" s="30"/>
      <c r="L177" s="19">
        <v>119</v>
      </c>
      <c r="M177" s="27">
        <v>7769.3255600000002</v>
      </c>
      <c r="N177" s="3" t="s">
        <v>416</v>
      </c>
      <c r="O177" s="25">
        <v>45041</v>
      </c>
      <c r="P177" s="20" t="str">
        <f>HYPERLINK("https://my.zakupki.prom.ua/remote/dispatcher/state_purchase_view/42166907", "UA-2023-04-25-003327-a")</f>
        <v>UA-2023-04-25-003327-a</v>
      </c>
      <c r="Q177" s="30"/>
      <c r="R177" s="30"/>
      <c r="S177" s="27"/>
      <c r="T177" s="31"/>
      <c r="U177" s="30" t="s">
        <v>436</v>
      </c>
      <c r="V177" s="30"/>
    </row>
    <row r="178" spans="1:22" ht="62.4" x14ac:dyDescent="0.3">
      <c r="A178" s="30">
        <v>174</v>
      </c>
      <c r="B178" s="30" t="s">
        <v>21</v>
      </c>
      <c r="C178" s="30" t="s">
        <v>406</v>
      </c>
      <c r="D178" s="30" t="s">
        <v>58</v>
      </c>
      <c r="E178" s="30" t="s">
        <v>373</v>
      </c>
      <c r="F178" s="30" t="s">
        <v>405</v>
      </c>
      <c r="G178" s="18" t="s">
        <v>186</v>
      </c>
      <c r="H178" s="30"/>
      <c r="I178" s="19">
        <v>120</v>
      </c>
      <c r="J178" s="27">
        <v>8426.268</v>
      </c>
      <c r="K178" s="30"/>
      <c r="L178" s="19">
        <v>120</v>
      </c>
      <c r="M178" s="27">
        <v>8426.268</v>
      </c>
      <c r="N178" s="3" t="s">
        <v>437</v>
      </c>
      <c r="O178" s="25">
        <v>45042</v>
      </c>
      <c r="P178" s="28" t="s">
        <v>438</v>
      </c>
      <c r="Q178" s="30"/>
      <c r="R178" s="30">
        <v>88</v>
      </c>
      <c r="S178" s="27">
        <v>6436.5798000000004</v>
      </c>
      <c r="T178" s="31">
        <v>45063</v>
      </c>
      <c r="U178" s="30"/>
      <c r="V178" s="30"/>
    </row>
    <row r="179" spans="1:22" ht="78" x14ac:dyDescent="0.3">
      <c r="A179" s="30">
        <v>175</v>
      </c>
      <c r="B179" s="30" t="s">
        <v>40</v>
      </c>
      <c r="C179" s="30" t="s">
        <v>426</v>
      </c>
      <c r="D179" s="30"/>
      <c r="E179" s="30" t="s">
        <v>88</v>
      </c>
      <c r="F179" s="30" t="s">
        <v>417</v>
      </c>
      <c r="G179" s="30" t="s">
        <v>184</v>
      </c>
      <c r="H179" s="30">
        <v>57.85</v>
      </c>
      <c r="I179" s="30">
        <v>1</v>
      </c>
      <c r="J179" s="30">
        <v>57.85</v>
      </c>
      <c r="K179" s="30">
        <v>57.85</v>
      </c>
      <c r="L179" s="30">
        <v>1</v>
      </c>
      <c r="M179" s="30">
        <v>57.85</v>
      </c>
      <c r="N179" s="3" t="s">
        <v>427</v>
      </c>
      <c r="O179" s="25">
        <v>45043</v>
      </c>
      <c r="P179" s="20" t="str">
        <f>HYPERLINK("https://my.zakupki.prom.ua/remote/dispatcher/state_purchase_view/42219107", "UA-2023-04-27-001496-a")</f>
        <v>UA-2023-04-27-001496-a</v>
      </c>
      <c r="Q179" s="30">
        <v>57.85</v>
      </c>
      <c r="R179" s="30">
        <v>1</v>
      </c>
      <c r="S179" s="30">
        <v>57.85</v>
      </c>
      <c r="T179" s="24">
        <v>45042</v>
      </c>
      <c r="U179" s="30"/>
      <c r="V179" s="30" t="s">
        <v>59</v>
      </c>
    </row>
    <row r="180" spans="1:22" ht="78" x14ac:dyDescent="0.3">
      <c r="A180" s="30">
        <v>176</v>
      </c>
      <c r="B180" s="30" t="s">
        <v>40</v>
      </c>
      <c r="C180" s="30" t="s">
        <v>426</v>
      </c>
      <c r="D180" s="30"/>
      <c r="E180" s="30" t="s">
        <v>88</v>
      </c>
      <c r="F180" s="30" t="s">
        <v>418</v>
      </c>
      <c r="G180" s="30" t="s">
        <v>184</v>
      </c>
      <c r="H180" s="30">
        <v>108.58</v>
      </c>
      <c r="I180" s="30">
        <v>1</v>
      </c>
      <c r="J180" s="30">
        <v>108.58</v>
      </c>
      <c r="K180" s="30">
        <v>108.58</v>
      </c>
      <c r="L180" s="30">
        <v>1</v>
      </c>
      <c r="M180" s="30">
        <v>108.58</v>
      </c>
      <c r="N180" s="3" t="s">
        <v>428</v>
      </c>
      <c r="O180" s="25">
        <v>45043</v>
      </c>
      <c r="P180" s="20" t="str">
        <f>HYPERLINK("https://my.zakupki.prom.ua/remote/dispatcher/state_purchase_view/42220687", "UA-2023-04-27-002191-a")</f>
        <v>UA-2023-04-27-002191-a</v>
      </c>
      <c r="Q180" s="30">
        <v>108.58</v>
      </c>
      <c r="R180" s="30">
        <v>1</v>
      </c>
      <c r="S180" s="30">
        <v>108.58</v>
      </c>
      <c r="T180" s="24">
        <v>45042</v>
      </c>
      <c r="U180" s="30"/>
      <c r="V180" s="30" t="s">
        <v>59</v>
      </c>
    </row>
    <row r="181" spans="1:22" ht="62.4" x14ac:dyDescent="0.3">
      <c r="A181" s="30">
        <v>177</v>
      </c>
      <c r="B181" s="30" t="s">
        <v>40</v>
      </c>
      <c r="C181" s="30" t="s">
        <v>426</v>
      </c>
      <c r="D181" s="30"/>
      <c r="E181" s="30" t="s">
        <v>88</v>
      </c>
      <c r="F181" s="30" t="s">
        <v>419</v>
      </c>
      <c r="G181" s="30" t="s">
        <v>184</v>
      </c>
      <c r="H181" s="30">
        <v>108.58</v>
      </c>
      <c r="I181" s="30">
        <v>1</v>
      </c>
      <c r="J181" s="30">
        <v>108.58</v>
      </c>
      <c r="K181" s="30">
        <v>108.58</v>
      </c>
      <c r="L181" s="30">
        <v>1</v>
      </c>
      <c r="M181" s="30">
        <v>108.58</v>
      </c>
      <c r="N181" s="3" t="s">
        <v>429</v>
      </c>
      <c r="O181" s="25">
        <v>45043</v>
      </c>
      <c r="P181" s="20" t="str">
        <f>HYPERLINK("https://my.zakupki.prom.ua/remote/dispatcher/state_purchase_view/42221401", "UA-2023-04-27-002515-a")</f>
        <v>UA-2023-04-27-002515-a</v>
      </c>
      <c r="Q181" s="30">
        <v>108.58</v>
      </c>
      <c r="R181" s="30">
        <v>1</v>
      </c>
      <c r="S181" s="30">
        <v>108.58</v>
      </c>
      <c r="T181" s="24">
        <v>45042</v>
      </c>
      <c r="U181" s="30"/>
      <c r="V181" s="30" t="s">
        <v>59</v>
      </c>
    </row>
    <row r="182" spans="1:22" ht="62.4" x14ac:dyDescent="0.3">
      <c r="A182" s="30">
        <v>178</v>
      </c>
      <c r="B182" s="30" t="s">
        <v>40</v>
      </c>
      <c r="C182" s="30" t="s">
        <v>426</v>
      </c>
      <c r="D182" s="30"/>
      <c r="E182" s="30" t="s">
        <v>88</v>
      </c>
      <c r="F182" s="30" t="s">
        <v>420</v>
      </c>
      <c r="G182" s="30" t="s">
        <v>184</v>
      </c>
      <c r="H182" s="30">
        <v>50.73</v>
      </c>
      <c r="I182" s="30">
        <v>1</v>
      </c>
      <c r="J182" s="30">
        <v>50.73</v>
      </c>
      <c r="K182" s="30">
        <v>50.73</v>
      </c>
      <c r="L182" s="30">
        <v>1</v>
      </c>
      <c r="M182" s="30">
        <v>50.73</v>
      </c>
      <c r="N182" s="3" t="s">
        <v>430</v>
      </c>
      <c r="O182" s="25">
        <v>45043</v>
      </c>
      <c r="P182" s="20" t="str">
        <f>HYPERLINK("https://my.zakupki.prom.ua/remote/dispatcher/state_purchase_view/42221724", "UA-2023-04-27-002688-a")</f>
        <v>UA-2023-04-27-002688-a</v>
      </c>
      <c r="Q182" s="30">
        <v>50.73</v>
      </c>
      <c r="R182" s="30">
        <v>1</v>
      </c>
      <c r="S182" s="30">
        <v>50.73</v>
      </c>
      <c r="T182" s="24">
        <v>45042</v>
      </c>
      <c r="U182" s="30"/>
      <c r="V182" s="30" t="s">
        <v>59</v>
      </c>
    </row>
    <row r="183" spans="1:22" ht="62.4" x14ac:dyDescent="0.3">
      <c r="A183" s="30">
        <v>179</v>
      </c>
      <c r="B183" s="30" t="s">
        <v>40</v>
      </c>
      <c r="C183" s="30" t="s">
        <v>426</v>
      </c>
      <c r="D183" s="30"/>
      <c r="E183" s="30" t="s">
        <v>88</v>
      </c>
      <c r="F183" s="30" t="s">
        <v>421</v>
      </c>
      <c r="G183" s="30" t="s">
        <v>184</v>
      </c>
      <c r="H183" s="30">
        <v>65.86</v>
      </c>
      <c r="I183" s="30">
        <v>1</v>
      </c>
      <c r="J183" s="30">
        <v>65.86</v>
      </c>
      <c r="K183" s="30">
        <v>65.86</v>
      </c>
      <c r="L183" s="30">
        <v>1</v>
      </c>
      <c r="M183" s="30">
        <v>65.86</v>
      </c>
      <c r="N183" s="3" t="s">
        <v>431</v>
      </c>
      <c r="O183" s="25">
        <v>45043</v>
      </c>
      <c r="P183" s="20" t="str">
        <f>HYPERLINK("https://my.zakupki.prom.ua/remote/dispatcher/state_purchase_view/42223552", "UA-2023-04-27-003600-a")</f>
        <v>UA-2023-04-27-003600-a</v>
      </c>
      <c r="Q183" s="30">
        <v>65.86</v>
      </c>
      <c r="R183" s="30">
        <v>1</v>
      </c>
      <c r="S183" s="30">
        <v>65.86</v>
      </c>
      <c r="T183" s="24">
        <v>45042</v>
      </c>
      <c r="U183" s="30"/>
      <c r="V183" s="30" t="s">
        <v>59</v>
      </c>
    </row>
    <row r="184" spans="1:22" ht="140.4" x14ac:dyDescent="0.3">
      <c r="A184" s="30">
        <v>180</v>
      </c>
      <c r="B184" s="30" t="s">
        <v>40</v>
      </c>
      <c r="C184" s="30" t="s">
        <v>73</v>
      </c>
      <c r="D184" s="30"/>
      <c r="E184" s="30" t="s">
        <v>75</v>
      </c>
      <c r="F184" s="30" t="s">
        <v>422</v>
      </c>
      <c r="G184" s="30" t="s">
        <v>184</v>
      </c>
      <c r="H184" s="30">
        <v>314.91000000000003</v>
      </c>
      <c r="I184" s="30">
        <v>1</v>
      </c>
      <c r="J184" s="30">
        <v>314.91000000000003</v>
      </c>
      <c r="K184" s="30">
        <v>314.91000000000003</v>
      </c>
      <c r="L184" s="30">
        <v>1</v>
      </c>
      <c r="M184" s="30">
        <v>314.91000000000003</v>
      </c>
      <c r="N184" s="3" t="s">
        <v>432</v>
      </c>
      <c r="O184" s="25">
        <v>45047</v>
      </c>
      <c r="P184" s="20" t="str">
        <f>HYPERLINK("https://my.zakupki.prom.ua/remote/dispatcher/state_purchase_view/42279435", "UA-2023-05-01-006160-a")</f>
        <v>UA-2023-05-01-006160-a</v>
      </c>
      <c r="Q184" s="30">
        <v>314.91000000000003</v>
      </c>
      <c r="R184" s="30">
        <v>1</v>
      </c>
      <c r="S184" s="30">
        <v>314.91000000000003</v>
      </c>
      <c r="T184" s="24">
        <v>45047</v>
      </c>
      <c r="U184" s="30"/>
      <c r="V184" s="30" t="s">
        <v>59</v>
      </c>
    </row>
    <row r="185" spans="1:22" ht="156" x14ac:dyDescent="0.3">
      <c r="A185" s="30">
        <v>181</v>
      </c>
      <c r="B185" s="30" t="s">
        <v>40</v>
      </c>
      <c r="C185" s="30" t="s">
        <v>73</v>
      </c>
      <c r="D185" s="30"/>
      <c r="E185" s="30" t="s">
        <v>75</v>
      </c>
      <c r="F185" s="30" t="s">
        <v>423</v>
      </c>
      <c r="G185" s="30" t="s">
        <v>184</v>
      </c>
      <c r="H185" s="30">
        <v>144.48566666666665</v>
      </c>
      <c r="I185" s="30">
        <v>1</v>
      </c>
      <c r="J185" s="30">
        <v>144.48566666666665</v>
      </c>
      <c r="K185" s="30">
        <v>144.48566666666665</v>
      </c>
      <c r="L185" s="30">
        <v>1</v>
      </c>
      <c r="M185" s="30">
        <v>144.48566666666665</v>
      </c>
      <c r="N185" s="3" t="s">
        <v>433</v>
      </c>
      <c r="O185" s="25">
        <v>45050</v>
      </c>
      <c r="P185" s="20" t="str">
        <f>HYPERLINK("https://my.zakupki.prom.ua/remote/dispatcher/state_purchase_view/42376032", "UA-2023-05-04-010342-a")</f>
        <v>UA-2023-05-04-010342-a</v>
      </c>
      <c r="Q185" s="30">
        <v>144.48566666666665</v>
      </c>
      <c r="R185" s="30">
        <v>1</v>
      </c>
      <c r="S185" s="30">
        <v>144.48566666666665</v>
      </c>
      <c r="T185" s="24">
        <v>45050</v>
      </c>
      <c r="U185" s="30"/>
      <c r="V185" s="30" t="s">
        <v>59</v>
      </c>
    </row>
    <row r="186" spans="1:22" ht="140.4" x14ac:dyDescent="0.3">
      <c r="A186" s="30">
        <v>182</v>
      </c>
      <c r="B186" s="30" t="s">
        <v>40</v>
      </c>
      <c r="C186" s="30" t="s">
        <v>73</v>
      </c>
      <c r="D186" s="30"/>
      <c r="E186" s="30" t="s">
        <v>75</v>
      </c>
      <c r="F186" s="30" t="s">
        <v>424</v>
      </c>
      <c r="G186" s="30" t="s">
        <v>184</v>
      </c>
      <c r="H186" s="30">
        <v>173.63946666666666</v>
      </c>
      <c r="I186" s="30">
        <v>1</v>
      </c>
      <c r="J186" s="30">
        <v>173.63946666666666</v>
      </c>
      <c r="K186" s="30">
        <v>173.63946666666666</v>
      </c>
      <c r="L186" s="30">
        <v>1</v>
      </c>
      <c r="M186" s="30">
        <v>173.63946666666666</v>
      </c>
      <c r="N186" s="3" t="s">
        <v>434</v>
      </c>
      <c r="O186" s="25">
        <v>45050</v>
      </c>
      <c r="P186" s="20" t="str">
        <f>HYPERLINK("https://my.zakupki.prom.ua/remote/dispatcher/state_purchase_view/42377342", "UA-2023-05-04-010968-a")</f>
        <v>UA-2023-05-04-010968-a</v>
      </c>
      <c r="Q186" s="30">
        <v>173.63946666666666</v>
      </c>
      <c r="R186" s="30">
        <v>1</v>
      </c>
      <c r="S186" s="30">
        <v>173.63946666666666</v>
      </c>
      <c r="T186" s="24">
        <v>45050</v>
      </c>
      <c r="U186" s="30"/>
      <c r="V186" s="30" t="s">
        <v>59</v>
      </c>
    </row>
    <row r="187" spans="1:22" ht="140.4" x14ac:dyDescent="0.3">
      <c r="A187" s="30">
        <v>183</v>
      </c>
      <c r="B187" s="30" t="s">
        <v>40</v>
      </c>
      <c r="C187" s="30" t="s">
        <v>73</v>
      </c>
      <c r="D187" s="30"/>
      <c r="E187" s="30" t="s">
        <v>75</v>
      </c>
      <c r="F187" s="30" t="s">
        <v>425</v>
      </c>
      <c r="G187" s="30" t="s">
        <v>184</v>
      </c>
      <c r="H187" s="30">
        <v>133.45370833333334</v>
      </c>
      <c r="I187" s="30">
        <v>1</v>
      </c>
      <c r="J187" s="30">
        <v>133.45370833333334</v>
      </c>
      <c r="K187" s="30">
        <v>133.45370833333334</v>
      </c>
      <c r="L187" s="30">
        <v>1</v>
      </c>
      <c r="M187" s="30">
        <v>133.45370833333334</v>
      </c>
      <c r="N187" s="3" t="s">
        <v>435</v>
      </c>
      <c r="O187" s="25">
        <v>45050</v>
      </c>
      <c r="P187" s="20" t="str">
        <f>HYPERLINK("https://my.zakupki.prom.ua/remote/dispatcher/state_purchase_view/42379010", "UA-2023-05-04-011709-a")</f>
        <v>UA-2023-05-04-011709-a</v>
      </c>
      <c r="Q187" s="30">
        <v>133.45370833333334</v>
      </c>
      <c r="R187" s="30">
        <v>1</v>
      </c>
      <c r="S187" s="30">
        <v>133.45370833333334</v>
      </c>
      <c r="T187" s="24">
        <v>45050</v>
      </c>
      <c r="U187" s="30"/>
      <c r="V187" s="30" t="s">
        <v>59</v>
      </c>
    </row>
    <row r="188" spans="1:22" ht="171.6" x14ac:dyDescent="0.3">
      <c r="A188" s="30">
        <v>184</v>
      </c>
      <c r="B188" s="30" t="s">
        <v>40</v>
      </c>
      <c r="C188" s="30" t="s">
        <v>41</v>
      </c>
      <c r="D188" s="30"/>
      <c r="E188" s="30" t="s">
        <v>373</v>
      </c>
      <c r="F188" s="30" t="s">
        <v>439</v>
      </c>
      <c r="G188" s="30" t="s">
        <v>184</v>
      </c>
      <c r="H188" s="30">
        <v>163.76835833333334</v>
      </c>
      <c r="I188" s="30">
        <v>1</v>
      </c>
      <c r="J188" s="30">
        <v>163.76835833333334</v>
      </c>
      <c r="K188" s="30">
        <v>163.76835833333334</v>
      </c>
      <c r="L188" s="30">
        <v>1</v>
      </c>
      <c r="M188" s="30">
        <v>163.76835833333334</v>
      </c>
      <c r="N188" s="3" t="s">
        <v>449</v>
      </c>
      <c r="O188" s="25">
        <v>45056</v>
      </c>
      <c r="P188" s="20" t="str">
        <f>HYPERLINK("https://my.zakupki.prom.ua/remote/dispatcher/state_purchase_view/42505239", "UA-2023-05-10-013084-a")</f>
        <v>UA-2023-05-10-013084-a</v>
      </c>
      <c r="Q188" s="30">
        <v>163.76835833333334</v>
      </c>
      <c r="R188" s="30">
        <v>1</v>
      </c>
      <c r="S188" s="30">
        <v>163.76835833333334</v>
      </c>
      <c r="T188" s="24">
        <v>45056</v>
      </c>
      <c r="U188" s="30"/>
      <c r="V188" s="30" t="s">
        <v>59</v>
      </c>
    </row>
    <row r="189" spans="1:22" ht="187.2" x14ac:dyDescent="0.3">
      <c r="A189" s="30">
        <v>185</v>
      </c>
      <c r="B189" s="30" t="s">
        <v>40</v>
      </c>
      <c r="C189" s="30" t="s">
        <v>41</v>
      </c>
      <c r="D189" s="30"/>
      <c r="E189" s="30" t="s">
        <v>373</v>
      </c>
      <c r="F189" s="30" t="s">
        <v>440</v>
      </c>
      <c r="G189" s="30" t="s">
        <v>184</v>
      </c>
      <c r="H189" s="30">
        <v>1215.2384916666667</v>
      </c>
      <c r="I189" s="30">
        <v>1</v>
      </c>
      <c r="J189" s="30">
        <v>1215.2384916666667</v>
      </c>
      <c r="K189" s="30">
        <v>1215.2384916666667</v>
      </c>
      <c r="L189" s="30">
        <v>1</v>
      </c>
      <c r="M189" s="30">
        <v>1215.2384916666667</v>
      </c>
      <c r="N189" s="3" t="s">
        <v>450</v>
      </c>
      <c r="O189" s="25">
        <v>45056</v>
      </c>
      <c r="P189" s="20" t="str">
        <f>HYPERLINK("https://my.zakupki.prom.ua/remote/dispatcher/state_purchase_view/42504562", "UA-2023-05-10-012762-a")</f>
        <v>UA-2023-05-10-012762-a</v>
      </c>
      <c r="Q189" s="30">
        <v>1215.2384916666667</v>
      </c>
      <c r="R189" s="30">
        <v>1</v>
      </c>
      <c r="S189" s="30">
        <v>1215.2384916666667</v>
      </c>
      <c r="T189" s="24">
        <v>45056</v>
      </c>
      <c r="U189" s="30"/>
      <c r="V189" s="30" t="s">
        <v>59</v>
      </c>
    </row>
    <row r="190" spans="1:22" ht="156" x14ac:dyDescent="0.3">
      <c r="A190" s="30">
        <v>186</v>
      </c>
      <c r="B190" s="30" t="s">
        <v>40</v>
      </c>
      <c r="C190" s="30" t="s">
        <v>41</v>
      </c>
      <c r="D190" s="30"/>
      <c r="E190" s="30" t="s">
        <v>373</v>
      </c>
      <c r="F190" s="30" t="s">
        <v>441</v>
      </c>
      <c r="G190" s="30" t="s">
        <v>184</v>
      </c>
      <c r="H190" s="30">
        <v>69.363516666666669</v>
      </c>
      <c r="I190" s="30">
        <v>1</v>
      </c>
      <c r="J190" s="30">
        <v>69.363516666666669</v>
      </c>
      <c r="K190" s="30">
        <v>69.363516666666669</v>
      </c>
      <c r="L190" s="30">
        <v>1</v>
      </c>
      <c r="M190" s="30">
        <v>69.363516666666669</v>
      </c>
      <c r="N190" s="3" t="s">
        <v>451</v>
      </c>
      <c r="O190" s="25">
        <v>45057</v>
      </c>
      <c r="P190" s="20" t="str">
        <f>HYPERLINK("https://my.zakupki.prom.ua/remote/dispatcher/state_purchase_view/42520847", "UA-2023-05-11-005095-a")</f>
        <v>UA-2023-05-11-005095-a</v>
      </c>
      <c r="Q190" s="30">
        <v>69.363516666666669</v>
      </c>
      <c r="R190" s="30">
        <v>1</v>
      </c>
      <c r="S190" s="30">
        <v>69.363516666666669</v>
      </c>
      <c r="T190" s="24">
        <v>45057</v>
      </c>
      <c r="U190" s="30"/>
      <c r="V190" s="30" t="s">
        <v>59</v>
      </c>
    </row>
    <row r="191" spans="1:22" ht="62.4" x14ac:dyDescent="0.3">
      <c r="A191" s="30">
        <v>187</v>
      </c>
      <c r="B191" s="9" t="s">
        <v>21</v>
      </c>
      <c r="C191" s="9" t="s">
        <v>413</v>
      </c>
      <c r="D191" s="30" t="s">
        <v>58</v>
      </c>
      <c r="E191" s="9" t="s">
        <v>373</v>
      </c>
      <c r="F191" s="9" t="s">
        <v>442</v>
      </c>
      <c r="G191" s="9" t="s">
        <v>448</v>
      </c>
      <c r="H191" s="9">
        <v>583.22500000000002</v>
      </c>
      <c r="I191" s="9">
        <v>1</v>
      </c>
      <c r="J191" s="9">
        <v>583.22500000000002</v>
      </c>
      <c r="K191" s="9">
        <v>583.22500000000002</v>
      </c>
      <c r="L191" s="9">
        <v>1</v>
      </c>
      <c r="M191" s="9">
        <v>583.22500000000002</v>
      </c>
      <c r="N191" s="32" t="s">
        <v>452</v>
      </c>
      <c r="O191" s="36">
        <v>45057</v>
      </c>
      <c r="P191" s="29" t="str">
        <f>HYPERLINK("https://my.zakupki.prom.ua/remote/dispatcher/state_purchase_view/42520239", "UA-2023-05-11-004787-a")</f>
        <v>UA-2023-05-11-004787-a</v>
      </c>
      <c r="Q191" s="9">
        <v>575</v>
      </c>
      <c r="R191" s="9">
        <v>1</v>
      </c>
      <c r="S191" s="9">
        <v>575</v>
      </c>
      <c r="T191" s="10">
        <v>45078</v>
      </c>
      <c r="U191" s="9"/>
      <c r="V191" s="9"/>
    </row>
    <row r="192" spans="1:22" s="11" customFormat="1" ht="62.4" x14ac:dyDescent="0.3">
      <c r="A192" s="30">
        <v>188</v>
      </c>
      <c r="B192" s="30" t="s">
        <v>40</v>
      </c>
      <c r="C192" s="30" t="s">
        <v>41</v>
      </c>
      <c r="D192" s="30"/>
      <c r="E192" s="30" t="s">
        <v>75</v>
      </c>
      <c r="F192" s="30" t="s">
        <v>443</v>
      </c>
      <c r="G192" s="30" t="s">
        <v>184</v>
      </c>
      <c r="H192" s="30">
        <v>271.84916666666669</v>
      </c>
      <c r="I192" s="30">
        <v>1</v>
      </c>
      <c r="J192" s="30">
        <v>271.84916666666669</v>
      </c>
      <c r="K192" s="30">
        <v>271.84916666666669</v>
      </c>
      <c r="L192" s="30">
        <v>1</v>
      </c>
      <c r="M192" s="30">
        <v>271.84916666666669</v>
      </c>
      <c r="N192" s="3" t="s">
        <v>453</v>
      </c>
      <c r="O192" s="25">
        <v>45058</v>
      </c>
      <c r="P192" s="20" t="str">
        <f>HYPERLINK("https://my.zakupki.prom.ua/remote/dispatcher/state_purchase_view/42556878", "UA-2023-05-12-007347-a")</f>
        <v>UA-2023-05-12-007347-a</v>
      </c>
      <c r="Q192" s="30">
        <v>271.84916666666669</v>
      </c>
      <c r="R192" s="30">
        <v>1</v>
      </c>
      <c r="S192" s="30">
        <v>271.84916666666669</v>
      </c>
      <c r="T192" s="31">
        <v>45058</v>
      </c>
      <c r="U192" s="30"/>
      <c r="V192" s="30" t="s">
        <v>59</v>
      </c>
    </row>
    <row r="193" spans="1:22" s="11" customFormat="1" ht="62.4" x14ac:dyDescent="0.3">
      <c r="A193" s="30">
        <v>189</v>
      </c>
      <c r="B193" s="30" t="s">
        <v>40</v>
      </c>
      <c r="C193" s="30" t="s">
        <v>41</v>
      </c>
      <c r="D193" s="30"/>
      <c r="E193" s="30" t="s">
        <v>75</v>
      </c>
      <c r="F193" s="30" t="s">
        <v>444</v>
      </c>
      <c r="G193" s="30" t="s">
        <v>184</v>
      </c>
      <c r="H193" s="30">
        <v>372.05005833333337</v>
      </c>
      <c r="I193" s="30">
        <v>1</v>
      </c>
      <c r="J193" s="30">
        <v>372.05005833333337</v>
      </c>
      <c r="K193" s="30">
        <v>372.05005833333337</v>
      </c>
      <c r="L193" s="30">
        <v>1</v>
      </c>
      <c r="M193" s="30">
        <v>372.05005833333337</v>
      </c>
      <c r="N193" s="3" t="s">
        <v>454</v>
      </c>
      <c r="O193" s="25">
        <v>45058</v>
      </c>
      <c r="P193" s="20" t="str">
        <f>HYPERLINK("https://my.zakupki.prom.ua/remote/dispatcher/state_purchase_view/42556376", "UA-2023-05-12-007145-a")</f>
        <v>UA-2023-05-12-007145-a</v>
      </c>
      <c r="Q193" s="30">
        <v>372.05005833333337</v>
      </c>
      <c r="R193" s="30">
        <v>1</v>
      </c>
      <c r="S193" s="30">
        <v>372.05005833333337</v>
      </c>
      <c r="T193" s="24">
        <v>45058</v>
      </c>
      <c r="U193" s="30"/>
      <c r="V193" s="30" t="s">
        <v>59</v>
      </c>
    </row>
    <row r="194" spans="1:22" s="11" customFormat="1" ht="62.4" x14ac:dyDescent="0.3">
      <c r="A194" s="30">
        <v>190</v>
      </c>
      <c r="B194" s="30" t="s">
        <v>40</v>
      </c>
      <c r="C194" s="30" t="s">
        <v>41</v>
      </c>
      <c r="D194" s="30"/>
      <c r="E194" s="30" t="s">
        <v>75</v>
      </c>
      <c r="F194" s="30" t="s">
        <v>445</v>
      </c>
      <c r="G194" s="30" t="s">
        <v>184</v>
      </c>
      <c r="H194" s="30">
        <v>306.93824166666667</v>
      </c>
      <c r="I194" s="30">
        <v>1</v>
      </c>
      <c r="J194" s="30">
        <v>306.93824166666667</v>
      </c>
      <c r="K194" s="30">
        <v>306.93824166666667</v>
      </c>
      <c r="L194" s="30">
        <v>1</v>
      </c>
      <c r="M194" s="30">
        <v>306.93824166666667</v>
      </c>
      <c r="N194" s="3" t="s">
        <v>455</v>
      </c>
      <c r="O194" s="25">
        <v>45058</v>
      </c>
      <c r="P194" s="20" t="str">
        <f>HYPERLINK("https://my.zakupki.prom.ua/remote/dispatcher/state_purchase_view/42556155", "UA-2023-05-12-007007-a")</f>
        <v>UA-2023-05-12-007007-a</v>
      </c>
      <c r="Q194" s="30">
        <v>306.93824166666667</v>
      </c>
      <c r="R194" s="30">
        <v>1</v>
      </c>
      <c r="S194" s="30">
        <v>306.93824166666667</v>
      </c>
      <c r="T194" s="24">
        <v>45058</v>
      </c>
      <c r="U194" s="30"/>
      <c r="V194" s="30" t="s">
        <v>59</v>
      </c>
    </row>
    <row r="195" spans="1:22" s="11" customFormat="1" ht="156" x14ac:dyDescent="0.3">
      <c r="A195" s="30">
        <v>191</v>
      </c>
      <c r="B195" s="30" t="s">
        <v>40</v>
      </c>
      <c r="C195" s="30" t="s">
        <v>73</v>
      </c>
      <c r="D195" s="30"/>
      <c r="E195" s="30" t="s">
        <v>75</v>
      </c>
      <c r="F195" s="30" t="s">
        <v>446</v>
      </c>
      <c r="G195" s="30" t="s">
        <v>184</v>
      </c>
      <c r="H195" s="30">
        <v>155.66611666666668</v>
      </c>
      <c r="I195" s="30">
        <v>1</v>
      </c>
      <c r="J195" s="30">
        <v>155.66611666666668</v>
      </c>
      <c r="K195" s="30">
        <v>155.66611666666668</v>
      </c>
      <c r="L195" s="30">
        <v>1</v>
      </c>
      <c r="M195" s="30">
        <v>155.66611666666668</v>
      </c>
      <c r="N195" s="3" t="s">
        <v>456</v>
      </c>
      <c r="O195" s="25">
        <v>45058</v>
      </c>
      <c r="P195" s="20" t="str">
        <f>HYPERLINK("https://my.zakupki.prom.ua/remote/dispatcher/state_purchase_view/42551980", "UA-2023-05-12-004983-a")</f>
        <v>UA-2023-05-12-004983-a</v>
      </c>
      <c r="Q195" s="30">
        <v>155.66611666666668</v>
      </c>
      <c r="R195" s="30">
        <v>1</v>
      </c>
      <c r="S195" s="30">
        <v>155.66611666666668</v>
      </c>
      <c r="T195" s="24">
        <v>45058</v>
      </c>
      <c r="U195" s="30"/>
      <c r="V195" s="30" t="s">
        <v>59</v>
      </c>
    </row>
    <row r="196" spans="1:22" s="11" customFormat="1" ht="46.8" x14ac:dyDescent="0.3">
      <c r="A196" s="30">
        <v>192</v>
      </c>
      <c r="B196" s="30" t="s">
        <v>21</v>
      </c>
      <c r="C196" s="30" t="s">
        <v>32</v>
      </c>
      <c r="D196" s="30" t="s">
        <v>58</v>
      </c>
      <c r="E196" s="30" t="s">
        <v>373</v>
      </c>
      <c r="F196" s="30" t="s">
        <v>447</v>
      </c>
      <c r="G196" s="30" t="s">
        <v>448</v>
      </c>
      <c r="H196" s="30">
        <v>647.70000000000005</v>
      </c>
      <c r="I196" s="30">
        <v>1</v>
      </c>
      <c r="J196" s="30">
        <v>647.70000000000005</v>
      </c>
      <c r="K196" s="30">
        <v>647.70000000000005</v>
      </c>
      <c r="L196" s="30">
        <v>1</v>
      </c>
      <c r="M196" s="30">
        <v>647.70000000000005</v>
      </c>
      <c r="N196" s="3" t="s">
        <v>457</v>
      </c>
      <c r="O196" s="25">
        <v>45061</v>
      </c>
      <c r="P196" s="20" t="str">
        <f>HYPERLINK("https://my.zakupki.prom.ua/remote/dispatcher/state_purchase_view/42596750", "UA-2023-05-15-012110-a")</f>
        <v>UA-2023-05-15-012110-a</v>
      </c>
      <c r="Q196" s="30">
        <v>491.66667000000001</v>
      </c>
      <c r="R196" s="30">
        <v>1</v>
      </c>
      <c r="S196" s="30">
        <v>491.66667000000001</v>
      </c>
      <c r="T196" s="31">
        <v>45076</v>
      </c>
      <c r="U196" s="30"/>
      <c r="V196" s="30"/>
    </row>
    <row r="197" spans="1:22" s="11" customFormat="1" ht="62.4" x14ac:dyDescent="0.3">
      <c r="A197" s="30">
        <v>193</v>
      </c>
      <c r="B197" s="30" t="s">
        <v>40</v>
      </c>
      <c r="C197" s="12" t="s">
        <v>41</v>
      </c>
      <c r="D197" s="30"/>
      <c r="E197" s="30" t="s">
        <v>373</v>
      </c>
      <c r="F197" s="30" t="s">
        <v>460</v>
      </c>
      <c r="G197" s="30" t="s">
        <v>184</v>
      </c>
      <c r="H197" s="27">
        <f>548892.58/1.2/1000</f>
        <v>457.41048333333333</v>
      </c>
      <c r="I197" s="30">
        <v>1</v>
      </c>
      <c r="J197" s="27">
        <f>548892.58/1.2/1000</f>
        <v>457.41048333333333</v>
      </c>
      <c r="K197" s="27">
        <f>548892.58/1.2/1000</f>
        <v>457.41048333333333</v>
      </c>
      <c r="L197" s="30">
        <v>1</v>
      </c>
      <c r="M197" s="27">
        <f>548892.58/1.2/1000</f>
        <v>457.41048333333333</v>
      </c>
      <c r="N197" s="3" t="s">
        <v>462</v>
      </c>
      <c r="O197" s="25">
        <v>45076</v>
      </c>
      <c r="P197" s="20" t="str">
        <f>HYPERLINK("https://my.zakupki.prom.ua/remote/dispatcher/state_purchase_view/42937572", "UA-2023-05-30-010582-a")</f>
        <v>UA-2023-05-30-010582-a</v>
      </c>
      <c r="Q197" s="27">
        <f>548892.58/1.2/1000</f>
        <v>457.41048333333333</v>
      </c>
      <c r="R197" s="30">
        <v>1</v>
      </c>
      <c r="S197" s="27">
        <f>548892.58/1.2/1000</f>
        <v>457.41048333333333</v>
      </c>
      <c r="T197" s="24">
        <v>45076</v>
      </c>
      <c r="U197" s="30"/>
      <c r="V197" s="30" t="s">
        <v>59</v>
      </c>
    </row>
    <row r="198" spans="1:22" s="11" customFormat="1" ht="62.4" x14ac:dyDescent="0.3">
      <c r="A198" s="30">
        <v>194</v>
      </c>
      <c r="B198" s="30" t="s">
        <v>40</v>
      </c>
      <c r="C198" s="12" t="s">
        <v>41</v>
      </c>
      <c r="D198" s="30"/>
      <c r="E198" s="30" t="s">
        <v>373</v>
      </c>
      <c r="F198" s="30" t="s">
        <v>461</v>
      </c>
      <c r="G198" s="30" t="s">
        <v>184</v>
      </c>
      <c r="H198" s="27">
        <f>338040.43/1.2/100</f>
        <v>2817.0035833333332</v>
      </c>
      <c r="I198" s="30">
        <v>1</v>
      </c>
      <c r="J198" s="27">
        <f>338040.43/1.2/100</f>
        <v>2817.0035833333332</v>
      </c>
      <c r="K198" s="27">
        <f>338040.43/1.2/100</f>
        <v>2817.0035833333332</v>
      </c>
      <c r="L198" s="30">
        <v>1</v>
      </c>
      <c r="M198" s="27">
        <f>338040.43/1.2/100</f>
        <v>2817.0035833333332</v>
      </c>
      <c r="N198" s="3" t="s">
        <v>463</v>
      </c>
      <c r="O198" s="25">
        <v>45082</v>
      </c>
      <c r="P198" s="20" t="str">
        <f>HYPERLINK("https://my.zakupki.prom.ua/remote/dispatcher/state_purchase_view/43050145", "UA-2023-06-05-010990-a")</f>
        <v>UA-2023-06-05-010990-a</v>
      </c>
      <c r="Q198" s="27">
        <f>338040.43/1.2/100</f>
        <v>2817.0035833333332</v>
      </c>
      <c r="R198" s="30">
        <v>1</v>
      </c>
      <c r="S198" s="27">
        <f>338040.43/1.2/100</f>
        <v>2817.0035833333332</v>
      </c>
      <c r="T198" s="24">
        <v>45082</v>
      </c>
      <c r="U198" s="30"/>
      <c r="V198" s="30" t="s">
        <v>59</v>
      </c>
    </row>
    <row r="199" spans="1:22" ht="171.6" x14ac:dyDescent="0.3">
      <c r="A199" s="30">
        <v>195</v>
      </c>
      <c r="B199" s="30" t="s">
        <v>40</v>
      </c>
      <c r="C199" s="30" t="s">
        <v>73</v>
      </c>
      <c r="D199" s="30"/>
      <c r="E199" s="30" t="s">
        <v>75</v>
      </c>
      <c r="F199" s="30" t="s">
        <v>464</v>
      </c>
      <c r="G199" s="30" t="s">
        <v>184</v>
      </c>
      <c r="H199" s="30">
        <v>150.00306666666668</v>
      </c>
      <c r="I199" s="30">
        <v>1</v>
      </c>
      <c r="J199" s="30">
        <v>150.00306666666668</v>
      </c>
      <c r="K199" s="30">
        <v>150.00306666666668</v>
      </c>
      <c r="L199" s="30">
        <v>1</v>
      </c>
      <c r="M199" s="30">
        <v>150.00306666666668</v>
      </c>
      <c r="N199" s="3" t="s">
        <v>470</v>
      </c>
      <c r="O199" s="31">
        <v>45092</v>
      </c>
      <c r="P199" s="20" t="str">
        <f>HYPERLINK("https://my.zakupki.prom.ua/remote/dispatcher/state_purchase_view/43318727", "UA-2023-06-15-009126-a")</f>
        <v>UA-2023-06-15-009126-a</v>
      </c>
      <c r="Q199" s="30">
        <v>150.00306666666668</v>
      </c>
      <c r="R199" s="30">
        <v>1</v>
      </c>
      <c r="S199" s="30">
        <v>150.00306666666668</v>
      </c>
      <c r="T199" s="31">
        <v>45092</v>
      </c>
      <c r="U199" s="30"/>
      <c r="V199" s="30" t="s">
        <v>59</v>
      </c>
    </row>
    <row r="200" spans="1:22" ht="62.4" x14ac:dyDescent="0.3">
      <c r="A200" s="30">
        <v>196</v>
      </c>
      <c r="B200" s="30" t="s">
        <v>40</v>
      </c>
      <c r="C200" s="30" t="s">
        <v>73</v>
      </c>
      <c r="D200" s="30"/>
      <c r="E200" s="30" t="s">
        <v>75</v>
      </c>
      <c r="F200" s="30" t="s">
        <v>465</v>
      </c>
      <c r="G200" s="30" t="s">
        <v>184</v>
      </c>
      <c r="H200" s="30">
        <v>136.7357916666667</v>
      </c>
      <c r="I200" s="30">
        <v>1</v>
      </c>
      <c r="J200" s="30">
        <v>136.7357916666667</v>
      </c>
      <c r="K200" s="30">
        <v>136.7357916666667</v>
      </c>
      <c r="L200" s="30">
        <v>1</v>
      </c>
      <c r="M200" s="30">
        <v>136.7357916666667</v>
      </c>
      <c r="N200" s="3" t="s">
        <v>471</v>
      </c>
      <c r="O200" s="31">
        <v>45092</v>
      </c>
      <c r="P200" s="20" t="str">
        <f>HYPERLINK("https://my.zakupki.prom.ua/remote/dispatcher/state_purchase_view/43318378", "UA-2023-06-15-008920-a")</f>
        <v>UA-2023-06-15-008920-a</v>
      </c>
      <c r="Q200" s="30">
        <v>136.7357916666667</v>
      </c>
      <c r="R200" s="30">
        <v>1</v>
      </c>
      <c r="S200" s="30">
        <v>136.7357916666667</v>
      </c>
      <c r="T200" s="31">
        <v>45092</v>
      </c>
      <c r="U200" s="30"/>
      <c r="V200" s="30" t="s">
        <v>59</v>
      </c>
    </row>
    <row r="201" spans="1:22" ht="171.6" x14ac:dyDescent="0.3">
      <c r="A201" s="30">
        <v>197</v>
      </c>
      <c r="B201" s="30" t="s">
        <v>40</v>
      </c>
      <c r="C201" s="30" t="s">
        <v>73</v>
      </c>
      <c r="D201" s="30"/>
      <c r="E201" s="30" t="s">
        <v>75</v>
      </c>
      <c r="F201" s="30" t="s">
        <v>466</v>
      </c>
      <c r="G201" s="30" t="s">
        <v>184</v>
      </c>
      <c r="H201" s="30">
        <v>162.38074166666669</v>
      </c>
      <c r="I201" s="30">
        <v>1</v>
      </c>
      <c r="J201" s="30">
        <v>162.38074166666669</v>
      </c>
      <c r="K201" s="30">
        <v>162.38074166666669</v>
      </c>
      <c r="L201" s="30">
        <v>1</v>
      </c>
      <c r="M201" s="30">
        <v>162.38074166666669</v>
      </c>
      <c r="N201" s="3" t="s">
        <v>472</v>
      </c>
      <c r="O201" s="31">
        <v>45092</v>
      </c>
      <c r="P201" s="20" t="str">
        <f>HYPERLINK("https://my.zakupki.prom.ua/remote/dispatcher/state_purchase_view/43318194", "UA-2023-06-15-008882-a")</f>
        <v>UA-2023-06-15-008882-a</v>
      </c>
      <c r="Q201" s="30">
        <v>162.38074166666669</v>
      </c>
      <c r="R201" s="30">
        <v>1</v>
      </c>
      <c r="S201" s="30">
        <v>162.38074166666669</v>
      </c>
      <c r="T201" s="31">
        <v>45092</v>
      </c>
      <c r="U201" s="30"/>
      <c r="V201" s="30" t="s">
        <v>59</v>
      </c>
    </row>
    <row r="202" spans="1:22" ht="62.4" x14ac:dyDescent="0.3">
      <c r="A202" s="30">
        <v>198</v>
      </c>
      <c r="B202" s="30" t="s">
        <v>40</v>
      </c>
      <c r="C202" s="30" t="s">
        <v>73</v>
      </c>
      <c r="D202" s="30"/>
      <c r="E202" s="30" t="s">
        <v>75</v>
      </c>
      <c r="F202" s="30" t="s">
        <v>467</v>
      </c>
      <c r="G202" s="30" t="s">
        <v>184</v>
      </c>
      <c r="H202" s="30">
        <v>230.82178333333334</v>
      </c>
      <c r="I202" s="30">
        <v>1</v>
      </c>
      <c r="J202" s="30">
        <v>230.82178333333334</v>
      </c>
      <c r="K202" s="30">
        <v>230.82178333333334</v>
      </c>
      <c r="L202" s="30">
        <v>1</v>
      </c>
      <c r="M202" s="30">
        <v>230.82178333333334</v>
      </c>
      <c r="N202" s="3" t="s">
        <v>473</v>
      </c>
      <c r="O202" s="31">
        <v>45111</v>
      </c>
      <c r="P202" s="20" t="str">
        <f>HYPERLINK("https://my.zakupki.prom.ua/remote/dispatcher/state_purchase_view/43702909", "UA-2023-07-04-003582-a")</f>
        <v>UA-2023-07-04-003582-a</v>
      </c>
      <c r="Q202" s="30">
        <v>230.82178333333334</v>
      </c>
      <c r="R202" s="30">
        <v>1</v>
      </c>
      <c r="S202" s="30">
        <v>230.82178333333334</v>
      </c>
      <c r="T202" s="31">
        <v>45111</v>
      </c>
      <c r="U202" s="30"/>
      <c r="V202" s="30" t="s">
        <v>59</v>
      </c>
    </row>
    <row r="203" spans="1:22" ht="62.4" x14ac:dyDescent="0.3">
      <c r="A203" s="30">
        <v>199</v>
      </c>
      <c r="B203" s="30" t="s">
        <v>40</v>
      </c>
      <c r="C203" s="30" t="s">
        <v>73</v>
      </c>
      <c r="D203" s="30"/>
      <c r="E203" s="30" t="s">
        <v>75</v>
      </c>
      <c r="F203" s="30" t="s">
        <v>468</v>
      </c>
      <c r="G203" s="30" t="s">
        <v>184</v>
      </c>
      <c r="H203" s="30">
        <v>301.34585000000004</v>
      </c>
      <c r="I203" s="30">
        <v>1</v>
      </c>
      <c r="J203" s="30">
        <v>301.34585000000004</v>
      </c>
      <c r="K203" s="30">
        <v>301.34585000000004</v>
      </c>
      <c r="L203" s="30">
        <v>1</v>
      </c>
      <c r="M203" s="30">
        <v>301.34585000000004</v>
      </c>
      <c r="N203" s="3" t="s">
        <v>474</v>
      </c>
      <c r="O203" s="31">
        <v>45111</v>
      </c>
      <c r="P203" s="20" t="str">
        <f>HYPERLINK("https://my.zakupki.prom.ua/remote/dispatcher/state_purchase_view/43702002", "UA-2023-07-04-003089-a")</f>
        <v>UA-2023-07-04-003089-a</v>
      </c>
      <c r="Q203" s="30">
        <v>301.34585000000004</v>
      </c>
      <c r="R203" s="30">
        <v>1</v>
      </c>
      <c r="S203" s="30">
        <v>301.34585000000004</v>
      </c>
      <c r="T203" s="31">
        <v>45111</v>
      </c>
      <c r="U203" s="30"/>
      <c r="V203" s="30" t="s">
        <v>59</v>
      </c>
    </row>
    <row r="204" spans="1:22" ht="140.4" x14ac:dyDescent="0.3">
      <c r="A204" s="30">
        <v>200</v>
      </c>
      <c r="B204" s="30" t="s">
        <v>40</v>
      </c>
      <c r="C204" s="30" t="s">
        <v>73</v>
      </c>
      <c r="D204" s="30"/>
      <c r="E204" s="30" t="s">
        <v>75</v>
      </c>
      <c r="F204" s="30" t="s">
        <v>469</v>
      </c>
      <c r="G204" s="30" t="s">
        <v>184</v>
      </c>
      <c r="H204" s="30">
        <v>964.74474999999995</v>
      </c>
      <c r="I204" s="30">
        <v>1</v>
      </c>
      <c r="J204" s="30">
        <v>964.74474999999995</v>
      </c>
      <c r="K204" s="30">
        <v>964.74474999999995</v>
      </c>
      <c r="L204" s="30">
        <v>1</v>
      </c>
      <c r="M204" s="30">
        <v>964.74474999999995</v>
      </c>
      <c r="N204" s="3" t="s">
        <v>475</v>
      </c>
      <c r="O204" s="31">
        <v>45112</v>
      </c>
      <c r="P204" s="20" t="str">
        <f>HYPERLINK("https://my.zakupki.prom.ua/remote/dispatcher/state_purchase_view/43724189", "UA-2023-07-05-000234-a")</f>
        <v>UA-2023-07-05-000234-a</v>
      </c>
      <c r="Q204" s="30">
        <v>964.74474999999995</v>
      </c>
      <c r="R204" s="30">
        <v>1</v>
      </c>
      <c r="S204" s="30">
        <v>964.74474999999995</v>
      </c>
      <c r="T204" s="31">
        <v>45111</v>
      </c>
      <c r="U204" s="30"/>
      <c r="V204" s="30" t="s">
        <v>59</v>
      </c>
    </row>
    <row r="205" spans="1:22" ht="140.4" x14ac:dyDescent="0.3">
      <c r="A205" s="30">
        <v>201</v>
      </c>
      <c r="B205" s="30" t="s">
        <v>184</v>
      </c>
      <c r="C205" s="30" t="s">
        <v>73</v>
      </c>
      <c r="D205" s="30"/>
      <c r="E205" s="30" t="s">
        <v>75</v>
      </c>
      <c r="F205" s="30" t="s">
        <v>476</v>
      </c>
      <c r="G205" s="30" t="s">
        <v>184</v>
      </c>
      <c r="H205" s="30">
        <v>532.80904166666664</v>
      </c>
      <c r="I205" s="30">
        <v>1</v>
      </c>
      <c r="J205" s="30">
        <v>532.80904166666664</v>
      </c>
      <c r="K205" s="30">
        <v>532.80904166666664</v>
      </c>
      <c r="L205" s="30">
        <v>1</v>
      </c>
      <c r="M205" s="30">
        <v>532.80904166666664</v>
      </c>
      <c r="N205" s="3" t="s">
        <v>491</v>
      </c>
      <c r="O205" s="31">
        <v>45120</v>
      </c>
      <c r="P205" s="33" t="str">
        <f>HYPERLINK("https://my.zakupki.prom.ua/remote/dispatcher/state_purchase_view/43891512", "UA-2023-07-13-000492-a")</f>
        <v>UA-2023-07-13-000492-a</v>
      </c>
      <c r="Q205" s="30">
        <f>639370.85/1.2/1000</f>
        <v>532.80904166666664</v>
      </c>
      <c r="R205" s="30">
        <v>1</v>
      </c>
      <c r="S205" s="30">
        <f>639370.85/1.2/1000</f>
        <v>532.80904166666664</v>
      </c>
      <c r="T205" s="31">
        <v>45119</v>
      </c>
      <c r="U205" s="30"/>
      <c r="V205" s="30" t="s">
        <v>59</v>
      </c>
    </row>
    <row r="206" spans="1:22" ht="78" x14ac:dyDescent="0.3">
      <c r="A206" s="30">
        <v>202</v>
      </c>
      <c r="B206" s="30" t="s">
        <v>184</v>
      </c>
      <c r="C206" s="30" t="s">
        <v>41</v>
      </c>
      <c r="D206" s="30"/>
      <c r="E206" s="30" t="s">
        <v>373</v>
      </c>
      <c r="F206" s="30" t="s">
        <v>477</v>
      </c>
      <c r="G206" s="30" t="s">
        <v>184</v>
      </c>
      <c r="H206" s="30">
        <v>231.39084166666669</v>
      </c>
      <c r="I206" s="30">
        <v>1</v>
      </c>
      <c r="J206" s="30">
        <v>231.39084166666669</v>
      </c>
      <c r="K206" s="30">
        <v>231.39084166666669</v>
      </c>
      <c r="L206" s="30">
        <v>1</v>
      </c>
      <c r="M206" s="30">
        <v>231.39084166666669</v>
      </c>
      <c r="N206" s="3" t="s">
        <v>492</v>
      </c>
      <c r="O206" s="31">
        <v>45126</v>
      </c>
      <c r="P206" s="33" t="str">
        <f>HYPERLINK("https://my.zakupki.prom.ua/remote/dispatcher/state_purchase_view/44004041", "UA-2023-07-19-002763-a")</f>
        <v>UA-2023-07-19-002763-a</v>
      </c>
      <c r="Q206" s="30">
        <f>277669.01/1.2/1000</f>
        <v>231.39084166666669</v>
      </c>
      <c r="R206" s="30">
        <v>1</v>
      </c>
      <c r="S206" s="30">
        <f>277669.01/1.2/1000</f>
        <v>231.39084166666669</v>
      </c>
      <c r="T206" s="31">
        <v>45126</v>
      </c>
      <c r="U206" s="30"/>
      <c r="V206" s="30" t="s">
        <v>59</v>
      </c>
    </row>
    <row r="207" spans="1:22" ht="140.4" x14ac:dyDescent="0.3">
      <c r="A207" s="30">
        <v>203</v>
      </c>
      <c r="B207" s="30" t="s">
        <v>184</v>
      </c>
      <c r="C207" s="30" t="s">
        <v>41</v>
      </c>
      <c r="D207" s="30" t="s">
        <v>58</v>
      </c>
      <c r="E207" s="30" t="s">
        <v>75</v>
      </c>
      <c r="F207" s="30" t="s">
        <v>478</v>
      </c>
      <c r="G207" s="30" t="s">
        <v>184</v>
      </c>
      <c r="H207" s="30">
        <v>9557.0750000000007</v>
      </c>
      <c r="I207" s="30">
        <v>1</v>
      </c>
      <c r="J207" s="30">
        <v>9557.0750000000007</v>
      </c>
      <c r="K207" s="30">
        <v>9557.0750000000007</v>
      </c>
      <c r="L207" s="30">
        <v>1</v>
      </c>
      <c r="M207" s="30">
        <v>9557.0750000000007</v>
      </c>
      <c r="N207" s="3" t="s">
        <v>493</v>
      </c>
      <c r="O207" s="31">
        <v>45119</v>
      </c>
      <c r="P207" s="33" t="str">
        <f>HYPERLINK("https://my.zakupki.prom.ua/remote/dispatcher/state_purchase_view/43867505", "UA-2023-07-12-001298-a")</f>
        <v>UA-2023-07-12-001298-a</v>
      </c>
      <c r="Q207" s="30"/>
      <c r="R207" s="30"/>
      <c r="S207" s="30"/>
      <c r="T207" s="31"/>
      <c r="U207" s="30" t="s">
        <v>93</v>
      </c>
      <c r="V207" s="30"/>
    </row>
    <row r="208" spans="1:22" ht="140.4" x14ac:dyDescent="0.3">
      <c r="A208" s="30">
        <v>204</v>
      </c>
      <c r="B208" s="30" t="s">
        <v>184</v>
      </c>
      <c r="C208" s="30" t="s">
        <v>41</v>
      </c>
      <c r="D208" s="30" t="s">
        <v>58</v>
      </c>
      <c r="E208" s="30" t="s">
        <v>75</v>
      </c>
      <c r="F208" s="30" t="s">
        <v>479</v>
      </c>
      <c r="G208" s="30" t="s">
        <v>184</v>
      </c>
      <c r="H208" s="30">
        <v>8357.2710000000006</v>
      </c>
      <c r="I208" s="30">
        <v>1</v>
      </c>
      <c r="J208" s="30">
        <v>8357.2710000000006</v>
      </c>
      <c r="K208" s="30">
        <v>8357.2710000000006</v>
      </c>
      <c r="L208" s="30">
        <v>1</v>
      </c>
      <c r="M208" s="30">
        <v>8357.2710000000006</v>
      </c>
      <c r="N208" s="3" t="s">
        <v>493</v>
      </c>
      <c r="O208" s="31">
        <v>45119</v>
      </c>
      <c r="P208" s="33" t="str">
        <f>HYPERLINK("https://my.zakupki.prom.ua/remote/dispatcher/state_purchase_view/43867505", "UA-2023-07-12-001298-a")</f>
        <v>UA-2023-07-12-001298-a</v>
      </c>
      <c r="Q208" s="30"/>
      <c r="R208" s="30"/>
      <c r="S208" s="30"/>
      <c r="T208" s="31"/>
      <c r="U208" s="30" t="s">
        <v>93</v>
      </c>
      <c r="V208" s="30"/>
    </row>
    <row r="209" spans="1:22" ht="62.4" x14ac:dyDescent="0.3">
      <c r="A209" s="30">
        <v>205</v>
      </c>
      <c r="B209" s="30" t="s">
        <v>184</v>
      </c>
      <c r="C209" s="30" t="s">
        <v>41</v>
      </c>
      <c r="D209" s="30"/>
      <c r="E209" s="30" t="s">
        <v>75</v>
      </c>
      <c r="F209" s="30" t="s">
        <v>480</v>
      </c>
      <c r="G209" s="30" t="s">
        <v>184</v>
      </c>
      <c r="H209" s="30">
        <v>442.43196666666665</v>
      </c>
      <c r="I209" s="30">
        <v>1</v>
      </c>
      <c r="J209" s="30">
        <v>442.43196666666665</v>
      </c>
      <c r="K209" s="30">
        <v>442.43196666666665</v>
      </c>
      <c r="L209" s="30">
        <v>1</v>
      </c>
      <c r="M209" s="30">
        <v>442.43196666666665</v>
      </c>
      <c r="N209" s="3" t="s">
        <v>494</v>
      </c>
      <c r="O209" s="31">
        <v>45131</v>
      </c>
      <c r="P209" s="33" t="str">
        <f>HYPERLINK("https://my.zakupki.prom.ua/remote/dispatcher/state_purchase_view/44101024", "UA-2023-07-24-008868-a")</f>
        <v>UA-2023-07-24-008868-a</v>
      </c>
      <c r="Q209" s="30">
        <f>530918.36/1.2/1000</f>
        <v>442.43196666666665</v>
      </c>
      <c r="R209" s="30">
        <v>1</v>
      </c>
      <c r="S209" s="30">
        <f>530918.36/1.2/1000</f>
        <v>442.43196666666665</v>
      </c>
      <c r="T209" s="31">
        <v>45131</v>
      </c>
      <c r="U209" s="30"/>
      <c r="V209" s="30" t="s">
        <v>59</v>
      </c>
    </row>
    <row r="210" spans="1:22" ht="93.6" x14ac:dyDescent="0.3">
      <c r="A210" s="30">
        <v>206</v>
      </c>
      <c r="B210" s="30" t="s">
        <v>184</v>
      </c>
      <c r="C210" s="30" t="s">
        <v>41</v>
      </c>
      <c r="D210" s="30"/>
      <c r="E210" s="30" t="s">
        <v>373</v>
      </c>
      <c r="F210" s="30" t="s">
        <v>481</v>
      </c>
      <c r="G210" s="30" t="s">
        <v>184</v>
      </c>
      <c r="H210" s="30">
        <v>766.66313333333346</v>
      </c>
      <c r="I210" s="30">
        <v>1</v>
      </c>
      <c r="J210" s="30">
        <v>766.66313333333346</v>
      </c>
      <c r="K210" s="30">
        <v>766.66313333333346</v>
      </c>
      <c r="L210" s="30">
        <v>1</v>
      </c>
      <c r="M210" s="30">
        <v>766.66313333333346</v>
      </c>
      <c r="N210" s="3" t="s">
        <v>495</v>
      </c>
      <c r="O210" s="31">
        <v>45131</v>
      </c>
      <c r="P210" s="33" t="str">
        <f>HYPERLINK("https://my.zakupki.prom.ua/remote/dispatcher/state_purchase_view/44101829", "UA-2023-07-24-009279-a")</f>
        <v>UA-2023-07-24-009279-a</v>
      </c>
      <c r="Q210" s="30">
        <f>919995.76/1.2/1000</f>
        <v>766.66313333333346</v>
      </c>
      <c r="R210" s="30">
        <v>1</v>
      </c>
      <c r="S210" s="30">
        <f>919995.76/1.2/1000</f>
        <v>766.66313333333346</v>
      </c>
      <c r="T210" s="31">
        <v>45131</v>
      </c>
      <c r="U210" s="30"/>
      <c r="V210" s="30" t="s">
        <v>59</v>
      </c>
    </row>
    <row r="211" spans="1:22" ht="62.4" x14ac:dyDescent="0.3">
      <c r="A211" s="30">
        <v>207</v>
      </c>
      <c r="B211" s="30" t="s">
        <v>184</v>
      </c>
      <c r="C211" s="30" t="s">
        <v>73</v>
      </c>
      <c r="D211" s="30"/>
      <c r="E211" s="30" t="s">
        <v>75</v>
      </c>
      <c r="F211" s="30" t="s">
        <v>482</v>
      </c>
      <c r="G211" s="30" t="s">
        <v>184</v>
      </c>
      <c r="H211" s="30">
        <v>327.83339166666667</v>
      </c>
      <c r="I211" s="30">
        <v>1</v>
      </c>
      <c r="J211" s="30">
        <v>327.83339166666667</v>
      </c>
      <c r="K211" s="30">
        <v>327.83339166666667</v>
      </c>
      <c r="L211" s="30">
        <v>1</v>
      </c>
      <c r="M211" s="30">
        <v>327.83339166666667</v>
      </c>
      <c r="N211" s="3" t="s">
        <v>496</v>
      </c>
      <c r="O211" s="31">
        <v>45131</v>
      </c>
      <c r="P211" s="33" t="str">
        <f>HYPERLINK("https://my.zakupki.prom.ua/remote/dispatcher/state_purchase_view/44105193", "UA-2023-07-24-010799-a")</f>
        <v>UA-2023-07-24-010799-a</v>
      </c>
      <c r="Q211" s="30">
        <f>393400.07/1.2/1000</f>
        <v>327.83339166666667</v>
      </c>
      <c r="R211" s="30">
        <v>1</v>
      </c>
      <c r="S211" s="30">
        <f>393400.07/1.2/1000</f>
        <v>327.83339166666667</v>
      </c>
      <c r="T211" s="31">
        <v>45131</v>
      </c>
      <c r="U211" s="30"/>
      <c r="V211" s="30" t="s">
        <v>59</v>
      </c>
    </row>
    <row r="212" spans="1:22" ht="171.6" x14ac:dyDescent="0.3">
      <c r="A212" s="30">
        <v>208</v>
      </c>
      <c r="B212" s="30" t="s">
        <v>184</v>
      </c>
      <c r="C212" s="30" t="s">
        <v>41</v>
      </c>
      <c r="D212" s="30"/>
      <c r="E212" s="30" t="s">
        <v>373</v>
      </c>
      <c r="F212" s="30" t="s">
        <v>483</v>
      </c>
      <c r="G212" s="30" t="s">
        <v>184</v>
      </c>
      <c r="H212" s="30">
        <v>279.85961666666662</v>
      </c>
      <c r="I212" s="30">
        <v>1</v>
      </c>
      <c r="J212" s="30">
        <v>279.85961666666662</v>
      </c>
      <c r="K212" s="30">
        <v>279.85961666666662</v>
      </c>
      <c r="L212" s="30">
        <v>1</v>
      </c>
      <c r="M212" s="30">
        <v>279.85961666666662</v>
      </c>
      <c r="N212" s="3" t="s">
        <v>497</v>
      </c>
      <c r="O212" s="31">
        <v>45134</v>
      </c>
      <c r="P212" s="33" t="str">
        <f>HYPERLINK("https://my.zakupki.prom.ua/remote/dispatcher/state_purchase_view/44182725", "UA-2023-07-27-007665-a")</f>
        <v>UA-2023-07-27-007665-a</v>
      </c>
      <c r="Q212" s="30">
        <f>335831.54/1.2/1000</f>
        <v>279.85961666666662</v>
      </c>
      <c r="R212" s="30">
        <v>1</v>
      </c>
      <c r="S212" s="30">
        <f>335831.54/1.2/1000</f>
        <v>279.85961666666662</v>
      </c>
      <c r="T212" s="31">
        <v>45134</v>
      </c>
      <c r="U212" s="30"/>
      <c r="V212" s="30" t="s">
        <v>59</v>
      </c>
    </row>
    <row r="213" spans="1:22" ht="187.2" x14ac:dyDescent="0.3">
      <c r="A213" s="30">
        <v>209</v>
      </c>
      <c r="B213" s="30" t="s">
        <v>184</v>
      </c>
      <c r="C213" s="30" t="s">
        <v>41</v>
      </c>
      <c r="D213" s="30"/>
      <c r="E213" s="30" t="s">
        <v>373</v>
      </c>
      <c r="F213" s="30" t="s">
        <v>484</v>
      </c>
      <c r="G213" s="30" t="s">
        <v>184</v>
      </c>
      <c r="H213" s="30">
        <v>748.72503333333339</v>
      </c>
      <c r="I213" s="30">
        <v>1</v>
      </c>
      <c r="J213" s="30">
        <v>748.72503333333339</v>
      </c>
      <c r="K213" s="30">
        <v>748.72503333333339</v>
      </c>
      <c r="L213" s="30">
        <v>1</v>
      </c>
      <c r="M213" s="30">
        <v>748.72503333333339</v>
      </c>
      <c r="N213" s="3" t="s">
        <v>498</v>
      </c>
      <c r="O213" s="31">
        <v>45134</v>
      </c>
      <c r="P213" s="33" t="str">
        <f>HYPERLINK("https://my.zakupki.prom.ua/remote/dispatcher/state_purchase_view/44182962", "UA-2023-07-27-007812-a")</f>
        <v>UA-2023-07-27-007812-a</v>
      </c>
      <c r="Q213" s="30">
        <v>748.72503333333339</v>
      </c>
      <c r="R213" s="30">
        <v>1</v>
      </c>
      <c r="S213" s="30">
        <v>748.72503333333339</v>
      </c>
      <c r="T213" s="31">
        <v>45134</v>
      </c>
      <c r="U213" s="30"/>
      <c r="V213" s="30" t="s">
        <v>59</v>
      </c>
    </row>
    <row r="214" spans="1:22" ht="62.4" x14ac:dyDescent="0.3">
      <c r="A214" s="30">
        <v>210</v>
      </c>
      <c r="B214" s="30" t="s">
        <v>184</v>
      </c>
      <c r="C214" s="30" t="s">
        <v>41</v>
      </c>
      <c r="D214" s="30"/>
      <c r="E214" s="30" t="s">
        <v>75</v>
      </c>
      <c r="F214" s="30" t="s">
        <v>485</v>
      </c>
      <c r="G214" s="30" t="s">
        <v>184</v>
      </c>
      <c r="H214" s="30">
        <v>281.35765833333335</v>
      </c>
      <c r="I214" s="30">
        <v>1</v>
      </c>
      <c r="J214" s="30">
        <v>281.35765833333335</v>
      </c>
      <c r="K214" s="30">
        <v>281.35765833333335</v>
      </c>
      <c r="L214" s="30">
        <v>1</v>
      </c>
      <c r="M214" s="30">
        <v>281.35765833333335</v>
      </c>
      <c r="N214" s="3" t="s">
        <v>499</v>
      </c>
      <c r="O214" s="31">
        <v>45139</v>
      </c>
      <c r="P214" s="33" t="str">
        <f>HYPERLINK("https://my.zakupki.prom.ua/remote/dispatcher/state_purchase_view/44239007", "UA-2023-08-01-001890-a")</f>
        <v>UA-2023-08-01-001890-a</v>
      </c>
      <c r="Q214" s="30">
        <v>281.35765833333335</v>
      </c>
      <c r="R214" s="30">
        <v>1</v>
      </c>
      <c r="S214" s="30">
        <v>281.35765833333335</v>
      </c>
      <c r="T214" s="31">
        <v>45138</v>
      </c>
      <c r="U214" s="30"/>
      <c r="V214" s="30" t="s">
        <v>59</v>
      </c>
    </row>
    <row r="215" spans="1:22" ht="68.25" customHeight="1" x14ac:dyDescent="0.3">
      <c r="A215" s="30">
        <v>211</v>
      </c>
      <c r="B215" s="30" t="s">
        <v>184</v>
      </c>
      <c r="C215" s="30" t="s">
        <v>41</v>
      </c>
      <c r="D215" s="30"/>
      <c r="E215" s="30" t="s">
        <v>373</v>
      </c>
      <c r="F215" s="30" t="s">
        <v>486</v>
      </c>
      <c r="G215" s="30" t="s">
        <v>184</v>
      </c>
      <c r="H215" s="30">
        <v>97.572408333333343</v>
      </c>
      <c r="I215" s="30">
        <v>1</v>
      </c>
      <c r="J215" s="30">
        <v>97.572408333333343</v>
      </c>
      <c r="K215" s="30">
        <v>97.572408333333343</v>
      </c>
      <c r="L215" s="30">
        <v>1</v>
      </c>
      <c r="M215" s="30">
        <v>97.572408333333343</v>
      </c>
      <c r="N215" s="3" t="s">
        <v>500</v>
      </c>
      <c r="O215" s="31">
        <v>45139</v>
      </c>
      <c r="P215" s="33" t="str">
        <f>HYPERLINK("https://my.zakupki.prom.ua/remote/dispatcher/state_purchase_view/44239848", "UA-2023-08-01-002229-a")</f>
        <v>UA-2023-08-01-002229-a</v>
      </c>
      <c r="Q215" s="30">
        <v>97.572408333333343</v>
      </c>
      <c r="R215" s="30">
        <v>1</v>
      </c>
      <c r="S215" s="30">
        <v>97.572408333333343</v>
      </c>
      <c r="T215" s="31">
        <v>45138</v>
      </c>
      <c r="U215" s="30"/>
      <c r="V215" s="30" t="s">
        <v>59</v>
      </c>
    </row>
    <row r="216" spans="1:22" ht="202.8" x14ac:dyDescent="0.3">
      <c r="A216" s="30">
        <v>212</v>
      </c>
      <c r="B216" s="30" t="s">
        <v>184</v>
      </c>
      <c r="C216" s="30" t="s">
        <v>41</v>
      </c>
      <c r="D216" s="30" t="s">
        <v>58</v>
      </c>
      <c r="E216" s="30" t="s">
        <v>373</v>
      </c>
      <c r="F216" s="30" t="s">
        <v>489</v>
      </c>
      <c r="G216" s="30" t="s">
        <v>184</v>
      </c>
      <c r="H216" s="30">
        <v>1314.1666666666667</v>
      </c>
      <c r="I216" s="30">
        <v>1</v>
      </c>
      <c r="J216" s="30">
        <v>1314.1666666666667</v>
      </c>
      <c r="K216" s="30">
        <v>1314.1666666666667</v>
      </c>
      <c r="L216" s="30">
        <v>1</v>
      </c>
      <c r="M216" s="30">
        <v>1314.1666666666667</v>
      </c>
      <c r="N216" s="3" t="s">
        <v>503</v>
      </c>
      <c r="O216" s="31">
        <v>45139</v>
      </c>
      <c r="P216" s="33" t="str">
        <f>HYPERLINK("https://my.zakupki.prom.ua/remote/dispatcher/state_purchase_view/44237685", "UA-2023-08-01-001260-a")</f>
        <v>UA-2023-08-01-001260-a</v>
      </c>
      <c r="Q216" s="30">
        <v>1229.3699999999999</v>
      </c>
      <c r="R216" s="30">
        <v>1</v>
      </c>
      <c r="S216" s="56">
        <v>1229.3699999999999</v>
      </c>
      <c r="T216" s="31">
        <v>45170</v>
      </c>
      <c r="U216" s="30"/>
      <c r="V216" s="30"/>
    </row>
    <row r="217" spans="1:22" ht="218.4" x14ac:dyDescent="0.3">
      <c r="A217" s="30">
        <v>213</v>
      </c>
      <c r="B217" s="30" t="s">
        <v>184</v>
      </c>
      <c r="C217" s="30" t="s">
        <v>41</v>
      </c>
      <c r="D217" s="30" t="s">
        <v>58</v>
      </c>
      <c r="E217" s="30" t="s">
        <v>373</v>
      </c>
      <c r="F217" s="30" t="s">
        <v>490</v>
      </c>
      <c r="G217" s="30" t="s">
        <v>184</v>
      </c>
      <c r="H217" s="30">
        <v>1265.8333333333335</v>
      </c>
      <c r="I217" s="30">
        <v>1</v>
      </c>
      <c r="J217" s="30">
        <v>1265.8333333333335</v>
      </c>
      <c r="K217" s="30">
        <v>1265.8333333333335</v>
      </c>
      <c r="L217" s="30">
        <v>1</v>
      </c>
      <c r="M217" s="30">
        <v>1265.8333333333335</v>
      </c>
      <c r="N217" s="3" t="s">
        <v>504</v>
      </c>
      <c r="O217" s="31">
        <v>45139</v>
      </c>
      <c r="P217" s="33" t="str">
        <f>HYPERLINK("https://my.zakupki.prom.ua/remote/dispatcher/state_purchase_view/44236786", "UA-2023-08-01-000893-a")</f>
        <v>UA-2023-08-01-000893-a</v>
      </c>
      <c r="Q217" s="30">
        <v>1141.6659</v>
      </c>
      <c r="R217" s="30">
        <v>1</v>
      </c>
      <c r="S217" s="56">
        <v>1141.6659</v>
      </c>
      <c r="T217" s="31">
        <v>45168</v>
      </c>
      <c r="U217" s="30"/>
      <c r="V217" s="30"/>
    </row>
    <row r="218" spans="1:22" ht="187.2" x14ac:dyDescent="0.3">
      <c r="A218" s="30">
        <v>214</v>
      </c>
      <c r="B218" s="30" t="s">
        <v>184</v>
      </c>
      <c r="C218" s="30" t="s">
        <v>41</v>
      </c>
      <c r="D218" s="30"/>
      <c r="E218" s="30" t="s">
        <v>373</v>
      </c>
      <c r="F218" s="30" t="s">
        <v>487</v>
      </c>
      <c r="G218" s="30" t="s">
        <v>184</v>
      </c>
      <c r="H218" s="30">
        <v>68.79965833333334</v>
      </c>
      <c r="I218" s="30">
        <v>1</v>
      </c>
      <c r="J218" s="30">
        <v>68.79965833333334</v>
      </c>
      <c r="K218" s="30">
        <v>68.79965833333334</v>
      </c>
      <c r="L218" s="30">
        <v>1</v>
      </c>
      <c r="M218" s="30">
        <v>68.79965833333334</v>
      </c>
      <c r="N218" s="3" t="s">
        <v>501</v>
      </c>
      <c r="O218" s="31">
        <v>45141</v>
      </c>
      <c r="P218" s="33" t="str">
        <f>HYPERLINK("https://my.zakupki.prom.ua/remote/dispatcher/state_purchase_view/44291790", "UA-2023-08-03-000375-a")</f>
        <v>UA-2023-08-03-000375-a</v>
      </c>
      <c r="Q218" s="30">
        <v>68.79965833333334</v>
      </c>
      <c r="R218" s="30">
        <v>1</v>
      </c>
      <c r="S218" s="30">
        <v>68.79965833333334</v>
      </c>
      <c r="T218" s="31">
        <v>45140</v>
      </c>
      <c r="U218" s="30"/>
      <c r="V218" s="30" t="s">
        <v>59</v>
      </c>
    </row>
    <row r="219" spans="1:22" ht="187.2" x14ac:dyDescent="0.3">
      <c r="A219" s="30">
        <v>215</v>
      </c>
      <c r="B219" s="30" t="s">
        <v>184</v>
      </c>
      <c r="C219" s="30" t="s">
        <v>41</v>
      </c>
      <c r="D219" s="30"/>
      <c r="E219" s="30" t="s">
        <v>373</v>
      </c>
      <c r="F219" s="30" t="s">
        <v>488</v>
      </c>
      <c r="G219" s="30" t="s">
        <v>184</v>
      </c>
      <c r="H219" s="30">
        <v>330.66725833333334</v>
      </c>
      <c r="I219" s="30">
        <v>1</v>
      </c>
      <c r="J219" s="30">
        <v>330.66725833333334</v>
      </c>
      <c r="K219" s="30">
        <v>330.66725833333334</v>
      </c>
      <c r="L219" s="30">
        <v>1</v>
      </c>
      <c r="M219" s="30">
        <v>330.66725833333334</v>
      </c>
      <c r="N219" s="3" t="s">
        <v>502</v>
      </c>
      <c r="O219" s="31">
        <v>45141</v>
      </c>
      <c r="P219" s="33" t="str">
        <f>HYPERLINK("https://my.zakupki.prom.ua/remote/dispatcher/state_purchase_view/44300695", "UA-2023-08-03-004393-a")</f>
        <v>UA-2023-08-03-004393-a</v>
      </c>
      <c r="Q219" s="30">
        <v>330.66725833333334</v>
      </c>
      <c r="R219" s="30">
        <v>1</v>
      </c>
      <c r="S219" s="30">
        <v>330.66725833333334</v>
      </c>
      <c r="T219" s="31">
        <v>45140</v>
      </c>
      <c r="U219" s="30"/>
      <c r="V219" s="30" t="s">
        <v>59</v>
      </c>
    </row>
    <row r="220" spans="1:22" ht="171.6" x14ac:dyDescent="0.3">
      <c r="A220" s="30">
        <v>216</v>
      </c>
      <c r="B220" s="30" t="s">
        <v>184</v>
      </c>
      <c r="C220" s="30" t="s">
        <v>41</v>
      </c>
      <c r="D220" s="30"/>
      <c r="E220" s="30" t="s">
        <v>373</v>
      </c>
      <c r="F220" s="30" t="s">
        <v>505</v>
      </c>
      <c r="G220" s="30" t="s">
        <v>184</v>
      </c>
      <c r="H220" s="30">
        <v>2448.8471666666665</v>
      </c>
      <c r="I220" s="30">
        <v>1</v>
      </c>
      <c r="J220" s="30">
        <v>2448.8471666666665</v>
      </c>
      <c r="K220" s="30">
        <v>2448.8471666666665</v>
      </c>
      <c r="L220" s="30">
        <v>1</v>
      </c>
      <c r="M220" s="30">
        <v>2448.8471666666665</v>
      </c>
      <c r="N220" s="6" t="s">
        <v>522</v>
      </c>
      <c r="O220" s="31">
        <v>45146</v>
      </c>
      <c r="P220" s="33" t="str">
        <f>HYPERLINK("https://my.zakupki.prom.ua/remote/dispatcher/state_purchase_view/44396461", "UA-2023-08-08-008804-a")</f>
        <v>UA-2023-08-08-008804-a</v>
      </c>
      <c r="Q220" s="30">
        <v>2448.8471666666665</v>
      </c>
      <c r="R220" s="30">
        <v>1</v>
      </c>
      <c r="S220" s="30">
        <v>2448.8471666666665</v>
      </c>
      <c r="T220" s="31">
        <v>45146</v>
      </c>
      <c r="U220" s="30"/>
      <c r="V220" s="30" t="s">
        <v>59</v>
      </c>
    </row>
    <row r="221" spans="1:22" ht="78" x14ac:dyDescent="0.3">
      <c r="A221" s="30">
        <v>217</v>
      </c>
      <c r="B221" s="30" t="s">
        <v>21</v>
      </c>
      <c r="C221" s="30" t="s">
        <v>174</v>
      </c>
      <c r="D221" s="30" t="s">
        <v>58</v>
      </c>
      <c r="E221" s="30" t="s">
        <v>88</v>
      </c>
      <c r="F221" s="30" t="s">
        <v>506</v>
      </c>
      <c r="G221" s="30" t="s">
        <v>185</v>
      </c>
      <c r="H221" s="30"/>
      <c r="I221" s="30">
        <v>43</v>
      </c>
      <c r="J221" s="30">
        <v>32108.1</v>
      </c>
      <c r="K221" s="30"/>
      <c r="L221" s="30">
        <v>43</v>
      </c>
      <c r="M221" s="30">
        <v>32108.1</v>
      </c>
      <c r="N221" s="6" t="s">
        <v>519</v>
      </c>
      <c r="O221" s="31">
        <v>45147</v>
      </c>
      <c r="P221" s="33" t="str">
        <f>HYPERLINK("https://my.zakupki.prom.ua/remote/dispatcher/state_purchase_view/44418733", "UA-2023-08-09-006222-a")</f>
        <v>UA-2023-08-09-006222-a</v>
      </c>
      <c r="Q221" s="30"/>
      <c r="R221" s="30">
        <v>43</v>
      </c>
      <c r="S221" s="72">
        <v>3042.25</v>
      </c>
      <c r="T221" s="31">
        <v>45217</v>
      </c>
      <c r="U221" s="30"/>
      <c r="V221" s="30"/>
    </row>
    <row r="222" spans="1:22" ht="93.6" x14ac:dyDescent="0.3">
      <c r="A222" s="30">
        <v>218</v>
      </c>
      <c r="B222" s="30" t="s">
        <v>21</v>
      </c>
      <c r="C222" s="30" t="s">
        <v>406</v>
      </c>
      <c r="D222" s="30" t="s">
        <v>58</v>
      </c>
      <c r="E222" s="30" t="s">
        <v>88</v>
      </c>
      <c r="F222" s="30" t="s">
        <v>507</v>
      </c>
      <c r="G222" s="30" t="s">
        <v>185</v>
      </c>
      <c r="H222" s="30"/>
      <c r="I222" s="30">
        <v>101</v>
      </c>
      <c r="J222" s="30">
        <v>134064</v>
      </c>
      <c r="K222" s="30"/>
      <c r="L222" s="30">
        <v>101</v>
      </c>
      <c r="M222" s="30">
        <v>134064</v>
      </c>
      <c r="N222" s="6" t="s">
        <v>520</v>
      </c>
      <c r="O222" s="31">
        <v>45147</v>
      </c>
      <c r="P222" s="33" t="str">
        <f>HYPERLINK("https://my.zakupki.prom.ua/remote/dispatcher/state_purchase_view/44411432", "UA-2023-08-09-003000-a")</f>
        <v>UA-2023-08-09-003000-a</v>
      </c>
      <c r="Q222" s="30"/>
      <c r="R222" s="30">
        <v>101</v>
      </c>
      <c r="S222" s="38" t="s">
        <v>557</v>
      </c>
      <c r="T222" s="31">
        <v>45169</v>
      </c>
      <c r="U222" s="30"/>
      <c r="V222" s="30"/>
    </row>
    <row r="223" spans="1:22" ht="78" x14ac:dyDescent="0.3">
      <c r="A223" s="30">
        <v>219</v>
      </c>
      <c r="B223" s="30" t="s">
        <v>530</v>
      </c>
      <c r="C223" s="30" t="s">
        <v>516</v>
      </c>
      <c r="D223" s="30" t="s">
        <v>58</v>
      </c>
      <c r="E223" s="30" t="s">
        <v>88</v>
      </c>
      <c r="F223" s="30" t="s">
        <v>508</v>
      </c>
      <c r="G223" s="30" t="s">
        <v>185</v>
      </c>
      <c r="H223" s="30"/>
      <c r="I223" s="30">
        <v>2</v>
      </c>
      <c r="J223" s="30">
        <v>9898.7999999999993</v>
      </c>
      <c r="K223" s="30"/>
      <c r="L223" s="30">
        <v>2</v>
      </c>
      <c r="M223" s="30">
        <v>9898.7999999999993</v>
      </c>
      <c r="N223" s="6" t="s">
        <v>521</v>
      </c>
      <c r="O223" s="31">
        <v>45148</v>
      </c>
      <c r="P223" s="33" t="str">
        <f>HYPERLINK("https://my.zakupki.prom.ua/remote/dispatcher/state_purchase_view/44450761", "UA-2023-08-10-007949-a")</f>
        <v>UA-2023-08-10-007949-a</v>
      </c>
      <c r="Q223" s="30"/>
      <c r="R223" s="30">
        <v>2</v>
      </c>
      <c r="S223" s="38">
        <v>976</v>
      </c>
      <c r="T223" s="31">
        <v>45166</v>
      </c>
      <c r="U223" s="30"/>
      <c r="V223" s="30"/>
    </row>
    <row r="224" spans="1:22" ht="93.6" x14ac:dyDescent="0.3">
      <c r="A224" s="30">
        <v>220</v>
      </c>
      <c r="B224" s="30" t="s">
        <v>21</v>
      </c>
      <c r="C224" s="30" t="s">
        <v>413</v>
      </c>
      <c r="D224" s="30" t="s">
        <v>58</v>
      </c>
      <c r="E224" s="30" t="s">
        <v>88</v>
      </c>
      <c r="F224" s="30" t="s">
        <v>509</v>
      </c>
      <c r="G224" s="30" t="s">
        <v>185</v>
      </c>
      <c r="H224" s="30">
        <v>4490</v>
      </c>
      <c r="I224" s="30">
        <v>1</v>
      </c>
      <c r="J224" s="30">
        <v>4490</v>
      </c>
      <c r="K224" s="30">
        <v>4490</v>
      </c>
      <c r="L224" s="30">
        <v>1</v>
      </c>
      <c r="M224" s="30">
        <v>4490</v>
      </c>
      <c r="N224" s="6" t="s">
        <v>523</v>
      </c>
      <c r="O224" s="31">
        <v>45148</v>
      </c>
      <c r="P224" s="33" t="str">
        <f>HYPERLINK("https://my.zakupki.prom.ua/remote/dispatcher/state_purchase_view/44442189", "UA-2023-08-10-004148-a")</f>
        <v>UA-2023-08-10-004148-a</v>
      </c>
      <c r="Q224" s="38">
        <v>444.6995</v>
      </c>
      <c r="R224" s="30">
        <v>1</v>
      </c>
      <c r="S224" s="30">
        <v>444.6995</v>
      </c>
      <c r="T224" s="31">
        <v>45169</v>
      </c>
      <c r="U224" s="30"/>
      <c r="V224" s="30"/>
    </row>
    <row r="225" spans="1:22" ht="140.4" x14ac:dyDescent="0.3">
      <c r="A225" s="30">
        <v>221</v>
      </c>
      <c r="B225" s="30" t="s">
        <v>21</v>
      </c>
      <c r="C225" s="30" t="s">
        <v>517</v>
      </c>
      <c r="D225" s="30" t="s">
        <v>58</v>
      </c>
      <c r="E225" s="30" t="s">
        <v>88</v>
      </c>
      <c r="F225" s="30" t="s">
        <v>510</v>
      </c>
      <c r="G225" s="30" t="s">
        <v>185</v>
      </c>
      <c r="H225" s="30"/>
      <c r="I225" s="30">
        <v>22</v>
      </c>
      <c r="J225" s="30">
        <v>107860</v>
      </c>
      <c r="K225" s="30"/>
      <c r="L225" s="30">
        <v>22</v>
      </c>
      <c r="M225" s="30">
        <v>107860</v>
      </c>
      <c r="N225" s="6" t="s">
        <v>524</v>
      </c>
      <c r="O225" s="31">
        <v>45148</v>
      </c>
      <c r="P225" s="33" t="str">
        <f>HYPERLINK("https://my.zakupki.prom.ua/remote/dispatcher/state_purchase_view/44441521", "UA-2023-08-10-003836-a")</f>
        <v>UA-2023-08-10-003836-a</v>
      </c>
      <c r="Q225" s="56">
        <v>10758.3</v>
      </c>
      <c r="R225" s="30">
        <v>22</v>
      </c>
      <c r="S225" s="30">
        <v>10758.3</v>
      </c>
      <c r="T225" s="31">
        <v>45182</v>
      </c>
      <c r="U225" s="30"/>
      <c r="V225" s="30"/>
    </row>
    <row r="226" spans="1:22" ht="109.2" x14ac:dyDescent="0.3">
      <c r="A226" s="30">
        <v>222</v>
      </c>
      <c r="B226" s="30" t="s">
        <v>184</v>
      </c>
      <c r="C226" s="30" t="s">
        <v>518</v>
      </c>
      <c r="D226" s="30" t="s">
        <v>58</v>
      </c>
      <c r="E226" s="30" t="s">
        <v>88</v>
      </c>
      <c r="F226" s="30" t="s">
        <v>511</v>
      </c>
      <c r="G226" s="30" t="s">
        <v>184</v>
      </c>
      <c r="H226" s="30">
        <v>17355</v>
      </c>
      <c r="I226" s="30">
        <v>1</v>
      </c>
      <c r="J226" s="30">
        <v>17355</v>
      </c>
      <c r="K226" s="30">
        <v>17355</v>
      </c>
      <c r="L226" s="30">
        <v>1</v>
      </c>
      <c r="M226" s="30">
        <v>17355</v>
      </c>
      <c r="N226" s="6" t="s">
        <v>525</v>
      </c>
      <c r="O226" s="31">
        <v>45148</v>
      </c>
      <c r="P226" s="33" t="str">
        <f>HYPERLINK("https://my.zakupki.prom.ua/remote/dispatcher/state_purchase_view/44441001", "UA-2023-08-10-003635-a")</f>
        <v>UA-2023-08-10-003635-a</v>
      </c>
      <c r="Q226" s="30"/>
      <c r="R226" s="30"/>
      <c r="S226" s="30"/>
      <c r="T226" s="31"/>
      <c r="U226" s="30" t="s">
        <v>556</v>
      </c>
      <c r="V226" s="30"/>
    </row>
    <row r="227" spans="1:22" ht="62.4" x14ac:dyDescent="0.3">
      <c r="A227" s="30">
        <v>223</v>
      </c>
      <c r="B227" s="30" t="s">
        <v>184</v>
      </c>
      <c r="C227" s="30" t="s">
        <v>73</v>
      </c>
      <c r="D227" s="30"/>
      <c r="E227" s="30" t="s">
        <v>75</v>
      </c>
      <c r="F227" s="30" t="s">
        <v>512</v>
      </c>
      <c r="G227" s="30" t="s">
        <v>184</v>
      </c>
      <c r="H227" s="30">
        <v>672.42191666666679</v>
      </c>
      <c r="I227" s="30">
        <v>1</v>
      </c>
      <c r="J227" s="30">
        <v>672.42191666666679</v>
      </c>
      <c r="K227" s="30">
        <v>672.42191666666679</v>
      </c>
      <c r="L227" s="30">
        <v>1</v>
      </c>
      <c r="M227" s="30">
        <v>672.42191666666679</v>
      </c>
      <c r="N227" s="6" t="s">
        <v>526</v>
      </c>
      <c r="O227" s="31">
        <v>45148</v>
      </c>
      <c r="P227" s="33" t="str">
        <f>HYPERLINK("https://my.zakupki.prom.ua/remote/dispatcher/state_purchase_view/44433428", "UA-2023-08-10-000166-a")</f>
        <v>UA-2023-08-10-000166-a</v>
      </c>
      <c r="Q227" s="30">
        <v>672.42191666666679</v>
      </c>
      <c r="R227" s="30">
        <v>1</v>
      </c>
      <c r="S227" s="30">
        <v>672.42191666666679</v>
      </c>
      <c r="T227" s="31">
        <v>45147</v>
      </c>
      <c r="U227" s="30"/>
      <c r="V227" s="30" t="s">
        <v>59</v>
      </c>
    </row>
    <row r="228" spans="1:22" ht="202.8" x14ac:dyDescent="0.3">
      <c r="A228" s="30">
        <v>224</v>
      </c>
      <c r="B228" s="30" t="s">
        <v>184</v>
      </c>
      <c r="C228" s="30" t="s">
        <v>41</v>
      </c>
      <c r="D228" s="30" t="s">
        <v>58</v>
      </c>
      <c r="E228" s="30" t="s">
        <v>373</v>
      </c>
      <c r="F228" s="30" t="s">
        <v>513</v>
      </c>
      <c r="G228" s="30" t="s">
        <v>184</v>
      </c>
      <c r="H228" s="30">
        <v>19883.875</v>
      </c>
      <c r="I228" s="30">
        <v>1</v>
      </c>
      <c r="J228" s="30">
        <v>19883.875</v>
      </c>
      <c r="K228" s="30">
        <v>19883.875</v>
      </c>
      <c r="L228" s="30">
        <v>1</v>
      </c>
      <c r="M228" s="30">
        <v>19883.875</v>
      </c>
      <c r="N228" s="6" t="s">
        <v>527</v>
      </c>
      <c r="O228" s="31">
        <v>45153</v>
      </c>
      <c r="P228" s="33" t="str">
        <f>HYPERLINK("https://my.zakupki.prom.ua/remote/dispatcher/state_purchase_view/44539346", "UA-2023-08-15-012899-a")</f>
        <v>UA-2023-08-15-012899-a</v>
      </c>
      <c r="Q228" s="38">
        <v>1958.3874000000001</v>
      </c>
      <c r="R228" s="30">
        <v>1</v>
      </c>
      <c r="S228" s="30">
        <v>1958.3874000000001</v>
      </c>
      <c r="T228" s="31">
        <v>45169</v>
      </c>
      <c r="U228" s="30"/>
      <c r="V228" s="30"/>
    </row>
    <row r="229" spans="1:22" ht="62.4" x14ac:dyDescent="0.3">
      <c r="A229" s="30">
        <v>225</v>
      </c>
      <c r="B229" s="30" t="s">
        <v>21</v>
      </c>
      <c r="C229" s="30" t="s">
        <v>178</v>
      </c>
      <c r="D229" s="30" t="s">
        <v>58</v>
      </c>
      <c r="E229" s="30" t="s">
        <v>88</v>
      </c>
      <c r="F229" s="30" t="s">
        <v>514</v>
      </c>
      <c r="G229" s="30" t="s">
        <v>185</v>
      </c>
      <c r="H229" s="30"/>
      <c r="I229" s="30">
        <v>20</v>
      </c>
      <c r="J229" s="30">
        <v>125.4</v>
      </c>
      <c r="K229" s="30"/>
      <c r="L229" s="30">
        <v>20</v>
      </c>
      <c r="M229" s="30">
        <v>125.4</v>
      </c>
      <c r="N229" s="6" t="s">
        <v>528</v>
      </c>
      <c r="O229" s="31">
        <v>45153</v>
      </c>
      <c r="P229" s="33" t="str">
        <f>HYPERLINK("https://my.zakupki.prom.ua/remote/dispatcher/state_purchase_view/44535001", "UA-2023-08-15-010986-a")</f>
        <v>UA-2023-08-15-010986-a</v>
      </c>
      <c r="Q229" s="30"/>
      <c r="R229" s="30">
        <v>20</v>
      </c>
      <c r="S229" s="38">
        <v>119.8</v>
      </c>
      <c r="T229" s="31">
        <v>45169</v>
      </c>
      <c r="U229" s="30"/>
      <c r="V229" s="30"/>
    </row>
    <row r="230" spans="1:22" ht="124.8" x14ac:dyDescent="0.3">
      <c r="A230" s="30">
        <v>226</v>
      </c>
      <c r="B230" s="30" t="s">
        <v>21</v>
      </c>
      <c r="C230" s="30" t="s">
        <v>406</v>
      </c>
      <c r="D230" s="30" t="s">
        <v>58</v>
      </c>
      <c r="E230" s="34" t="s">
        <v>88</v>
      </c>
      <c r="F230" s="34" t="s">
        <v>515</v>
      </c>
      <c r="G230" s="34" t="s">
        <v>185</v>
      </c>
      <c r="H230" s="34">
        <v>10543.4</v>
      </c>
      <c r="I230" s="34">
        <v>1</v>
      </c>
      <c r="J230" s="34">
        <v>10543.4</v>
      </c>
      <c r="K230" s="34">
        <v>10543.4</v>
      </c>
      <c r="L230" s="34">
        <v>1</v>
      </c>
      <c r="M230" s="34">
        <v>10543.4</v>
      </c>
      <c r="N230" s="3" t="s">
        <v>529</v>
      </c>
      <c r="O230" s="35">
        <v>45153</v>
      </c>
      <c r="P230" s="33" t="str">
        <f>HYPERLINK("https://my.zakupki.prom.ua/remote/dispatcher/state_purchase_view/44523546", "UA-2023-08-15-005675-a")</f>
        <v>UA-2023-08-15-005675-a</v>
      </c>
      <c r="Q230" s="53">
        <f>1201356/1000/1.2</f>
        <v>1001.13</v>
      </c>
      <c r="R230" s="34">
        <v>1</v>
      </c>
      <c r="S230" s="34">
        <v>1001.13</v>
      </c>
      <c r="T230" s="35">
        <v>45170</v>
      </c>
      <c r="U230" s="34"/>
      <c r="V230" s="34"/>
    </row>
    <row r="231" spans="1:22" ht="62.4" x14ac:dyDescent="0.3">
      <c r="A231" s="34">
        <v>227</v>
      </c>
      <c r="B231" s="34" t="s">
        <v>40</v>
      </c>
      <c r="C231" s="34" t="s">
        <v>73</v>
      </c>
      <c r="D231" s="34"/>
      <c r="E231" s="34" t="s">
        <v>75</v>
      </c>
      <c r="F231" s="34" t="s">
        <v>531</v>
      </c>
      <c r="G231" s="34" t="s">
        <v>184</v>
      </c>
      <c r="H231" s="34">
        <v>52.715508333333332</v>
      </c>
      <c r="I231" s="34">
        <v>1</v>
      </c>
      <c r="J231" s="34">
        <v>52.715508333333332</v>
      </c>
      <c r="K231" s="34">
        <v>52.715508333333332</v>
      </c>
      <c r="L231" s="34">
        <v>1</v>
      </c>
      <c r="M231" s="34">
        <v>52.715508333333332</v>
      </c>
      <c r="N231" s="3" t="s">
        <v>537</v>
      </c>
      <c r="O231" s="35">
        <v>45161</v>
      </c>
      <c r="P231" s="33" t="str">
        <f>HYPERLINK("https://my.zakupki.prom.ua/remote/dispatcher/state_purchase_view/44706235", "UA-2023-08-23-006676-a")</f>
        <v>UA-2023-08-23-006676-a</v>
      </c>
      <c r="Q231" s="34">
        <v>52.715508333333332</v>
      </c>
      <c r="R231" s="34">
        <v>1</v>
      </c>
      <c r="S231" s="34">
        <v>52.715508333333332</v>
      </c>
      <c r="T231" s="35">
        <v>45161.572472394859</v>
      </c>
      <c r="U231" s="34"/>
      <c r="V231" s="34" t="s">
        <v>59</v>
      </c>
    </row>
    <row r="232" spans="1:22" ht="62.4" x14ac:dyDescent="0.3">
      <c r="A232" s="34">
        <v>228</v>
      </c>
      <c r="B232" s="34" t="s">
        <v>40</v>
      </c>
      <c r="C232" s="34" t="s">
        <v>41</v>
      </c>
      <c r="D232" s="34"/>
      <c r="E232" s="34" t="s">
        <v>373</v>
      </c>
      <c r="F232" s="34" t="s">
        <v>532</v>
      </c>
      <c r="G232" s="34" t="s">
        <v>184</v>
      </c>
      <c r="H232" s="34">
        <v>248.68982499999998</v>
      </c>
      <c r="I232" s="34">
        <v>1</v>
      </c>
      <c r="J232" s="34">
        <v>248.68982499999998</v>
      </c>
      <c r="K232" s="34">
        <v>248.68982499999998</v>
      </c>
      <c r="L232" s="34">
        <v>1</v>
      </c>
      <c r="M232" s="34">
        <v>248.68982499999998</v>
      </c>
      <c r="N232" s="3" t="s">
        <v>536</v>
      </c>
      <c r="O232" s="35">
        <v>45161</v>
      </c>
      <c r="P232" s="33" t="str">
        <f>HYPERLINK("https://my.zakupki.prom.ua/remote/dispatcher/state_purchase_view/44705001", "UA-2023-08-23-006097-a")</f>
        <v>UA-2023-08-23-006097-a</v>
      </c>
      <c r="Q232" s="34">
        <v>248.68982499999998</v>
      </c>
      <c r="R232" s="34">
        <v>1</v>
      </c>
      <c r="S232" s="34">
        <v>248.68982499999998</v>
      </c>
      <c r="T232" s="35">
        <v>45161.552571964385</v>
      </c>
      <c r="U232" s="34"/>
      <c r="V232" s="34" t="s">
        <v>59</v>
      </c>
    </row>
    <row r="233" spans="1:22" ht="62.4" x14ac:dyDescent="0.3">
      <c r="A233" s="34">
        <v>229</v>
      </c>
      <c r="B233" s="34" t="s">
        <v>40</v>
      </c>
      <c r="C233" s="34" t="s">
        <v>41</v>
      </c>
      <c r="D233" s="34"/>
      <c r="E233" s="34" t="s">
        <v>373</v>
      </c>
      <c r="F233" s="34" t="s">
        <v>533</v>
      </c>
      <c r="G233" s="34" t="s">
        <v>184</v>
      </c>
      <c r="H233" s="34">
        <v>208.01519999999999</v>
      </c>
      <c r="I233" s="34">
        <v>1</v>
      </c>
      <c r="J233" s="34">
        <v>208.01519999999999</v>
      </c>
      <c r="K233" s="34">
        <v>208.01519999999999</v>
      </c>
      <c r="L233" s="34">
        <v>1</v>
      </c>
      <c r="M233" s="34">
        <v>208.01519999999999</v>
      </c>
      <c r="N233" s="3" t="s">
        <v>538</v>
      </c>
      <c r="O233" s="35">
        <v>45161</v>
      </c>
      <c r="P233" s="33" t="str">
        <f>HYPERLINK("https://my.zakupki.prom.ua/remote/dispatcher/state_purchase_view/44701962", "UA-2023-08-23-004657-a")</f>
        <v>UA-2023-08-23-004657-a</v>
      </c>
      <c r="Q233" s="34">
        <v>208.01519999999999</v>
      </c>
      <c r="R233" s="34">
        <v>1</v>
      </c>
      <c r="S233" s="34">
        <v>208.01519999999999</v>
      </c>
      <c r="T233" s="35">
        <v>45161.501702151501</v>
      </c>
      <c r="U233" s="34"/>
      <c r="V233" s="34" t="s">
        <v>59</v>
      </c>
    </row>
    <row r="234" spans="1:22" ht="62.4" x14ac:dyDescent="0.3">
      <c r="A234" s="34">
        <v>230</v>
      </c>
      <c r="B234" s="34" t="s">
        <v>40</v>
      </c>
      <c r="C234" s="34" t="s">
        <v>41</v>
      </c>
      <c r="D234" s="34"/>
      <c r="E234" s="34" t="s">
        <v>373</v>
      </c>
      <c r="F234" s="34" t="s">
        <v>534</v>
      </c>
      <c r="G234" s="34" t="s">
        <v>184</v>
      </c>
      <c r="H234" s="34">
        <v>263.00654166666669</v>
      </c>
      <c r="I234" s="34">
        <v>1</v>
      </c>
      <c r="J234" s="34">
        <v>263.00654166666669</v>
      </c>
      <c r="K234" s="34">
        <v>263.00654166666669</v>
      </c>
      <c r="L234" s="34">
        <v>1</v>
      </c>
      <c r="M234" s="34">
        <v>263.00654166666669</v>
      </c>
      <c r="N234" s="3" t="s">
        <v>539</v>
      </c>
      <c r="O234" s="35">
        <v>45162</v>
      </c>
      <c r="P234" s="33" t="str">
        <f>HYPERLINK("https://my.zakupki.prom.ua/remote/dispatcher/state_purchase_view/44727318", "UA-2023-08-24-003436-a")</f>
        <v>UA-2023-08-24-003436-a</v>
      </c>
      <c r="Q234" s="34">
        <v>263.00654166666669</v>
      </c>
      <c r="R234" s="34">
        <v>1</v>
      </c>
      <c r="S234" s="34">
        <v>263.00654166666669</v>
      </c>
      <c r="T234" s="35">
        <v>45162.470152068599</v>
      </c>
      <c r="U234" s="34"/>
      <c r="V234" s="34" t="s">
        <v>59</v>
      </c>
    </row>
    <row r="235" spans="1:22" ht="46.8" x14ac:dyDescent="0.3">
      <c r="A235" s="34">
        <v>231</v>
      </c>
      <c r="B235" s="34" t="s">
        <v>21</v>
      </c>
      <c r="C235" s="34" t="s">
        <v>32</v>
      </c>
      <c r="D235" s="34" t="s">
        <v>58</v>
      </c>
      <c r="E235" s="34" t="s">
        <v>373</v>
      </c>
      <c r="F235" s="34" t="s">
        <v>535</v>
      </c>
      <c r="G235" s="34" t="s">
        <v>185</v>
      </c>
      <c r="H235" s="34">
        <v>162.5</v>
      </c>
      <c r="I235" s="34">
        <v>1</v>
      </c>
      <c r="J235" s="34">
        <v>162.5</v>
      </c>
      <c r="K235" s="34">
        <v>162.5</v>
      </c>
      <c r="L235" s="34">
        <v>1</v>
      </c>
      <c r="M235" s="34">
        <v>162.5</v>
      </c>
      <c r="N235" s="3" t="s">
        <v>540</v>
      </c>
      <c r="O235" s="35">
        <v>45162</v>
      </c>
      <c r="P235" s="33" t="str">
        <f>HYPERLINK("https://my.zakupki.prom.ua/remote/dispatcher/state_purchase_view/44720799", "UA-2023-08-24-000445-a")</f>
        <v>UA-2023-08-24-000445-a</v>
      </c>
      <c r="Q235" s="53">
        <v>154.25</v>
      </c>
      <c r="R235" s="34">
        <v>1</v>
      </c>
      <c r="S235" s="53">
        <v>154.25</v>
      </c>
      <c r="T235" s="35">
        <v>45180</v>
      </c>
      <c r="U235" s="34"/>
      <c r="V235" s="34"/>
    </row>
    <row r="236" spans="1:22" ht="62.4" x14ac:dyDescent="0.3">
      <c r="A236" s="1">
        <v>232</v>
      </c>
      <c r="B236" s="43" t="s">
        <v>40</v>
      </c>
      <c r="C236" s="44" t="s">
        <v>542</v>
      </c>
      <c r="D236" s="38"/>
      <c r="E236" s="38" t="s">
        <v>75</v>
      </c>
      <c r="F236" s="38" t="s">
        <v>544</v>
      </c>
      <c r="G236" s="38" t="s">
        <v>184</v>
      </c>
      <c r="H236" s="45">
        <v>196.83361666666667</v>
      </c>
      <c r="I236" s="38">
        <v>1</v>
      </c>
      <c r="J236" s="45">
        <v>196.83361666666667</v>
      </c>
      <c r="K236" s="45">
        <v>196.83361666666667</v>
      </c>
      <c r="L236" s="38">
        <v>1</v>
      </c>
      <c r="M236" s="45">
        <v>196.83361666666667</v>
      </c>
      <c r="N236" s="3" t="s">
        <v>545</v>
      </c>
      <c r="O236" s="46">
        <v>45166</v>
      </c>
      <c r="P236" s="33" t="str">
        <f>HYPERLINK("https://my.zakupki.prom.ua/remote/dispatcher/state_purchase_view/44771791", "UA-2023-08-28-000647-a")</f>
        <v>UA-2023-08-28-000647-a</v>
      </c>
      <c r="Q236" s="45">
        <v>196.83361666666667</v>
      </c>
      <c r="R236" s="38">
        <v>1</v>
      </c>
      <c r="S236" s="45">
        <v>196.83361666666667</v>
      </c>
      <c r="T236" s="46">
        <v>45166</v>
      </c>
      <c r="U236" s="38"/>
      <c r="V236" s="38" t="s">
        <v>59</v>
      </c>
    </row>
    <row r="237" spans="1:22" ht="62.4" x14ac:dyDescent="0.3">
      <c r="A237" s="38">
        <v>233</v>
      </c>
      <c r="B237" s="38" t="s">
        <v>21</v>
      </c>
      <c r="C237" s="47" t="s">
        <v>413</v>
      </c>
      <c r="D237" s="38" t="s">
        <v>58</v>
      </c>
      <c r="E237" s="38" t="s">
        <v>373</v>
      </c>
      <c r="F237" s="61" t="s">
        <v>546</v>
      </c>
      <c r="G237" s="38" t="s">
        <v>185</v>
      </c>
      <c r="H237" s="48"/>
      <c r="I237" s="38">
        <v>180</v>
      </c>
      <c r="J237" s="56">
        <v>372.06</v>
      </c>
      <c r="K237" s="49"/>
      <c r="L237" s="51">
        <v>180</v>
      </c>
      <c r="M237" s="56">
        <v>372.06</v>
      </c>
      <c r="N237" s="3" t="s">
        <v>547</v>
      </c>
      <c r="O237" s="37">
        <v>45167</v>
      </c>
      <c r="P237" s="33" t="str">
        <f>HYPERLINK("https://my.zakupki.prom.ua/remote/dispatcher/state_purchase_view/44807604", "UA-2023-08-29-004307-a")</f>
        <v>UA-2023-08-29-004307-a</v>
      </c>
      <c r="Q237" s="38"/>
      <c r="R237" s="38">
        <v>180</v>
      </c>
      <c r="S237" s="38">
        <v>372.06</v>
      </c>
      <c r="T237" s="57">
        <v>45187</v>
      </c>
      <c r="U237" s="38"/>
      <c r="V237" s="38"/>
    </row>
    <row r="238" spans="1:22" ht="62.4" x14ac:dyDescent="0.3">
      <c r="A238" s="38">
        <v>234</v>
      </c>
      <c r="B238" s="38" t="s">
        <v>40</v>
      </c>
      <c r="C238" s="44" t="s">
        <v>41</v>
      </c>
      <c r="D238" s="38"/>
      <c r="E238" s="38" t="s">
        <v>373</v>
      </c>
      <c r="F238" s="44" t="s">
        <v>548</v>
      </c>
      <c r="G238" s="38" t="s">
        <v>184</v>
      </c>
      <c r="H238" s="48">
        <v>299.56304166666672</v>
      </c>
      <c r="I238" s="38">
        <v>1</v>
      </c>
      <c r="J238" s="38">
        <v>299.56304166666672</v>
      </c>
      <c r="K238" s="38">
        <v>299.56304166666672</v>
      </c>
      <c r="L238" s="38">
        <v>1</v>
      </c>
      <c r="M238" s="38">
        <v>299.56304166666672</v>
      </c>
      <c r="N238" s="3" t="s">
        <v>549</v>
      </c>
      <c r="O238" s="37">
        <v>45169</v>
      </c>
      <c r="P238" s="33" t="str">
        <f>HYPERLINK("https://my.zakupki.prom.ua/remote/dispatcher/state_purchase_view/44854320", "UA-2023-08-31-001439-a")</f>
        <v>UA-2023-08-31-001439-a</v>
      </c>
      <c r="Q238" s="38">
        <v>299.56304166666672</v>
      </c>
      <c r="R238" s="38">
        <v>1</v>
      </c>
      <c r="S238" s="38">
        <v>299.56304166666672</v>
      </c>
      <c r="T238" s="37">
        <v>45169</v>
      </c>
      <c r="U238" s="38"/>
      <c r="V238" s="38" t="s">
        <v>59</v>
      </c>
    </row>
    <row r="239" spans="1:22" ht="62.4" x14ac:dyDescent="0.3">
      <c r="A239" s="38">
        <v>235</v>
      </c>
      <c r="B239" s="38" t="s">
        <v>40</v>
      </c>
      <c r="C239" s="44" t="s">
        <v>41</v>
      </c>
      <c r="D239" s="38"/>
      <c r="E239" s="38" t="s">
        <v>373</v>
      </c>
      <c r="F239" s="44" t="s">
        <v>550</v>
      </c>
      <c r="G239" s="38" t="s">
        <v>184</v>
      </c>
      <c r="H239" s="48">
        <v>187.04543333333334</v>
      </c>
      <c r="I239" s="38">
        <v>1</v>
      </c>
      <c r="J239" s="38">
        <v>187.04543333333334</v>
      </c>
      <c r="K239" s="48">
        <v>187.04543333333334</v>
      </c>
      <c r="L239" s="38">
        <v>1</v>
      </c>
      <c r="M239" s="38">
        <v>187.04543333333334</v>
      </c>
      <c r="N239" s="3" t="s">
        <v>551</v>
      </c>
      <c r="O239" s="37">
        <v>45169</v>
      </c>
      <c r="P239" s="33" t="str">
        <f>HYPERLINK("https://my.zakupki.prom.ua/remote/dispatcher/state_purchase_view/44854535", "UA-2023-08-31-001572-a")</f>
        <v>UA-2023-08-31-001572-a</v>
      </c>
      <c r="Q239" s="38">
        <v>187.04543333333334</v>
      </c>
      <c r="R239" s="38">
        <v>1</v>
      </c>
      <c r="S239" s="38">
        <v>187.04543333333334</v>
      </c>
      <c r="T239" s="37">
        <v>45169</v>
      </c>
      <c r="U239" s="38"/>
      <c r="V239" s="38" t="s">
        <v>59</v>
      </c>
    </row>
    <row r="240" spans="1:22" ht="62.4" x14ac:dyDescent="0.3">
      <c r="A240" s="38">
        <v>236</v>
      </c>
      <c r="B240" s="38" t="s">
        <v>40</v>
      </c>
      <c r="C240" s="44" t="s">
        <v>41</v>
      </c>
      <c r="D240" s="38"/>
      <c r="E240" s="38" t="s">
        <v>373</v>
      </c>
      <c r="F240" s="44" t="s">
        <v>552</v>
      </c>
      <c r="G240" s="38" t="s">
        <v>184</v>
      </c>
      <c r="H240" s="48">
        <v>67.505383333333342</v>
      </c>
      <c r="I240" s="38">
        <v>1</v>
      </c>
      <c r="J240" s="38">
        <v>67.505383333333342</v>
      </c>
      <c r="K240" s="38">
        <v>67.505383333333342</v>
      </c>
      <c r="L240" s="38">
        <v>1</v>
      </c>
      <c r="M240" s="38">
        <v>67.505383333333342</v>
      </c>
      <c r="N240" s="3" t="s">
        <v>553</v>
      </c>
      <c r="O240" s="37">
        <v>45169</v>
      </c>
      <c r="P240" s="33" t="str">
        <f>HYPERLINK("https://my.zakupki.prom.ua/remote/dispatcher/state_purchase_view/44854889", "UA-2023-08-31-001699-a")</f>
        <v>UA-2023-08-31-001699-a</v>
      </c>
      <c r="Q240" s="38">
        <v>67.505383333333342</v>
      </c>
      <c r="R240" s="38">
        <v>1</v>
      </c>
      <c r="S240" s="38">
        <v>67.505383333333342</v>
      </c>
      <c r="T240" s="37">
        <v>45169</v>
      </c>
      <c r="U240" s="38"/>
      <c r="V240" s="38" t="s">
        <v>59</v>
      </c>
    </row>
    <row r="241" spans="1:22" ht="156" x14ac:dyDescent="0.3">
      <c r="A241" s="38">
        <v>237</v>
      </c>
      <c r="B241" s="38" t="s">
        <v>21</v>
      </c>
      <c r="C241" s="52" t="s">
        <v>517</v>
      </c>
      <c r="D241" s="38" t="s">
        <v>58</v>
      </c>
      <c r="E241" s="38" t="s">
        <v>88</v>
      </c>
      <c r="F241" s="41" t="s">
        <v>554</v>
      </c>
      <c r="G241" s="38" t="s">
        <v>185</v>
      </c>
      <c r="H241" s="48"/>
      <c r="I241" s="38">
        <v>28</v>
      </c>
      <c r="J241" s="38">
        <f>16670400/1000/1.2</f>
        <v>13892.000000000002</v>
      </c>
      <c r="K241" s="38"/>
      <c r="L241" s="38">
        <v>28</v>
      </c>
      <c r="M241" s="38">
        <v>13892.000000000002</v>
      </c>
      <c r="N241" s="3" t="s">
        <v>555</v>
      </c>
      <c r="O241" s="37">
        <v>45170</v>
      </c>
      <c r="P241" s="42" t="str">
        <f>HYPERLINK("https://my.zakupki.prom.ua/remote/dispatcher/state_purchase_view/44895251", "UA-2023-09-01-009213-a")</f>
        <v>UA-2023-09-01-009213-a</v>
      </c>
      <c r="Q241" s="38"/>
      <c r="R241" s="38"/>
      <c r="S241" s="38"/>
      <c r="T241" s="37"/>
      <c r="U241" s="56" t="s">
        <v>556</v>
      </c>
      <c r="V241" s="38"/>
    </row>
    <row r="242" spans="1:22" ht="62.4" x14ac:dyDescent="0.3">
      <c r="A242" s="38">
        <v>238</v>
      </c>
      <c r="B242" s="38" t="s">
        <v>40</v>
      </c>
      <c r="C242" s="44" t="s">
        <v>542</v>
      </c>
      <c r="D242" s="38"/>
      <c r="E242" s="38" t="s">
        <v>75</v>
      </c>
      <c r="F242" s="44" t="s">
        <v>541</v>
      </c>
      <c r="G242" s="38" t="s">
        <v>184</v>
      </c>
      <c r="H242" s="48">
        <f>255985.58/1000/1.2</f>
        <v>213.32131666666666</v>
      </c>
      <c r="I242" s="38">
        <v>1</v>
      </c>
      <c r="J242" s="48">
        <f>255985.58/1000/1.2</f>
        <v>213.32131666666666</v>
      </c>
      <c r="K242" s="48">
        <f>255985.58/1000/1.2</f>
        <v>213.32131666666666</v>
      </c>
      <c r="L242" s="38">
        <v>1</v>
      </c>
      <c r="M242" s="48">
        <f>255985.58/1000/1.2</f>
        <v>213.32131666666666</v>
      </c>
      <c r="N242" s="3" t="s">
        <v>543</v>
      </c>
      <c r="O242" s="50">
        <v>45170</v>
      </c>
      <c r="P242" s="33" t="str">
        <f>HYPERLINK("https://my.zakupki.prom.ua/remote/dispatcher/state_purchase_view/44902990", "UA-2023-09-04-001378-a")</f>
        <v>UA-2023-09-04-001378-a</v>
      </c>
      <c r="Q242" s="38">
        <v>213.32131666666666</v>
      </c>
      <c r="R242" s="38">
        <v>1</v>
      </c>
      <c r="S242" s="38">
        <v>213.32131666666666</v>
      </c>
      <c r="T242" s="37">
        <v>45170</v>
      </c>
      <c r="U242" s="38"/>
      <c r="V242" s="38" t="s">
        <v>59</v>
      </c>
    </row>
    <row r="243" spans="1:22" ht="124.8" x14ac:dyDescent="0.3">
      <c r="A243" s="39">
        <v>239</v>
      </c>
      <c r="B243" s="39" t="s">
        <v>40</v>
      </c>
      <c r="C243" s="39" t="s">
        <v>518</v>
      </c>
      <c r="D243" s="39"/>
      <c r="E243" s="39" t="s">
        <v>88</v>
      </c>
      <c r="F243" s="39" t="s">
        <v>511</v>
      </c>
      <c r="G243" s="39" t="s">
        <v>184</v>
      </c>
      <c r="H243" s="39">
        <v>1735.5</v>
      </c>
      <c r="I243" s="39">
        <v>1</v>
      </c>
      <c r="J243" s="39">
        <v>1735.5</v>
      </c>
      <c r="K243" s="39">
        <v>1735.5</v>
      </c>
      <c r="L243" s="39">
        <v>1</v>
      </c>
      <c r="M243" s="39">
        <v>1735.5</v>
      </c>
      <c r="N243" s="6" t="s">
        <v>558</v>
      </c>
      <c r="O243" s="40">
        <v>45181</v>
      </c>
      <c r="P243" s="42" t="str">
        <f>HYPERLINK("https://my.zakupki.prom.ua/remote/dispatcher/state_purchase_lot_view/1042853", "UA-2023-09-12-005223-a-L1")</f>
        <v>UA-2023-09-12-005223-a-L1</v>
      </c>
      <c r="Q243" s="39">
        <v>1735.5</v>
      </c>
      <c r="R243" s="39">
        <v>1</v>
      </c>
      <c r="S243" s="39">
        <v>1735.5</v>
      </c>
      <c r="T243" s="40"/>
      <c r="U243" s="39" t="s">
        <v>601</v>
      </c>
      <c r="V243" s="39"/>
    </row>
    <row r="244" spans="1:22" ht="62.4" x14ac:dyDescent="0.3">
      <c r="A244" s="39">
        <v>240</v>
      </c>
      <c r="B244" s="39" t="s">
        <v>40</v>
      </c>
      <c r="C244" s="39" t="s">
        <v>41</v>
      </c>
      <c r="D244" s="39"/>
      <c r="E244" s="39" t="s">
        <v>373</v>
      </c>
      <c r="F244" s="39" t="s">
        <v>559</v>
      </c>
      <c r="G244" s="39" t="s">
        <v>184</v>
      </c>
      <c r="H244" s="39">
        <v>167.10406599999999</v>
      </c>
      <c r="I244" s="39">
        <v>1</v>
      </c>
      <c r="J244" s="54">
        <v>167.10406599999999</v>
      </c>
      <c r="K244" s="54">
        <v>167.10406599999999</v>
      </c>
      <c r="L244" s="54">
        <v>1</v>
      </c>
      <c r="M244" s="54">
        <v>167.10406599999999</v>
      </c>
      <c r="N244" s="6" t="s">
        <v>560</v>
      </c>
      <c r="O244" s="55">
        <v>45181</v>
      </c>
      <c r="P244" s="33" t="str">
        <f>HYPERLINK("https://my.zakupki.prom.ua/remote/dispatcher/state_purchase_view/45103007", "UA-2023-09-12-003129-a")</f>
        <v>UA-2023-09-12-003129-a</v>
      </c>
      <c r="Q244" s="54">
        <v>167.10406599999999</v>
      </c>
      <c r="R244" s="54">
        <v>1</v>
      </c>
      <c r="S244" s="54">
        <v>167.10406599999999</v>
      </c>
      <c r="T244" s="55">
        <v>45181</v>
      </c>
      <c r="U244" s="39"/>
      <c r="V244" s="54" t="s">
        <v>59</v>
      </c>
    </row>
    <row r="245" spans="1:22" ht="62.4" x14ac:dyDescent="0.3">
      <c r="A245" s="39">
        <v>241</v>
      </c>
      <c r="B245" s="39" t="s">
        <v>40</v>
      </c>
      <c r="C245" s="39" t="s">
        <v>41</v>
      </c>
      <c r="D245" s="39"/>
      <c r="E245" s="39" t="s">
        <v>373</v>
      </c>
      <c r="F245" s="39" t="s">
        <v>561</v>
      </c>
      <c r="G245" s="39" t="s">
        <v>184</v>
      </c>
      <c r="H245" s="54">
        <v>415.16779100000002</v>
      </c>
      <c r="I245" s="39">
        <v>1</v>
      </c>
      <c r="J245" s="39">
        <v>415.16779100000002</v>
      </c>
      <c r="K245" s="54">
        <v>415.16779100000002</v>
      </c>
      <c r="L245" s="54">
        <v>1</v>
      </c>
      <c r="M245" s="54">
        <v>415.16779100000002</v>
      </c>
      <c r="N245" s="6" t="s">
        <v>563</v>
      </c>
      <c r="O245" s="55">
        <v>45181</v>
      </c>
      <c r="P245" s="33" t="str">
        <f>HYPERLINK("https://my.zakupki.prom.ua/remote/dispatcher/state_purchase_view/45101986", "UA-2023-09-12-002759-a")</f>
        <v>UA-2023-09-12-002759-a</v>
      </c>
      <c r="Q245" s="54">
        <v>415.16779100000002</v>
      </c>
      <c r="R245" s="54">
        <v>1</v>
      </c>
      <c r="S245" s="54">
        <v>415.16779100000002</v>
      </c>
      <c r="T245" s="55">
        <v>45181</v>
      </c>
      <c r="U245" s="39"/>
      <c r="V245" s="54" t="s">
        <v>59</v>
      </c>
    </row>
    <row r="246" spans="1:22" ht="62.4" x14ac:dyDescent="0.3">
      <c r="A246" s="39">
        <v>242</v>
      </c>
      <c r="B246" s="39" t="s">
        <v>40</v>
      </c>
      <c r="C246" s="39" t="s">
        <v>41</v>
      </c>
      <c r="D246" s="39"/>
      <c r="E246" s="39" t="s">
        <v>373</v>
      </c>
      <c r="F246" s="39" t="s">
        <v>562</v>
      </c>
      <c r="G246" s="39" t="s">
        <v>184</v>
      </c>
      <c r="H246" s="54">
        <v>101.80864099999999</v>
      </c>
      <c r="I246" s="39">
        <v>1</v>
      </c>
      <c r="J246" s="39">
        <v>101.80864099999999</v>
      </c>
      <c r="K246" s="54">
        <v>101.80864099999999</v>
      </c>
      <c r="L246" s="54">
        <v>1</v>
      </c>
      <c r="M246" s="54">
        <v>101.80864099999999</v>
      </c>
      <c r="N246" s="6" t="s">
        <v>564</v>
      </c>
      <c r="O246" s="55">
        <v>45181</v>
      </c>
      <c r="P246" s="42" t="str">
        <f>HYPERLINK("https://my.zakupki.prom.ua/remote/dispatcher/state_purchase_view/45099204", "UA-2023-09-12-001499-a")</f>
        <v>UA-2023-09-12-001499-a</v>
      </c>
      <c r="Q246" s="54">
        <v>101.80864099999999</v>
      </c>
      <c r="R246" s="54">
        <v>1</v>
      </c>
      <c r="S246" s="54">
        <v>101.80864099999999</v>
      </c>
      <c r="T246" s="55">
        <v>45181</v>
      </c>
      <c r="U246" s="39"/>
      <c r="V246" s="54" t="s">
        <v>59</v>
      </c>
    </row>
    <row r="247" spans="1:22" ht="109.2" x14ac:dyDescent="0.3">
      <c r="A247" s="39">
        <v>243</v>
      </c>
      <c r="B247" s="54" t="s">
        <v>21</v>
      </c>
      <c r="C247" s="39" t="s">
        <v>173</v>
      </c>
      <c r="D247" s="83" t="s">
        <v>58</v>
      </c>
      <c r="E247" s="54" t="s">
        <v>88</v>
      </c>
      <c r="F247" s="39" t="s">
        <v>565</v>
      </c>
      <c r="G247" s="54" t="s">
        <v>21</v>
      </c>
      <c r="H247" s="54"/>
      <c r="I247" s="39">
        <v>20</v>
      </c>
      <c r="J247" s="39">
        <v>89.4</v>
      </c>
      <c r="K247" s="54"/>
      <c r="L247" s="39">
        <v>20</v>
      </c>
      <c r="M247" s="54">
        <v>89.4</v>
      </c>
      <c r="N247" s="6" t="s">
        <v>566</v>
      </c>
      <c r="O247" s="40">
        <v>45175</v>
      </c>
      <c r="P247" s="33" t="str">
        <f>HYPERLINK("https://my.zakupki.prom.ua/remote/dispatcher/state_purchase_view/44982124", "UA-2023-09-06-008139-a")</f>
        <v>UA-2023-09-06-008139-a</v>
      </c>
      <c r="Q247" s="39"/>
      <c r="R247" s="39">
        <v>20</v>
      </c>
      <c r="S247" s="54">
        <v>89.4</v>
      </c>
      <c r="T247" s="40"/>
      <c r="U247" s="54" t="s">
        <v>575</v>
      </c>
      <c r="V247" s="39"/>
    </row>
    <row r="248" spans="1:22" ht="78" x14ac:dyDescent="0.3">
      <c r="A248" s="39">
        <v>244</v>
      </c>
      <c r="B248" s="54" t="s">
        <v>21</v>
      </c>
      <c r="C248" s="39" t="s">
        <v>180</v>
      </c>
      <c r="D248" s="83" t="s">
        <v>58</v>
      </c>
      <c r="E248" s="54" t="s">
        <v>88</v>
      </c>
      <c r="F248" s="39" t="s">
        <v>567</v>
      </c>
      <c r="G248" s="54" t="s">
        <v>21</v>
      </c>
      <c r="H248" s="39"/>
      <c r="I248" s="39">
        <v>5</v>
      </c>
      <c r="J248" s="39">
        <v>1802.08</v>
      </c>
      <c r="K248" s="39"/>
      <c r="L248" s="39">
        <v>5</v>
      </c>
      <c r="M248" s="54">
        <v>1802.08</v>
      </c>
      <c r="N248" s="6" t="s">
        <v>568</v>
      </c>
      <c r="O248" s="55">
        <v>45175</v>
      </c>
      <c r="P248" s="42" t="str">
        <f>HYPERLINK("https://my.zakupki.prom.ua/remote/dispatcher/state_purchase_view/44981628", "UA-2023-09-06-007953-a")</f>
        <v>UA-2023-09-06-007953-a</v>
      </c>
      <c r="Q248" s="39"/>
      <c r="R248" s="39">
        <v>5</v>
      </c>
      <c r="S248" s="54">
        <v>1802.08</v>
      </c>
      <c r="T248" s="40"/>
      <c r="U248" s="54" t="s">
        <v>93</v>
      </c>
      <c r="V248" s="39"/>
    </row>
    <row r="249" spans="1:22" ht="124.8" x14ac:dyDescent="0.3">
      <c r="A249" s="9">
        <v>245</v>
      </c>
      <c r="B249" s="9" t="s">
        <v>21</v>
      </c>
      <c r="C249" s="9" t="s">
        <v>179</v>
      </c>
      <c r="D249" s="83" t="s">
        <v>58</v>
      </c>
      <c r="E249" s="9" t="s">
        <v>88</v>
      </c>
      <c r="F249" s="9" t="s">
        <v>569</v>
      </c>
      <c r="G249" s="9" t="s">
        <v>21</v>
      </c>
      <c r="H249" s="9">
        <v>95.23</v>
      </c>
      <c r="I249" s="9">
        <v>1</v>
      </c>
      <c r="J249" s="9">
        <v>95.23</v>
      </c>
      <c r="K249" s="9">
        <v>95.23</v>
      </c>
      <c r="L249" s="9">
        <v>1</v>
      </c>
      <c r="M249" s="9">
        <v>95.23</v>
      </c>
      <c r="N249" s="58" t="s">
        <v>570</v>
      </c>
      <c r="O249" s="10">
        <v>45175</v>
      </c>
      <c r="P249" s="33" t="str">
        <f>HYPERLINK("https://my.zakupki.prom.ua/remote/dispatcher/state_purchase_view/44980799", "UA-2023-09-06-007560-a")</f>
        <v>UA-2023-09-06-007560-a</v>
      </c>
      <c r="Q249" s="9">
        <v>95.23</v>
      </c>
      <c r="R249" s="9">
        <v>1</v>
      </c>
      <c r="S249" s="9">
        <v>95.23</v>
      </c>
      <c r="T249" s="10"/>
      <c r="U249" s="9" t="s">
        <v>93</v>
      </c>
      <c r="V249" s="9"/>
    </row>
    <row r="250" spans="1:22" ht="93.6" x14ac:dyDescent="0.3">
      <c r="A250" s="54">
        <v>246</v>
      </c>
      <c r="B250" s="54" t="s">
        <v>21</v>
      </c>
      <c r="C250" s="54" t="s">
        <v>177</v>
      </c>
      <c r="D250" s="83" t="s">
        <v>58</v>
      </c>
      <c r="E250" s="54" t="s">
        <v>88</v>
      </c>
      <c r="F250" s="54" t="s">
        <v>571</v>
      </c>
      <c r="G250" s="54" t="s">
        <v>21</v>
      </c>
      <c r="H250" s="54"/>
      <c r="I250" s="54">
        <v>5</v>
      </c>
      <c r="J250" s="54">
        <v>231.75</v>
      </c>
      <c r="K250" s="54"/>
      <c r="L250" s="54">
        <v>5</v>
      </c>
      <c r="M250" s="54">
        <v>231.75</v>
      </c>
      <c r="N250" s="6" t="s">
        <v>573</v>
      </c>
      <c r="O250" s="55">
        <v>45175</v>
      </c>
      <c r="P250" s="33" t="str">
        <f>HYPERLINK("https://my.zakupki.prom.ua/remote/dispatcher/state_purchase_view/44980722", "UA-2023-09-06-007510-a")</f>
        <v>UA-2023-09-06-007510-a</v>
      </c>
      <c r="Q250" s="54"/>
      <c r="R250" s="54">
        <v>5</v>
      </c>
      <c r="S250" s="54">
        <v>231.75</v>
      </c>
      <c r="T250" s="55"/>
      <c r="U250" s="54" t="s">
        <v>93</v>
      </c>
      <c r="V250" s="54"/>
    </row>
    <row r="251" spans="1:22" ht="78" x14ac:dyDescent="0.3">
      <c r="A251" s="54">
        <v>247</v>
      </c>
      <c r="B251" s="54" t="s">
        <v>21</v>
      </c>
      <c r="C251" s="54" t="s">
        <v>32</v>
      </c>
      <c r="D251" s="83" t="s">
        <v>58</v>
      </c>
      <c r="E251" s="54" t="s">
        <v>88</v>
      </c>
      <c r="F251" s="54" t="s">
        <v>572</v>
      </c>
      <c r="G251" s="54" t="s">
        <v>21</v>
      </c>
      <c r="H251" s="54"/>
      <c r="I251" s="54">
        <v>40</v>
      </c>
      <c r="J251" s="54">
        <v>210</v>
      </c>
      <c r="K251" s="54"/>
      <c r="L251" s="54">
        <v>40</v>
      </c>
      <c r="M251" s="54">
        <v>210</v>
      </c>
      <c r="N251" s="6" t="s">
        <v>574</v>
      </c>
      <c r="O251" s="55">
        <v>45175</v>
      </c>
      <c r="P251" s="33" t="str">
        <f>HYPERLINK("https://my.zakupki.prom.ua/remote/dispatcher/state_purchase_view/44947327", "UA-2023-09-05-007575-a")</f>
        <v>UA-2023-09-05-007575-a</v>
      </c>
      <c r="Q251" s="54"/>
      <c r="R251" s="54">
        <v>40</v>
      </c>
      <c r="S251" s="54">
        <v>210</v>
      </c>
      <c r="T251" s="55"/>
      <c r="U251" s="54" t="s">
        <v>93</v>
      </c>
      <c r="V251" s="54"/>
    </row>
    <row r="252" spans="1:22" ht="62.4" x14ac:dyDescent="0.3">
      <c r="A252" s="59">
        <v>248</v>
      </c>
      <c r="B252" s="59" t="s">
        <v>40</v>
      </c>
      <c r="C252" s="44" t="s">
        <v>41</v>
      </c>
      <c r="D252" s="59"/>
      <c r="E252" s="59" t="s">
        <v>373</v>
      </c>
      <c r="F252" s="44" t="s">
        <v>576</v>
      </c>
      <c r="G252" s="59" t="s">
        <v>40</v>
      </c>
      <c r="H252" s="59">
        <v>200.1147</v>
      </c>
      <c r="I252" s="59">
        <v>1</v>
      </c>
      <c r="J252" s="59">
        <v>200.1147</v>
      </c>
      <c r="K252" s="59">
        <v>200.1147</v>
      </c>
      <c r="L252" s="59">
        <v>1</v>
      </c>
      <c r="M252" s="59">
        <v>200.1147</v>
      </c>
      <c r="N252" s="6" t="s">
        <v>577</v>
      </c>
      <c r="O252" s="60">
        <v>45187</v>
      </c>
      <c r="P252" s="33" t="str">
        <f>HYPERLINK("https://my.zakupki.prom.ua/remote/dispatcher/state_purchase_view/45239472", "UA-2023-09-18-004898-a")</f>
        <v>UA-2023-09-18-004898-a</v>
      </c>
      <c r="Q252" s="59">
        <v>200.1147</v>
      </c>
      <c r="R252" s="59">
        <v>1</v>
      </c>
      <c r="S252" s="59">
        <v>200.1147</v>
      </c>
      <c r="T252" s="90">
        <v>45187</v>
      </c>
      <c r="U252" s="59"/>
      <c r="V252" s="59" t="s">
        <v>59</v>
      </c>
    </row>
    <row r="253" spans="1:22" ht="62.4" x14ac:dyDescent="0.3">
      <c r="A253" s="59">
        <v>249</v>
      </c>
      <c r="B253" s="59" t="s">
        <v>40</v>
      </c>
      <c r="C253" s="44" t="s">
        <v>41</v>
      </c>
      <c r="D253" s="59"/>
      <c r="E253" s="59" t="s">
        <v>373</v>
      </c>
      <c r="F253" s="64" t="s">
        <v>578</v>
      </c>
      <c r="G253" s="59" t="s">
        <v>40</v>
      </c>
      <c r="H253" s="59">
        <v>81.153700000000001</v>
      </c>
      <c r="I253" s="59">
        <v>1</v>
      </c>
      <c r="J253" s="59">
        <v>81.153700000000001</v>
      </c>
      <c r="K253" s="59">
        <v>81.153700000000001</v>
      </c>
      <c r="L253" s="59">
        <v>1</v>
      </c>
      <c r="M253" s="59">
        <v>81.153700000000001</v>
      </c>
      <c r="N253" s="6" t="s">
        <v>579</v>
      </c>
      <c r="O253" s="60">
        <v>45188</v>
      </c>
      <c r="P253" s="42" t="str">
        <f>HYPERLINK("https://my.zakupki.prom.ua/remote/dispatcher/state_purchase_view/45277635", "UA-2023-09-19-007532-a")</f>
        <v>UA-2023-09-19-007532-a</v>
      </c>
      <c r="Q253" s="59">
        <v>81.153700000000001</v>
      </c>
      <c r="R253" s="59">
        <v>1</v>
      </c>
      <c r="S253" s="59">
        <v>81.153700000000001</v>
      </c>
      <c r="T253" s="90">
        <v>45188</v>
      </c>
      <c r="U253" s="59"/>
      <c r="V253" s="59" t="s">
        <v>59</v>
      </c>
    </row>
    <row r="254" spans="1:22" ht="62.4" x14ac:dyDescent="0.3">
      <c r="A254" s="59">
        <v>250</v>
      </c>
      <c r="B254" s="59" t="s">
        <v>40</v>
      </c>
      <c r="C254" s="44" t="s">
        <v>73</v>
      </c>
      <c r="D254" s="59"/>
      <c r="E254" s="59" t="s">
        <v>75</v>
      </c>
      <c r="F254" s="44" t="s">
        <v>580</v>
      </c>
      <c r="G254" s="59" t="s">
        <v>40</v>
      </c>
      <c r="H254" s="59">
        <v>48.749989999999997</v>
      </c>
      <c r="I254" s="59">
        <v>1</v>
      </c>
      <c r="J254" s="59">
        <v>48.749989999999997</v>
      </c>
      <c r="K254" s="59">
        <v>48.749989999999997</v>
      </c>
      <c r="L254" s="59">
        <v>1</v>
      </c>
      <c r="M254" s="59">
        <v>48.749989999999997</v>
      </c>
      <c r="N254" s="6" t="s">
        <v>581</v>
      </c>
      <c r="O254" s="60">
        <v>45189</v>
      </c>
      <c r="P254" s="33" t="str">
        <f>HYPERLINK("https://my.zakupki.prom.ua/remote/dispatcher/state_purchase_view/45319690", "UA-2023-09-20-010554-a")</f>
        <v>UA-2023-09-20-010554-a</v>
      </c>
      <c r="Q254" s="59">
        <v>48.749989999999997</v>
      </c>
      <c r="R254" s="59">
        <v>1</v>
      </c>
      <c r="S254" s="59">
        <v>48.749989999999997</v>
      </c>
      <c r="T254" s="90">
        <v>45189</v>
      </c>
      <c r="U254" s="59"/>
      <c r="V254" s="59" t="s">
        <v>59</v>
      </c>
    </row>
    <row r="255" spans="1:22" ht="62.4" x14ac:dyDescent="0.3">
      <c r="A255" s="59">
        <v>251</v>
      </c>
      <c r="B255" s="59" t="s">
        <v>40</v>
      </c>
      <c r="C255" s="41" t="s">
        <v>73</v>
      </c>
      <c r="D255" s="59"/>
      <c r="E255" s="59" t="s">
        <v>75</v>
      </c>
      <c r="F255" s="41" t="s">
        <v>582</v>
      </c>
      <c r="G255" s="59" t="s">
        <v>40</v>
      </c>
      <c r="H255" s="59">
        <v>77.5</v>
      </c>
      <c r="I255" s="59">
        <v>1</v>
      </c>
      <c r="J255" s="59">
        <v>77.5</v>
      </c>
      <c r="K255" s="59">
        <v>77.5</v>
      </c>
      <c r="L255" s="59">
        <v>1</v>
      </c>
      <c r="M255" s="59">
        <v>77.5</v>
      </c>
      <c r="N255" s="6" t="s">
        <v>583</v>
      </c>
      <c r="O255" s="60">
        <v>45191</v>
      </c>
      <c r="P255" s="42" t="str">
        <f>HYPERLINK("https://my.zakupki.prom.ua/remote/dispatcher/state_purchase_view/45367412", "UA-2023-09-22-000657-a")</f>
        <v>UA-2023-09-22-000657-a</v>
      </c>
      <c r="Q255" s="59">
        <v>77.5</v>
      </c>
      <c r="R255" s="59">
        <v>1</v>
      </c>
      <c r="S255" s="59">
        <v>77.5</v>
      </c>
      <c r="T255" s="90">
        <v>45191</v>
      </c>
      <c r="U255" s="59"/>
      <c r="V255" s="59" t="s">
        <v>59</v>
      </c>
    </row>
    <row r="256" spans="1:22" ht="62.4" x14ac:dyDescent="0.3">
      <c r="A256" s="59">
        <v>252</v>
      </c>
      <c r="B256" s="59" t="s">
        <v>21</v>
      </c>
      <c r="C256" s="65" t="s">
        <v>300</v>
      </c>
      <c r="D256" s="83" t="s">
        <v>58</v>
      </c>
      <c r="E256" s="59" t="s">
        <v>88</v>
      </c>
      <c r="F256" s="59" t="s">
        <v>584</v>
      </c>
      <c r="G256" s="59" t="s">
        <v>21</v>
      </c>
      <c r="H256" s="59"/>
      <c r="I256" s="59"/>
      <c r="J256" s="59">
        <v>34.457160000000002</v>
      </c>
      <c r="K256" s="59"/>
      <c r="L256" s="59"/>
      <c r="M256" s="59">
        <v>34.457160000000002</v>
      </c>
      <c r="N256" s="6" t="s">
        <v>586</v>
      </c>
      <c r="O256" s="60">
        <v>45191</v>
      </c>
      <c r="P256" s="66" t="s">
        <v>585</v>
      </c>
      <c r="Q256" s="59"/>
      <c r="R256" s="59"/>
      <c r="S256" s="59">
        <v>34.457160000000002</v>
      </c>
      <c r="T256" s="90">
        <v>45191</v>
      </c>
      <c r="U256" s="59"/>
      <c r="V256" s="59" t="s">
        <v>59</v>
      </c>
    </row>
    <row r="257" spans="1:22" ht="78" x14ac:dyDescent="0.3">
      <c r="A257" s="63">
        <v>253</v>
      </c>
      <c r="B257" s="63" t="s">
        <v>40</v>
      </c>
      <c r="C257" s="44" t="s">
        <v>41</v>
      </c>
      <c r="D257" s="63"/>
      <c r="E257" s="63" t="s">
        <v>373</v>
      </c>
      <c r="F257" s="63" t="s">
        <v>587</v>
      </c>
      <c r="G257" s="63" t="s">
        <v>40</v>
      </c>
      <c r="H257" s="63">
        <v>230.40833000000001</v>
      </c>
      <c r="I257" s="63">
        <v>1</v>
      </c>
      <c r="J257" s="63">
        <v>230.40833000000001</v>
      </c>
      <c r="K257" s="63">
        <v>230.40833000000001</v>
      </c>
      <c r="L257" s="63">
        <v>1</v>
      </c>
      <c r="M257" s="63">
        <v>230.40833000000001</v>
      </c>
      <c r="N257" s="6" t="s">
        <v>588</v>
      </c>
      <c r="O257" s="62">
        <v>45194</v>
      </c>
      <c r="P257" s="33" t="str">
        <f>HYPERLINK("https://my.zakupki.prom.ua/remote/dispatcher/state_purchase_view/45419691", "UA-2023-09-25-008707-a")</f>
        <v>UA-2023-09-25-008707-a</v>
      </c>
      <c r="Q257" s="63">
        <v>230.40833000000001</v>
      </c>
      <c r="R257" s="63">
        <v>1</v>
      </c>
      <c r="S257" s="63">
        <v>230.40833000000001</v>
      </c>
      <c r="T257" s="90">
        <v>45194</v>
      </c>
      <c r="U257" s="63"/>
      <c r="V257" s="63" t="s">
        <v>59</v>
      </c>
    </row>
    <row r="258" spans="1:22" ht="78" x14ac:dyDescent="0.3">
      <c r="A258" s="63">
        <v>254</v>
      </c>
      <c r="B258" s="63" t="s">
        <v>40</v>
      </c>
      <c r="C258" s="44" t="s">
        <v>41</v>
      </c>
      <c r="D258" s="63"/>
      <c r="E258" s="63" t="s">
        <v>373</v>
      </c>
      <c r="F258" s="63" t="s">
        <v>589</v>
      </c>
      <c r="G258" s="63" t="s">
        <v>40</v>
      </c>
      <c r="H258" s="63">
        <v>394.19400000000002</v>
      </c>
      <c r="I258" s="63">
        <v>1</v>
      </c>
      <c r="J258" s="63">
        <v>394.19400000000002</v>
      </c>
      <c r="K258" s="63">
        <v>394.19400000000002</v>
      </c>
      <c r="L258" s="63">
        <v>1</v>
      </c>
      <c r="M258" s="63">
        <v>394.19400000000002</v>
      </c>
      <c r="N258" s="6" t="s">
        <v>590</v>
      </c>
      <c r="O258" s="62">
        <v>45194</v>
      </c>
      <c r="P258" s="69" t="str">
        <f>HYPERLINK("https://my.zakupki.prom.ua/remote/dispatcher/state_purchase_view/45419703", "UA-2023-09-25-008718-a")</f>
        <v>UA-2023-09-25-008718-a</v>
      </c>
      <c r="Q258" s="63">
        <v>394.19400000000002</v>
      </c>
      <c r="R258" s="63">
        <v>1</v>
      </c>
      <c r="S258" s="63">
        <v>394.19400000000002</v>
      </c>
      <c r="T258" s="90">
        <v>45194</v>
      </c>
      <c r="U258" s="63"/>
      <c r="V258" s="63" t="s">
        <v>59</v>
      </c>
    </row>
    <row r="259" spans="1:22" ht="62.4" x14ac:dyDescent="0.3">
      <c r="A259" s="67">
        <v>255</v>
      </c>
      <c r="B259" s="67" t="s">
        <v>40</v>
      </c>
      <c r="C259" s="44" t="s">
        <v>41</v>
      </c>
      <c r="D259" s="67"/>
      <c r="E259" s="67" t="s">
        <v>373</v>
      </c>
      <c r="F259" s="67" t="s">
        <v>591</v>
      </c>
      <c r="G259" s="67" t="s">
        <v>40</v>
      </c>
      <c r="H259" s="67">
        <v>132.84333000000001</v>
      </c>
      <c r="I259" s="67">
        <v>1</v>
      </c>
      <c r="J259" s="67">
        <v>132.84333000000001</v>
      </c>
      <c r="K259" s="67">
        <v>132.84333000000001</v>
      </c>
      <c r="L259" s="67">
        <v>1</v>
      </c>
      <c r="M259" s="67">
        <v>132.84333000000001</v>
      </c>
      <c r="N259" s="6" t="s">
        <v>592</v>
      </c>
      <c r="O259" s="68">
        <v>45196</v>
      </c>
      <c r="P259" s="33" t="str">
        <f>HYPERLINK("https://my.zakupki.prom.ua/remote/dispatcher/state_purchase_view/45482565", "UA-2023-09-27-006761-a")</f>
        <v>UA-2023-09-27-006761-a</v>
      </c>
      <c r="Q259" s="67">
        <v>132.84333000000001</v>
      </c>
      <c r="R259" s="67">
        <v>1</v>
      </c>
      <c r="S259" s="67">
        <v>132.84333000000001</v>
      </c>
      <c r="T259" s="90">
        <v>45196</v>
      </c>
      <c r="U259" s="67"/>
      <c r="V259" s="67" t="s">
        <v>59</v>
      </c>
    </row>
    <row r="260" spans="1:22" ht="62.4" x14ac:dyDescent="0.3">
      <c r="A260" s="70">
        <v>256</v>
      </c>
      <c r="B260" s="70" t="s">
        <v>40</v>
      </c>
      <c r="C260" s="44" t="s">
        <v>41</v>
      </c>
      <c r="D260" s="70"/>
      <c r="E260" s="70" t="s">
        <v>373</v>
      </c>
      <c r="F260" s="44" t="s">
        <v>593</v>
      </c>
      <c r="G260" s="70" t="s">
        <v>40</v>
      </c>
      <c r="H260" s="70">
        <v>654.21704</v>
      </c>
      <c r="I260" s="70">
        <v>1</v>
      </c>
      <c r="J260" s="70">
        <v>654.21704</v>
      </c>
      <c r="K260" s="70">
        <v>654.21704</v>
      </c>
      <c r="L260" s="70">
        <v>1</v>
      </c>
      <c r="M260" s="70">
        <v>654.21704</v>
      </c>
      <c r="N260" s="6" t="s">
        <v>594</v>
      </c>
      <c r="O260" s="71">
        <v>45196</v>
      </c>
      <c r="P260" s="33" t="str">
        <f>HYPERLINK("https://my.zakupki.prom.ua/remote/dispatcher/state_purchase_view/45483418", "UA-2023-09-27-007155-a")</f>
        <v>UA-2023-09-27-007155-a</v>
      </c>
      <c r="Q260" s="70">
        <v>654.21704</v>
      </c>
      <c r="R260" s="70">
        <v>1</v>
      </c>
      <c r="S260" s="70">
        <v>654.21704</v>
      </c>
      <c r="T260" s="90">
        <v>45196</v>
      </c>
      <c r="U260" s="70"/>
      <c r="V260" s="70" t="s">
        <v>59</v>
      </c>
    </row>
    <row r="261" spans="1:22" ht="109.2" x14ac:dyDescent="0.3">
      <c r="A261" s="70">
        <v>257</v>
      </c>
      <c r="B261" s="70" t="s">
        <v>40</v>
      </c>
      <c r="C261" s="44" t="s">
        <v>518</v>
      </c>
      <c r="D261" s="70"/>
      <c r="E261" s="70" t="s">
        <v>88</v>
      </c>
      <c r="F261" s="44" t="s">
        <v>595</v>
      </c>
      <c r="G261" s="70" t="s">
        <v>40</v>
      </c>
      <c r="H261" s="70">
        <v>1166.6659</v>
      </c>
      <c r="I261" s="70">
        <v>1</v>
      </c>
      <c r="J261" s="80">
        <v>1166.6659</v>
      </c>
      <c r="K261" s="80">
        <v>1166.6659</v>
      </c>
      <c r="L261" s="70">
        <v>1</v>
      </c>
      <c r="M261" s="80">
        <v>1166.6659</v>
      </c>
      <c r="N261" s="6" t="s">
        <v>596</v>
      </c>
      <c r="O261" s="71">
        <v>45198</v>
      </c>
      <c r="P261" s="33" t="str">
        <f>HYPERLINK("https://my.zakupki.prom.ua/remote/dispatcher/state_purchase_view/45549412", "UA-2023-09-29-009263-a")</f>
        <v>UA-2023-09-29-009263-a</v>
      </c>
      <c r="Q261" s="80">
        <v>1166.6659</v>
      </c>
      <c r="R261" s="70">
        <v>1</v>
      </c>
      <c r="S261" s="80">
        <v>1166.6659</v>
      </c>
      <c r="T261" s="71">
        <v>45224</v>
      </c>
      <c r="U261" s="70"/>
      <c r="V261" s="70"/>
    </row>
    <row r="262" spans="1:22" ht="62.4" x14ac:dyDescent="0.3">
      <c r="A262" s="70">
        <v>258</v>
      </c>
      <c r="B262" s="70" t="s">
        <v>40</v>
      </c>
      <c r="C262" s="44" t="s">
        <v>73</v>
      </c>
      <c r="D262" s="70"/>
      <c r="E262" s="70" t="s">
        <v>75</v>
      </c>
      <c r="F262" s="44" t="s">
        <v>597</v>
      </c>
      <c r="G262" s="70" t="s">
        <v>40</v>
      </c>
      <c r="H262" s="70">
        <v>525.10654999999997</v>
      </c>
      <c r="I262" s="70">
        <v>1</v>
      </c>
      <c r="J262" s="70">
        <v>525.10654999999997</v>
      </c>
      <c r="K262" s="70">
        <v>525.10654999999997</v>
      </c>
      <c r="L262" s="70">
        <v>1</v>
      </c>
      <c r="M262" s="70">
        <v>525.10654999999997</v>
      </c>
      <c r="N262" s="6" t="s">
        <v>598</v>
      </c>
      <c r="O262" s="71">
        <v>45202</v>
      </c>
      <c r="P262" s="33" t="str">
        <f>HYPERLINK("https://my.zakupki.prom.ua/remote/dispatcher/state_purchase_view/45589939", "UA-2023-10-03-002362-a")</f>
        <v>UA-2023-10-03-002362-a</v>
      </c>
      <c r="Q262" s="70">
        <v>525.10654999999997</v>
      </c>
      <c r="R262" s="70">
        <v>1</v>
      </c>
      <c r="S262" s="70">
        <v>525.10654999999997</v>
      </c>
      <c r="T262" s="84">
        <v>45202</v>
      </c>
      <c r="U262" s="70"/>
      <c r="V262" s="70" t="s">
        <v>59</v>
      </c>
    </row>
    <row r="263" spans="1:22" ht="62.4" x14ac:dyDescent="0.3">
      <c r="A263" s="70">
        <v>259</v>
      </c>
      <c r="B263" s="70" t="s">
        <v>40</v>
      </c>
      <c r="C263" s="44" t="s">
        <v>73</v>
      </c>
      <c r="D263" s="70"/>
      <c r="E263" s="70" t="s">
        <v>373</v>
      </c>
      <c r="F263" s="44" t="s">
        <v>599</v>
      </c>
      <c r="G263" s="70" t="s">
        <v>40</v>
      </c>
      <c r="H263" s="70">
        <v>60.484029999999997</v>
      </c>
      <c r="I263" s="70">
        <v>1</v>
      </c>
      <c r="J263" s="70">
        <v>60.484029999999997</v>
      </c>
      <c r="K263" s="70">
        <v>60.484029999999997</v>
      </c>
      <c r="L263" s="70">
        <v>1</v>
      </c>
      <c r="M263" s="70">
        <v>60.484029999999997</v>
      </c>
      <c r="N263" s="6" t="s">
        <v>600</v>
      </c>
      <c r="O263" s="71">
        <v>45208</v>
      </c>
      <c r="P263" s="33" t="str">
        <f>HYPERLINK("https://my.zakupki.prom.ua/remote/dispatcher/state_purchase_view/45723610", "UA-2023-10-09-004357-a")</f>
        <v>UA-2023-10-09-004357-a</v>
      </c>
      <c r="Q263" s="70">
        <v>60.484029999999997</v>
      </c>
      <c r="R263" s="70">
        <v>1</v>
      </c>
      <c r="S263" s="70">
        <v>60.484029999999997</v>
      </c>
      <c r="T263" s="84">
        <v>45208</v>
      </c>
      <c r="U263" s="70"/>
      <c r="V263" s="70" t="s">
        <v>59</v>
      </c>
    </row>
    <row r="264" spans="1:22" ht="62.4" x14ac:dyDescent="0.3">
      <c r="A264" s="77">
        <v>260</v>
      </c>
      <c r="B264" s="77" t="s">
        <v>40</v>
      </c>
      <c r="C264" s="44" t="s">
        <v>73</v>
      </c>
      <c r="D264" s="77"/>
      <c r="E264" s="72" t="s">
        <v>373</v>
      </c>
      <c r="F264" s="72" t="s">
        <v>602</v>
      </c>
      <c r="G264" s="72" t="s">
        <v>40</v>
      </c>
      <c r="H264" s="72">
        <v>93.933940000000007</v>
      </c>
      <c r="I264" s="72">
        <v>1</v>
      </c>
      <c r="J264" s="72">
        <v>93.933940000000007</v>
      </c>
      <c r="K264" s="72">
        <v>93.933940000000007</v>
      </c>
      <c r="L264" s="72">
        <v>1</v>
      </c>
      <c r="M264" s="72">
        <v>93.933940000000007</v>
      </c>
      <c r="N264" s="6" t="s">
        <v>603</v>
      </c>
      <c r="O264" s="73">
        <v>45209</v>
      </c>
      <c r="P264" s="33" t="str">
        <f>HYPERLINK("https://my.zakupivli.pro/remote/dispatcher/state_purchase_view/45776105", "UA-2023-10-10-013153-a")</f>
        <v>UA-2023-10-10-013153-a</v>
      </c>
      <c r="Q264" s="72">
        <v>93.933940000000007</v>
      </c>
      <c r="R264" s="72">
        <v>1</v>
      </c>
      <c r="S264" s="72">
        <v>93.933940000000007</v>
      </c>
      <c r="T264" s="84">
        <v>45209</v>
      </c>
      <c r="U264" s="72"/>
      <c r="V264" s="72" t="s">
        <v>59</v>
      </c>
    </row>
    <row r="265" spans="1:22" ht="62.4" x14ac:dyDescent="0.3">
      <c r="A265" s="77">
        <v>261</v>
      </c>
      <c r="B265" s="77" t="s">
        <v>40</v>
      </c>
      <c r="C265" s="44" t="s">
        <v>73</v>
      </c>
      <c r="D265" s="77"/>
      <c r="E265" s="72" t="s">
        <v>75</v>
      </c>
      <c r="F265" s="72" t="s">
        <v>604</v>
      </c>
      <c r="G265" s="72" t="s">
        <v>40</v>
      </c>
      <c r="H265" s="72">
        <v>52.685160000000003</v>
      </c>
      <c r="I265" s="72">
        <v>1</v>
      </c>
      <c r="J265" s="72">
        <v>52.685160000000003</v>
      </c>
      <c r="K265" s="72">
        <v>52.685160000000003</v>
      </c>
      <c r="L265" s="72">
        <v>1</v>
      </c>
      <c r="M265" s="72">
        <v>52.685160000000003</v>
      </c>
      <c r="N265" s="6" t="s">
        <v>605</v>
      </c>
      <c r="O265" s="73">
        <v>45215</v>
      </c>
      <c r="P265" s="42" t="str">
        <f>HYPERLINK("https://my.zakupivli.pro/remote/dispatcher/state_purchase_view/45900809", "UA-2023-10-16-006331-a")</f>
        <v>UA-2023-10-16-006331-a</v>
      </c>
      <c r="Q265" s="72">
        <v>52.685160000000003</v>
      </c>
      <c r="R265" s="72">
        <v>1</v>
      </c>
      <c r="S265" s="72">
        <v>52.685160000000003</v>
      </c>
      <c r="T265" s="84">
        <v>45215</v>
      </c>
      <c r="U265" s="72"/>
      <c r="V265" s="72" t="s">
        <v>59</v>
      </c>
    </row>
    <row r="266" spans="1:22" ht="62.4" x14ac:dyDescent="0.3">
      <c r="A266" s="77">
        <v>262</v>
      </c>
      <c r="B266" s="77" t="s">
        <v>40</v>
      </c>
      <c r="C266" s="44" t="s">
        <v>73</v>
      </c>
      <c r="D266" s="77"/>
      <c r="E266" s="74" t="s">
        <v>75</v>
      </c>
      <c r="F266" s="72" t="s">
        <v>606</v>
      </c>
      <c r="G266" s="74" t="s">
        <v>40</v>
      </c>
      <c r="H266" s="72">
        <v>157.77170000000001</v>
      </c>
      <c r="I266" s="74">
        <v>1</v>
      </c>
      <c r="J266" s="76">
        <v>157.77170000000001</v>
      </c>
      <c r="K266" s="76">
        <v>157.77170000000001</v>
      </c>
      <c r="L266" s="74">
        <v>1</v>
      </c>
      <c r="M266" s="76">
        <v>157.77170000000001</v>
      </c>
      <c r="N266" s="6" t="s">
        <v>607</v>
      </c>
      <c r="O266" s="73">
        <v>45223</v>
      </c>
      <c r="P266" s="33" t="str">
        <f>HYPERLINK("https://my.zakupivli.pro/remote/dispatcher/state_purchase_view/46124597", "UA-2023-10-24-009180-a")</f>
        <v>UA-2023-10-24-009180-a</v>
      </c>
      <c r="Q266" s="76">
        <v>157.77170000000001</v>
      </c>
      <c r="R266" s="74">
        <v>1</v>
      </c>
      <c r="S266" s="76">
        <v>157.77170000000001</v>
      </c>
      <c r="T266" s="84">
        <v>45223</v>
      </c>
      <c r="U266" s="72"/>
      <c r="V266" s="74" t="s">
        <v>59</v>
      </c>
    </row>
    <row r="267" spans="1:22" ht="62.4" x14ac:dyDescent="0.3">
      <c r="A267" s="77">
        <v>263</v>
      </c>
      <c r="B267" s="77" t="s">
        <v>40</v>
      </c>
      <c r="C267" s="44" t="s">
        <v>73</v>
      </c>
      <c r="D267" s="77"/>
      <c r="E267" s="74" t="s">
        <v>75</v>
      </c>
      <c r="F267" s="41" t="s">
        <v>606</v>
      </c>
      <c r="G267" s="74" t="s">
        <v>40</v>
      </c>
      <c r="H267" s="72">
        <v>136.57335</v>
      </c>
      <c r="I267" s="74">
        <v>1</v>
      </c>
      <c r="J267" s="76">
        <v>136.57335</v>
      </c>
      <c r="K267" s="76">
        <v>136.57335</v>
      </c>
      <c r="L267" s="74">
        <v>1</v>
      </c>
      <c r="M267" s="76">
        <v>136.57335</v>
      </c>
      <c r="N267" s="6" t="s">
        <v>608</v>
      </c>
      <c r="O267" s="75">
        <v>45223</v>
      </c>
      <c r="P267" s="42" t="str">
        <f>HYPERLINK("https://my.zakupivli.pro/remote/dispatcher/state_purchase_view/46132051", "UA-2023-10-24-012659-a")</f>
        <v>UA-2023-10-24-012659-a</v>
      </c>
      <c r="Q267" s="76">
        <v>136.57335</v>
      </c>
      <c r="R267" s="74">
        <v>1</v>
      </c>
      <c r="S267" s="76">
        <v>136.57335</v>
      </c>
      <c r="T267" s="84">
        <v>45223</v>
      </c>
      <c r="U267" s="72"/>
      <c r="V267" s="74" t="s">
        <v>59</v>
      </c>
    </row>
    <row r="268" spans="1:22" ht="62.4" x14ac:dyDescent="0.3">
      <c r="A268" s="77">
        <v>264</v>
      </c>
      <c r="B268" s="78" t="s">
        <v>40</v>
      </c>
      <c r="C268" s="77" t="s">
        <v>41</v>
      </c>
      <c r="D268" s="77"/>
      <c r="E268" s="78" t="s">
        <v>373</v>
      </c>
      <c r="F268" s="44" t="s">
        <v>609</v>
      </c>
      <c r="G268" s="78" t="s">
        <v>40</v>
      </c>
      <c r="H268" s="72">
        <v>290.55032999999997</v>
      </c>
      <c r="I268" s="78">
        <v>1</v>
      </c>
      <c r="J268" s="78">
        <v>290.55032999999997</v>
      </c>
      <c r="K268" s="78">
        <v>290.55032999999997</v>
      </c>
      <c r="L268" s="78">
        <v>1</v>
      </c>
      <c r="M268" s="78">
        <v>290.55032999999997</v>
      </c>
      <c r="N268" s="6" t="s">
        <v>611</v>
      </c>
      <c r="O268" s="73">
        <v>45224</v>
      </c>
      <c r="P268" s="33" t="str">
        <f>HYPERLINK("https://my.zakupivli.pro/remote/dispatcher/state_purchase_view/46171793", "UA-2023-10-25-014030-a")</f>
        <v>UA-2023-10-25-014030-a</v>
      </c>
      <c r="Q268" s="78">
        <v>290.55032999999997</v>
      </c>
      <c r="R268" s="78">
        <v>1</v>
      </c>
      <c r="S268" s="78">
        <v>290.55032999999997</v>
      </c>
      <c r="T268" s="84">
        <v>45224</v>
      </c>
      <c r="U268" s="72"/>
      <c r="V268" s="78" t="s">
        <v>59</v>
      </c>
    </row>
    <row r="269" spans="1:22" ht="62.4" x14ac:dyDescent="0.3">
      <c r="A269" s="77">
        <v>265</v>
      </c>
      <c r="B269" s="78" t="s">
        <v>40</v>
      </c>
      <c r="C269" s="78" t="s">
        <v>41</v>
      </c>
      <c r="D269" s="77"/>
      <c r="E269" s="78" t="s">
        <v>373</v>
      </c>
      <c r="F269" s="44" t="s">
        <v>561</v>
      </c>
      <c r="G269" s="78" t="s">
        <v>40</v>
      </c>
      <c r="H269" s="72">
        <v>67.260239999999996</v>
      </c>
      <c r="I269" s="78">
        <v>1</v>
      </c>
      <c r="J269" s="78">
        <v>67.260239999999996</v>
      </c>
      <c r="K269" s="78">
        <v>67.260239999999996</v>
      </c>
      <c r="L269" s="78">
        <v>1</v>
      </c>
      <c r="M269" s="78">
        <v>67.260239999999996</v>
      </c>
      <c r="N269" s="6" t="s">
        <v>612</v>
      </c>
      <c r="O269" s="79">
        <v>45224</v>
      </c>
      <c r="P269" s="33" t="str">
        <f>HYPERLINK("https://my.zakupivli.pro/remote/dispatcher/state_purchase_view/46171789", "UA-2023-10-25-014028-a")</f>
        <v>UA-2023-10-25-014028-a</v>
      </c>
      <c r="Q269" s="78">
        <v>67.260239999999996</v>
      </c>
      <c r="R269" s="78">
        <v>1</v>
      </c>
      <c r="S269" s="78">
        <v>67.260239999999996</v>
      </c>
      <c r="T269" s="84">
        <v>45224</v>
      </c>
      <c r="U269" s="72"/>
      <c r="V269" s="78" t="s">
        <v>59</v>
      </c>
    </row>
    <row r="270" spans="1:22" ht="62.4" x14ac:dyDescent="0.3">
      <c r="A270" s="77">
        <v>266</v>
      </c>
      <c r="B270" s="78" t="s">
        <v>40</v>
      </c>
      <c r="C270" s="78" t="s">
        <v>41</v>
      </c>
      <c r="D270" s="77"/>
      <c r="E270" s="78" t="s">
        <v>373</v>
      </c>
      <c r="F270" s="44" t="s">
        <v>610</v>
      </c>
      <c r="G270" s="78" t="s">
        <v>40</v>
      </c>
      <c r="H270" s="72">
        <v>307.03503999999998</v>
      </c>
      <c r="I270" s="78">
        <v>1</v>
      </c>
      <c r="J270" s="78">
        <v>307.03503999999998</v>
      </c>
      <c r="K270" s="78">
        <v>307.03503999999998</v>
      </c>
      <c r="L270" s="78">
        <v>1</v>
      </c>
      <c r="M270" s="78">
        <v>307.03503999999998</v>
      </c>
      <c r="N270" s="6" t="s">
        <v>613</v>
      </c>
      <c r="O270" s="79">
        <v>45224</v>
      </c>
      <c r="P270" s="33" t="str">
        <f>HYPERLINK("https://my.zakupivli.pro/remote/dispatcher/state_purchase_view/46171200", "UA-2023-10-25-013765-a")</f>
        <v>UA-2023-10-25-013765-a</v>
      </c>
      <c r="Q270" s="78">
        <v>307.03503999999998</v>
      </c>
      <c r="R270" s="78">
        <v>1</v>
      </c>
      <c r="S270" s="78">
        <v>307.03503999999998</v>
      </c>
      <c r="T270" s="84">
        <v>45224</v>
      </c>
      <c r="U270" s="72"/>
      <c r="V270" s="78" t="s">
        <v>59</v>
      </c>
    </row>
    <row r="271" spans="1:22" ht="78" x14ac:dyDescent="0.3">
      <c r="A271" s="77">
        <v>267</v>
      </c>
      <c r="B271" s="80" t="s">
        <v>40</v>
      </c>
      <c r="C271" s="80" t="s">
        <v>41</v>
      </c>
      <c r="D271" s="77"/>
      <c r="E271" s="80" t="s">
        <v>373</v>
      </c>
      <c r="F271" s="44" t="s">
        <v>614</v>
      </c>
      <c r="G271" s="80" t="s">
        <v>40</v>
      </c>
      <c r="H271" s="72">
        <v>55.721670000000003</v>
      </c>
      <c r="I271" s="80">
        <v>1</v>
      </c>
      <c r="J271" s="80">
        <v>55.721670000000003</v>
      </c>
      <c r="K271" s="80">
        <v>55.721670000000003</v>
      </c>
      <c r="L271" s="80">
        <v>1</v>
      </c>
      <c r="M271" s="80">
        <v>55.721670000000003</v>
      </c>
      <c r="N271" s="6" t="s">
        <v>616</v>
      </c>
      <c r="O271" s="73">
        <v>45239</v>
      </c>
      <c r="P271" s="33" t="str">
        <f>HYPERLINK("https://my.zakupivli.pro/remote/dispatcher/state_purchase_view/46516934", "UA-2023-11-09-003211-a")</f>
        <v>UA-2023-11-09-003211-a</v>
      </c>
      <c r="Q271" s="80">
        <v>55.721670000000003</v>
      </c>
      <c r="R271" s="80">
        <v>1</v>
      </c>
      <c r="S271" s="80">
        <v>55.721670000000003</v>
      </c>
      <c r="T271" s="84">
        <v>45239</v>
      </c>
      <c r="U271" s="72"/>
      <c r="V271" s="80" t="s">
        <v>59</v>
      </c>
    </row>
    <row r="272" spans="1:22" ht="62.4" x14ac:dyDescent="0.3">
      <c r="A272" s="77">
        <v>268</v>
      </c>
      <c r="B272" s="80" t="s">
        <v>40</v>
      </c>
      <c r="C272" s="80" t="s">
        <v>41</v>
      </c>
      <c r="D272" s="77"/>
      <c r="E272" s="80" t="s">
        <v>373</v>
      </c>
      <c r="F272" s="44" t="s">
        <v>615</v>
      </c>
      <c r="G272" s="80" t="s">
        <v>40</v>
      </c>
      <c r="H272" s="72">
        <v>382.24921000000001</v>
      </c>
      <c r="I272" s="80">
        <v>1</v>
      </c>
      <c r="J272" s="80">
        <v>382.24921000000001</v>
      </c>
      <c r="K272" s="80">
        <v>382.24921000000001</v>
      </c>
      <c r="L272" s="80">
        <v>1</v>
      </c>
      <c r="M272" s="80">
        <v>382.24921000000001</v>
      </c>
      <c r="N272" s="6" t="s">
        <v>617</v>
      </c>
      <c r="O272" s="73">
        <v>45239</v>
      </c>
      <c r="P272" s="33" t="str">
        <f>HYPERLINK("https://my.zakupivli.pro/remote/dispatcher/state_purchase_view/46516207", "UA-2023-11-09-002876-a")</f>
        <v>UA-2023-11-09-002876-a</v>
      </c>
      <c r="Q272" s="80">
        <v>382.24921000000001</v>
      </c>
      <c r="R272" s="80">
        <v>1</v>
      </c>
      <c r="S272" s="80">
        <v>382.24921000000001</v>
      </c>
      <c r="T272" s="84">
        <v>45239</v>
      </c>
      <c r="U272" s="72"/>
      <c r="V272" s="80" t="s">
        <v>59</v>
      </c>
    </row>
    <row r="273" spans="1:26" ht="43.2" x14ac:dyDescent="0.3">
      <c r="A273" s="77">
        <v>269</v>
      </c>
      <c r="B273" s="82" t="s">
        <v>21</v>
      </c>
      <c r="C273" s="41" t="s">
        <v>180</v>
      </c>
      <c r="D273" s="83" t="s">
        <v>58</v>
      </c>
      <c r="E273" s="82" t="s">
        <v>88</v>
      </c>
      <c r="F273" s="85" t="s">
        <v>618</v>
      </c>
      <c r="G273" s="82" t="s">
        <v>21</v>
      </c>
      <c r="H273" s="72">
        <v>1043.44</v>
      </c>
      <c r="I273" s="72">
        <v>2</v>
      </c>
      <c r="J273" s="83">
        <v>1043.44</v>
      </c>
      <c r="K273" s="72"/>
      <c r="L273" s="72">
        <v>2</v>
      </c>
      <c r="M273" s="83">
        <v>1043.44</v>
      </c>
      <c r="N273" s="6" t="s">
        <v>619</v>
      </c>
      <c r="O273" s="73">
        <v>45247</v>
      </c>
      <c r="P273" s="42" t="str">
        <f>HYPERLINK("https://my.zakupivli.pro/remote/dispatcher/state_purchase_view/46767750", "UA-2023-11-17-011056-a")</f>
        <v>UA-2023-11-17-011056-a</v>
      </c>
      <c r="Q273" s="83"/>
      <c r="R273" s="72">
        <v>2</v>
      </c>
      <c r="S273" s="83">
        <v>1043.44</v>
      </c>
      <c r="T273" s="73">
        <v>45264</v>
      </c>
      <c r="U273" s="72"/>
      <c r="V273" s="72"/>
    </row>
    <row r="274" spans="1:26" ht="62.4" x14ac:dyDescent="0.3">
      <c r="A274" s="77">
        <v>270</v>
      </c>
      <c r="B274" s="83" t="s">
        <v>40</v>
      </c>
      <c r="C274" s="44" t="s">
        <v>73</v>
      </c>
      <c r="D274" s="77"/>
      <c r="E274" s="83" t="s">
        <v>75</v>
      </c>
      <c r="F274" s="44" t="s">
        <v>620</v>
      </c>
      <c r="G274" s="83" t="s">
        <v>40</v>
      </c>
      <c r="H274" s="72">
        <v>107.092</v>
      </c>
      <c r="I274" s="72">
        <v>1</v>
      </c>
      <c r="J274" s="83">
        <v>107.092</v>
      </c>
      <c r="K274" s="83">
        <v>107.092</v>
      </c>
      <c r="L274" s="72">
        <v>1</v>
      </c>
      <c r="M274" s="83">
        <v>107.092</v>
      </c>
      <c r="N274" s="6" t="s">
        <v>621</v>
      </c>
      <c r="O274" s="73">
        <v>45258</v>
      </c>
      <c r="P274" s="33" t="str">
        <f>HYPERLINK("https://my.zakupivli.pro/remote/dispatcher/state_purchase_view/47062887", "UA-2023-11-28-012355-a")</f>
        <v>UA-2023-11-28-012355-a</v>
      </c>
      <c r="Q274" s="83">
        <v>107.092</v>
      </c>
      <c r="R274" s="72">
        <v>1</v>
      </c>
      <c r="S274" s="83">
        <v>107.092</v>
      </c>
      <c r="T274" s="84">
        <v>45258</v>
      </c>
      <c r="U274" s="72"/>
      <c r="V274" s="83" t="s">
        <v>59</v>
      </c>
    </row>
    <row r="275" spans="1:26" ht="62.4" x14ac:dyDescent="0.3">
      <c r="A275" s="77">
        <v>271</v>
      </c>
      <c r="B275" s="83" t="s">
        <v>40</v>
      </c>
      <c r="C275" s="44" t="s">
        <v>73</v>
      </c>
      <c r="D275" s="77"/>
      <c r="E275" s="83" t="s">
        <v>75</v>
      </c>
      <c r="F275" s="41" t="s">
        <v>622</v>
      </c>
      <c r="G275" s="83" t="s">
        <v>40</v>
      </c>
      <c r="H275" s="72">
        <v>106.68470000000001</v>
      </c>
      <c r="I275" s="83">
        <v>1</v>
      </c>
      <c r="J275" s="83">
        <v>106.68470000000001</v>
      </c>
      <c r="K275" s="83">
        <v>106.68470000000001</v>
      </c>
      <c r="L275" s="83">
        <v>1</v>
      </c>
      <c r="M275" s="83">
        <v>106.68470000000001</v>
      </c>
      <c r="N275" s="6" t="s">
        <v>623</v>
      </c>
      <c r="O275" s="84">
        <v>45258</v>
      </c>
      <c r="P275" s="42" t="str">
        <f>HYPERLINK("https://my.zakupivli.pro/remote/dispatcher/state_purchase_view/47064329", "UA-2023-11-28-012959-a")</f>
        <v>UA-2023-11-28-012959-a</v>
      </c>
      <c r="Q275" s="83">
        <v>106.68470000000001</v>
      </c>
      <c r="R275" s="83">
        <v>1</v>
      </c>
      <c r="S275" s="83">
        <v>106.68470000000001</v>
      </c>
      <c r="T275" s="84">
        <v>45258</v>
      </c>
      <c r="U275" s="72"/>
      <c r="V275" s="83" t="s">
        <v>59</v>
      </c>
    </row>
    <row r="276" spans="1:26" ht="62.4" x14ac:dyDescent="0.3">
      <c r="A276" s="80">
        <v>272</v>
      </c>
      <c r="B276" s="83" t="s">
        <v>40</v>
      </c>
      <c r="C276" s="44" t="s">
        <v>73</v>
      </c>
      <c r="D276" s="80"/>
      <c r="E276" s="83" t="s">
        <v>75</v>
      </c>
      <c r="F276" s="44" t="s">
        <v>624</v>
      </c>
      <c r="G276" s="83" t="s">
        <v>40</v>
      </c>
      <c r="H276" s="80">
        <v>127.37649999999999</v>
      </c>
      <c r="I276" s="83">
        <v>1</v>
      </c>
      <c r="J276" s="83">
        <v>127.37649999999999</v>
      </c>
      <c r="K276" s="83">
        <v>127.37649999999999</v>
      </c>
      <c r="L276" s="83">
        <v>1</v>
      </c>
      <c r="M276" s="83">
        <v>127.37649999999999</v>
      </c>
      <c r="N276" s="6" t="s">
        <v>625</v>
      </c>
      <c r="O276" s="84">
        <v>45258</v>
      </c>
      <c r="P276" s="33" t="str">
        <f>HYPERLINK("https://my.zakupivli.pro/remote/dispatcher/state_purchase_view/47068707", "UA-2023-11-28-014870-a")</f>
        <v>UA-2023-11-28-014870-a</v>
      </c>
      <c r="Q276" s="83">
        <v>127.37649999999999</v>
      </c>
      <c r="R276" s="83">
        <v>1</v>
      </c>
      <c r="S276" s="83">
        <v>127.37649999999999</v>
      </c>
      <c r="T276" s="84">
        <v>45258</v>
      </c>
      <c r="U276" s="80"/>
      <c r="V276" s="83" t="s">
        <v>59</v>
      </c>
    </row>
    <row r="277" spans="1:26" ht="140.4" x14ac:dyDescent="0.3">
      <c r="A277" s="80">
        <v>273</v>
      </c>
      <c r="B277" s="83" t="s">
        <v>40</v>
      </c>
      <c r="C277" s="83" t="s">
        <v>41</v>
      </c>
      <c r="D277" s="80"/>
      <c r="E277" s="83" t="s">
        <v>373</v>
      </c>
      <c r="F277" s="44" t="s">
        <v>626</v>
      </c>
      <c r="G277" s="83" t="s">
        <v>40</v>
      </c>
      <c r="H277" s="80">
        <v>2858.3333299999999</v>
      </c>
      <c r="I277" s="83">
        <v>1</v>
      </c>
      <c r="J277" s="83">
        <v>2858.3333299999999</v>
      </c>
      <c r="K277" s="83">
        <v>2858.3333299999999</v>
      </c>
      <c r="L277" s="83">
        <v>1</v>
      </c>
      <c r="M277" s="83">
        <v>2858.3333299999999</v>
      </c>
      <c r="N277" s="6" t="s">
        <v>627</v>
      </c>
      <c r="O277" s="81">
        <v>45259</v>
      </c>
      <c r="P277" s="42" t="str">
        <f>HYPERLINK("https://my.zakupivli.pro/remote/dispatcher/state_purchase_view/47090594", "UA-2023-11-29-007510-a")</f>
        <v>UA-2023-11-29-007510-a</v>
      </c>
      <c r="Q277" s="80">
        <v>2810.6666700000001</v>
      </c>
      <c r="R277" s="83">
        <v>1</v>
      </c>
      <c r="S277" s="91">
        <v>2810.6666700000001</v>
      </c>
      <c r="T277" s="81">
        <v>45281</v>
      </c>
      <c r="U277" s="80"/>
      <c r="V277" s="80"/>
    </row>
    <row r="278" spans="1:26" ht="62.4" x14ac:dyDescent="0.3">
      <c r="A278" s="80">
        <v>274</v>
      </c>
      <c r="B278" s="83" t="s">
        <v>40</v>
      </c>
      <c r="C278" s="44" t="s">
        <v>73</v>
      </c>
      <c r="D278" s="80"/>
      <c r="E278" s="86" t="s">
        <v>75</v>
      </c>
      <c r="F278" s="41" t="s">
        <v>628</v>
      </c>
      <c r="G278" s="86" t="s">
        <v>40</v>
      </c>
      <c r="H278" s="80">
        <v>185.92515</v>
      </c>
      <c r="I278" s="86">
        <v>1</v>
      </c>
      <c r="J278" s="86">
        <v>185.92515</v>
      </c>
      <c r="K278" s="86">
        <v>185.92515</v>
      </c>
      <c r="L278" s="86">
        <v>1</v>
      </c>
      <c r="M278" s="86">
        <v>185.92515</v>
      </c>
      <c r="N278" s="6" t="s">
        <v>630</v>
      </c>
      <c r="O278" s="81">
        <v>45261</v>
      </c>
      <c r="P278" s="33" t="str">
        <f>HYPERLINK("https://my.zakupivli.pro/remote/dispatcher/state_purchase_view/47164745", "UA-2023-12-01-004762-a")</f>
        <v>UA-2023-12-01-004762-a</v>
      </c>
      <c r="Q278" s="86">
        <v>185.92515</v>
      </c>
      <c r="R278" s="86">
        <v>1</v>
      </c>
      <c r="S278" s="86">
        <v>185.92515</v>
      </c>
      <c r="T278" s="87">
        <v>45261</v>
      </c>
      <c r="U278" s="80"/>
      <c r="V278" s="86" t="s">
        <v>59</v>
      </c>
    </row>
    <row r="279" spans="1:26" ht="62.4" x14ac:dyDescent="0.3">
      <c r="A279" s="80">
        <v>275</v>
      </c>
      <c r="B279" s="83" t="s">
        <v>40</v>
      </c>
      <c r="C279" s="44" t="s">
        <v>73</v>
      </c>
      <c r="D279" s="80"/>
      <c r="E279" s="86" t="s">
        <v>75</v>
      </c>
      <c r="F279" s="44" t="s">
        <v>629</v>
      </c>
      <c r="G279" s="86" t="s">
        <v>40</v>
      </c>
      <c r="H279" s="80">
        <v>185.92515</v>
      </c>
      <c r="I279" s="86">
        <v>1</v>
      </c>
      <c r="J279" s="86">
        <v>185.92515</v>
      </c>
      <c r="K279" s="86">
        <v>185.92515</v>
      </c>
      <c r="L279" s="86">
        <v>1</v>
      </c>
      <c r="M279" s="86">
        <v>185.92515</v>
      </c>
      <c r="N279" s="6" t="s">
        <v>631</v>
      </c>
      <c r="O279" s="87">
        <v>45261</v>
      </c>
      <c r="P279" s="42" t="str">
        <f>HYPERLINK("https://my.zakupivli.pro/remote/dispatcher/state_purchase_view/47166044", "UA-2023-12-01-005369-a")</f>
        <v>UA-2023-12-01-005369-a</v>
      </c>
      <c r="Q279" s="86">
        <v>185.92515</v>
      </c>
      <c r="R279" s="86">
        <v>1</v>
      </c>
      <c r="S279" s="86">
        <v>185.92515</v>
      </c>
      <c r="T279" s="87">
        <v>45261</v>
      </c>
      <c r="U279" s="80"/>
      <c r="V279" s="86" t="s">
        <v>59</v>
      </c>
    </row>
    <row r="280" spans="1:26" ht="62.4" x14ac:dyDescent="0.3">
      <c r="A280" s="80">
        <v>276</v>
      </c>
      <c r="B280" s="86" t="s">
        <v>40</v>
      </c>
      <c r="C280" s="86" t="s">
        <v>41</v>
      </c>
      <c r="D280" s="86"/>
      <c r="E280" s="86" t="s">
        <v>373</v>
      </c>
      <c r="F280" s="41" t="s">
        <v>632</v>
      </c>
      <c r="G280" s="86" t="s">
        <v>40</v>
      </c>
      <c r="H280" s="80">
        <v>841.10127</v>
      </c>
      <c r="I280" s="86">
        <v>1</v>
      </c>
      <c r="J280" s="86">
        <v>841.10127</v>
      </c>
      <c r="K280" s="86">
        <v>841.10127</v>
      </c>
      <c r="L280" s="86">
        <v>1</v>
      </c>
      <c r="M280" s="86">
        <v>841.10127</v>
      </c>
      <c r="N280" s="6" t="s">
        <v>633</v>
      </c>
      <c r="O280" s="81">
        <v>45266</v>
      </c>
      <c r="P280" s="33" t="str">
        <f>HYPERLINK("https://my.zakupivli.pro/remote/dispatcher/state_purchase_view/47305506", "UA-2023-12-06-005005-a")</f>
        <v>UA-2023-12-06-005005-a</v>
      </c>
      <c r="Q280" s="86">
        <v>841.10127</v>
      </c>
      <c r="R280" s="86">
        <v>1</v>
      </c>
      <c r="S280" s="86">
        <v>841.10127</v>
      </c>
      <c r="T280" s="87">
        <v>45266</v>
      </c>
      <c r="U280" s="80"/>
      <c r="V280" s="86" t="s">
        <v>59</v>
      </c>
    </row>
    <row r="281" spans="1:26" ht="62.4" x14ac:dyDescent="0.3">
      <c r="A281" s="80">
        <v>278</v>
      </c>
      <c r="B281" s="86" t="s">
        <v>40</v>
      </c>
      <c r="C281" s="44" t="s">
        <v>73</v>
      </c>
      <c r="D281" s="80"/>
      <c r="E281" s="86" t="s">
        <v>75</v>
      </c>
      <c r="F281" s="44" t="s">
        <v>634</v>
      </c>
      <c r="G281" s="86" t="s">
        <v>40</v>
      </c>
      <c r="H281" s="80">
        <v>94.9756</v>
      </c>
      <c r="I281" s="86">
        <v>1</v>
      </c>
      <c r="J281" s="86">
        <v>94.9756</v>
      </c>
      <c r="K281" s="86">
        <v>94.9756</v>
      </c>
      <c r="L281" s="86">
        <v>1</v>
      </c>
      <c r="M281" s="86">
        <v>94.9756</v>
      </c>
      <c r="N281" s="6" t="s">
        <v>635</v>
      </c>
      <c r="O281" s="81">
        <v>45266</v>
      </c>
      <c r="P281" s="33" t="str">
        <f>HYPERLINK("https://my.zakupivli.pro/remote/dispatcher/state_purchase_view/47307414", "UA-2023-12-06-005920-a")</f>
        <v>UA-2023-12-06-005920-a</v>
      </c>
      <c r="Q281" s="86">
        <v>94.9756</v>
      </c>
      <c r="R281" s="86">
        <v>1</v>
      </c>
      <c r="S281" s="86">
        <v>94.9756</v>
      </c>
      <c r="T281" s="81">
        <v>45265</v>
      </c>
      <c r="U281" s="80"/>
      <c r="V281" s="86" t="s">
        <v>59</v>
      </c>
    </row>
    <row r="282" spans="1:26" ht="62.4" x14ac:dyDescent="0.3">
      <c r="A282" s="80">
        <v>279</v>
      </c>
      <c r="B282" s="86" t="s">
        <v>40</v>
      </c>
      <c r="C282" s="44" t="s">
        <v>73</v>
      </c>
      <c r="D282" s="80"/>
      <c r="E282" s="86" t="s">
        <v>75</v>
      </c>
      <c r="F282" s="41" t="s">
        <v>636</v>
      </c>
      <c r="G282" s="86" t="s">
        <v>40</v>
      </c>
      <c r="H282" s="80">
        <v>97.569460000000007</v>
      </c>
      <c r="I282" s="86">
        <v>1</v>
      </c>
      <c r="J282" s="86">
        <v>97.569460000000007</v>
      </c>
      <c r="K282" s="86">
        <v>97.569460000000007</v>
      </c>
      <c r="L282" s="86">
        <v>1</v>
      </c>
      <c r="M282" s="86">
        <v>97.569460000000007</v>
      </c>
      <c r="N282" s="6" t="s">
        <v>637</v>
      </c>
      <c r="O282" s="87">
        <v>45266</v>
      </c>
      <c r="P282" s="42" t="str">
        <f>HYPERLINK("https://my.zakupivli.pro/remote/dispatcher/state_purchase_view/47317977", "UA-2023-12-06-010301-a")</f>
        <v>UA-2023-12-06-010301-a</v>
      </c>
      <c r="Q282" s="86">
        <v>97.569460000000007</v>
      </c>
      <c r="R282" s="86">
        <v>1</v>
      </c>
      <c r="S282" s="86">
        <v>97.569460000000007</v>
      </c>
      <c r="T282" s="87">
        <v>45266</v>
      </c>
      <c r="U282" s="80"/>
      <c r="V282" s="86" t="s">
        <v>59</v>
      </c>
      <c r="W282" s="11"/>
      <c r="X282" s="11"/>
      <c r="Y282" s="11"/>
      <c r="Z282" s="11"/>
    </row>
    <row r="283" spans="1:26" ht="62.4" x14ac:dyDescent="0.3">
      <c r="A283" s="80">
        <v>280</v>
      </c>
      <c r="B283" s="86" t="s">
        <v>40</v>
      </c>
      <c r="C283" s="44" t="s">
        <v>73</v>
      </c>
      <c r="D283" s="80"/>
      <c r="E283" s="86" t="s">
        <v>75</v>
      </c>
      <c r="F283" s="44" t="s">
        <v>638</v>
      </c>
      <c r="G283" s="86" t="s">
        <v>40</v>
      </c>
      <c r="H283" s="80">
        <v>94.625129999999999</v>
      </c>
      <c r="I283" s="86">
        <v>1</v>
      </c>
      <c r="J283" s="86">
        <v>94.625129999999999</v>
      </c>
      <c r="K283" s="86">
        <v>94.625129999999999</v>
      </c>
      <c r="L283" s="86">
        <v>1</v>
      </c>
      <c r="M283" s="86">
        <v>94.625129999999999</v>
      </c>
      <c r="N283" s="6" t="s">
        <v>639</v>
      </c>
      <c r="O283" s="87">
        <v>45267</v>
      </c>
      <c r="P283" s="33" t="str">
        <f>HYPERLINK("https://my.zakupivli.pro/remote/dispatcher/state_purchase_view/47342805", "UA-2023-12-07-000379-a")</f>
        <v>UA-2023-12-07-000379-a</v>
      </c>
      <c r="Q283" s="86">
        <v>94.625129999999999</v>
      </c>
      <c r="R283" s="86">
        <v>1</v>
      </c>
      <c r="S283" s="86">
        <v>94.625129999999999</v>
      </c>
      <c r="T283" s="87">
        <v>45265</v>
      </c>
      <c r="U283" s="80"/>
      <c r="V283" s="86" t="s">
        <v>59</v>
      </c>
    </row>
    <row r="284" spans="1:26" ht="62.4" x14ac:dyDescent="0.3">
      <c r="A284" s="86">
        <v>281</v>
      </c>
      <c r="B284" s="86" t="s">
        <v>40</v>
      </c>
      <c r="C284" s="44" t="s">
        <v>73</v>
      </c>
      <c r="D284" s="80"/>
      <c r="E284" s="86" t="s">
        <v>75</v>
      </c>
      <c r="F284" s="41" t="s">
        <v>640</v>
      </c>
      <c r="G284" s="86" t="s">
        <v>40</v>
      </c>
      <c r="H284" s="80">
        <v>99.620450000000005</v>
      </c>
      <c r="I284" s="86">
        <v>1</v>
      </c>
      <c r="J284" s="86">
        <v>99.620450000000005</v>
      </c>
      <c r="K284" s="86">
        <v>99.620450000000005</v>
      </c>
      <c r="L284" s="86">
        <v>1</v>
      </c>
      <c r="M284" s="86">
        <v>99.620450000000005</v>
      </c>
      <c r="N284" s="6" t="s">
        <v>641</v>
      </c>
      <c r="O284" s="87">
        <v>45267</v>
      </c>
      <c r="P284" s="33" t="str">
        <f>HYPERLINK("https://my.zakupivli.pro/remote/dispatcher/state_purchase_view/47358944", "UA-2023-12-07-007786-a")</f>
        <v>UA-2023-12-07-007786-a</v>
      </c>
      <c r="Q284" s="86">
        <v>99.620450000000005</v>
      </c>
      <c r="R284" s="86">
        <v>1</v>
      </c>
      <c r="S284" s="86">
        <v>99.620450000000005</v>
      </c>
      <c r="T284" s="87">
        <v>45267</v>
      </c>
      <c r="U284" s="80"/>
      <c r="V284" s="86" t="s">
        <v>59</v>
      </c>
    </row>
    <row r="285" spans="1:26" ht="62.4" x14ac:dyDescent="0.3">
      <c r="A285" s="86">
        <v>282</v>
      </c>
      <c r="B285" s="86" t="s">
        <v>40</v>
      </c>
      <c r="C285" s="44" t="s">
        <v>73</v>
      </c>
      <c r="D285" s="80"/>
      <c r="E285" s="86" t="s">
        <v>75</v>
      </c>
      <c r="F285" s="44" t="s">
        <v>642</v>
      </c>
      <c r="G285" s="86" t="s">
        <v>40</v>
      </c>
      <c r="H285" s="89">
        <v>60</v>
      </c>
      <c r="I285" s="86">
        <v>1</v>
      </c>
      <c r="J285" s="89">
        <v>60</v>
      </c>
      <c r="K285" s="89">
        <v>60</v>
      </c>
      <c r="L285" s="86">
        <v>1</v>
      </c>
      <c r="M285" s="89">
        <v>60</v>
      </c>
      <c r="N285" s="6" t="s">
        <v>643</v>
      </c>
      <c r="O285" s="81">
        <v>45271</v>
      </c>
      <c r="P285" s="42" t="str">
        <f>HYPERLINK("https://my.zakupivli.pro/remote/dispatcher/state_purchase_view/47491667", "UA-2023-12-11-019550-a")</f>
        <v>UA-2023-12-11-019550-a</v>
      </c>
      <c r="Q285" s="89">
        <v>60</v>
      </c>
      <c r="R285" s="86">
        <v>1</v>
      </c>
      <c r="S285" s="89">
        <v>60</v>
      </c>
      <c r="T285" s="81">
        <v>45271</v>
      </c>
      <c r="U285" s="80"/>
      <c r="V285" s="86" t="s">
        <v>59</v>
      </c>
    </row>
    <row r="286" spans="1:26" ht="109.2" x14ac:dyDescent="0.3">
      <c r="A286" s="86">
        <v>283</v>
      </c>
      <c r="B286" s="88" t="s">
        <v>40</v>
      </c>
      <c r="C286" s="41" t="s">
        <v>41</v>
      </c>
      <c r="D286" s="80"/>
      <c r="E286" s="88" t="s">
        <v>88</v>
      </c>
      <c r="F286" s="41" t="s">
        <v>644</v>
      </c>
      <c r="G286" s="88" t="s">
        <v>40</v>
      </c>
      <c r="H286" s="80">
        <v>46627.971120000002</v>
      </c>
      <c r="I286" s="88">
        <v>1</v>
      </c>
      <c r="J286" s="88">
        <v>46627.971120000002</v>
      </c>
      <c r="K286" s="88">
        <v>46627.971120000002</v>
      </c>
      <c r="L286" s="88">
        <v>1</v>
      </c>
      <c r="M286" s="88">
        <v>46627.971120000002</v>
      </c>
      <c r="N286" s="6" t="s">
        <v>645</v>
      </c>
      <c r="O286" s="81">
        <v>45281</v>
      </c>
      <c r="P286" s="33" t="str">
        <f>HYPERLINK("https://my.zakupivli.pro/remote/dispatcher/state_purchase_view/47910696", "UA-2023-12-21-014486-a")</f>
        <v>UA-2023-12-21-014486-a</v>
      </c>
      <c r="Q286" s="80"/>
      <c r="R286" s="88"/>
      <c r="S286" s="80"/>
      <c r="T286" s="81"/>
      <c r="U286" s="91" t="s">
        <v>93</v>
      </c>
      <c r="V286" s="80"/>
    </row>
    <row r="287" spans="1:26" ht="156" x14ac:dyDescent="0.3">
      <c r="A287" s="80">
        <v>284</v>
      </c>
      <c r="B287" s="88" t="s">
        <v>21</v>
      </c>
      <c r="C287" s="44" t="s">
        <v>173</v>
      </c>
      <c r="D287" s="92" t="s">
        <v>58</v>
      </c>
      <c r="E287" s="88" t="s">
        <v>88</v>
      </c>
      <c r="F287" s="44" t="s">
        <v>646</v>
      </c>
      <c r="G287" s="88" t="s">
        <v>21</v>
      </c>
      <c r="H287" s="80">
        <v>1380</v>
      </c>
      <c r="I287" s="80">
        <v>12</v>
      </c>
      <c r="J287" s="80"/>
      <c r="K287" s="88"/>
      <c r="L287" s="80">
        <v>12</v>
      </c>
      <c r="M287" s="80"/>
      <c r="N287" s="6" t="s">
        <v>648</v>
      </c>
      <c r="O287" s="81">
        <v>45274</v>
      </c>
      <c r="P287" s="33" t="str">
        <f>HYPERLINK("https://my.zakupivli.pro/remote/dispatcher/state_purchase_view/47633281", "UA-2023-12-14-013003-a")</f>
        <v>UA-2023-12-14-013003-a</v>
      </c>
      <c r="Q287" s="80"/>
      <c r="R287" s="80"/>
      <c r="S287" s="80"/>
      <c r="T287" s="81"/>
      <c r="U287" s="91" t="s">
        <v>649</v>
      </c>
      <c r="V287" s="80"/>
    </row>
    <row r="288" spans="1:26" ht="156" x14ac:dyDescent="0.3">
      <c r="A288" s="80">
        <v>285</v>
      </c>
      <c r="B288" s="88" t="s">
        <v>21</v>
      </c>
      <c r="C288" s="44" t="s">
        <v>173</v>
      </c>
      <c r="D288" s="92" t="s">
        <v>58</v>
      </c>
      <c r="E288" s="88" t="s">
        <v>88</v>
      </c>
      <c r="F288" s="44" t="s">
        <v>647</v>
      </c>
      <c r="G288" s="88" t="s">
        <v>21</v>
      </c>
      <c r="H288" s="80">
        <v>900</v>
      </c>
      <c r="I288" s="80">
        <v>6</v>
      </c>
      <c r="J288" s="80"/>
      <c r="K288" s="88"/>
      <c r="L288" s="80"/>
      <c r="M288" s="80"/>
      <c r="N288" s="6" t="s">
        <v>648</v>
      </c>
      <c r="O288" s="81">
        <v>45274</v>
      </c>
      <c r="P288" s="33" t="str">
        <f>HYPERLINK("https://my.zakupivli.pro/remote/dispatcher/state_purchase_view/47633281", "UA-2023-12-14-013003-a")</f>
        <v>UA-2023-12-14-013003-a</v>
      </c>
      <c r="Q288" s="80"/>
      <c r="R288" s="80"/>
      <c r="S288" s="80"/>
      <c r="T288" s="81"/>
      <c r="U288" s="91" t="s">
        <v>649</v>
      </c>
      <c r="V288" s="80"/>
    </row>
    <row r="289" spans="1:22" ht="62.4" x14ac:dyDescent="0.3">
      <c r="A289" s="80">
        <v>286</v>
      </c>
      <c r="B289" s="91" t="s">
        <v>40</v>
      </c>
      <c r="C289" s="41" t="s">
        <v>73</v>
      </c>
      <c r="D289" s="80"/>
      <c r="E289" s="91" t="s">
        <v>75</v>
      </c>
      <c r="F289" s="41" t="s">
        <v>650</v>
      </c>
      <c r="G289" s="91" t="s">
        <v>40</v>
      </c>
      <c r="H289" s="80">
        <v>900.26514999999995</v>
      </c>
      <c r="I289" s="80">
        <v>1</v>
      </c>
      <c r="J289" s="91">
        <v>900.26514999999995</v>
      </c>
      <c r="K289" s="91">
        <v>900.26514999999995</v>
      </c>
      <c r="L289" s="91">
        <v>1</v>
      </c>
      <c r="M289" s="91">
        <v>900.26514999999995</v>
      </c>
      <c r="N289" s="6" t="s">
        <v>651</v>
      </c>
      <c r="O289" s="81">
        <v>45288</v>
      </c>
      <c r="P289" s="42" t="str">
        <f>HYPERLINK("https://my.zakupivli.pro/remote/dispatcher/state_purchase_view/48101499", "UA-2023-12-28-006964-a")</f>
        <v>UA-2023-12-28-006964-a</v>
      </c>
      <c r="Q289" s="91">
        <v>900.26514999999995</v>
      </c>
      <c r="R289" s="91">
        <v>1</v>
      </c>
      <c r="S289" s="91">
        <v>900.26514999999995</v>
      </c>
      <c r="T289" s="81">
        <v>45288</v>
      </c>
      <c r="U289" s="80"/>
      <c r="V289" s="91" t="s">
        <v>59</v>
      </c>
    </row>
    <row r="290" spans="1:22" ht="62.4" x14ac:dyDescent="0.3">
      <c r="A290" s="80">
        <v>287</v>
      </c>
      <c r="B290" s="91" t="s">
        <v>40</v>
      </c>
      <c r="C290" s="44" t="s">
        <v>73</v>
      </c>
      <c r="D290" s="80"/>
      <c r="E290" s="91" t="s">
        <v>75</v>
      </c>
      <c r="F290" s="44" t="s">
        <v>652</v>
      </c>
      <c r="G290" s="91" t="s">
        <v>40</v>
      </c>
      <c r="H290" s="80">
        <v>890.76089999999999</v>
      </c>
      <c r="I290" s="91">
        <v>1</v>
      </c>
      <c r="J290" s="91">
        <v>890.76089999999999</v>
      </c>
      <c r="K290" s="91">
        <v>890.76089999999999</v>
      </c>
      <c r="L290" s="91">
        <v>1</v>
      </c>
      <c r="M290" s="91">
        <v>890.76089999999999</v>
      </c>
      <c r="N290" s="6" t="s">
        <v>653</v>
      </c>
      <c r="O290" s="90">
        <v>45288</v>
      </c>
      <c r="P290" s="33" t="str">
        <f>HYPERLINK("https://my.zakupivli.pro/remote/dispatcher/state_purchase_view/48103321", "UA-2023-12-28-007824-a")</f>
        <v>UA-2023-12-28-007824-a</v>
      </c>
      <c r="Q290" s="91">
        <v>890.76089999999999</v>
      </c>
      <c r="R290" s="91">
        <v>1</v>
      </c>
      <c r="S290" s="91">
        <v>890.76089999999999</v>
      </c>
      <c r="T290" s="90">
        <v>45288</v>
      </c>
      <c r="U290" s="80"/>
      <c r="V290" s="91" t="s">
        <v>59</v>
      </c>
    </row>
    <row r="291" spans="1:22" ht="62.4" x14ac:dyDescent="0.3">
      <c r="A291" s="80">
        <v>288</v>
      </c>
      <c r="B291" s="91" t="s">
        <v>40</v>
      </c>
      <c r="C291" s="44" t="s">
        <v>518</v>
      </c>
      <c r="D291" s="80"/>
      <c r="E291" s="91" t="s">
        <v>88</v>
      </c>
      <c r="F291" s="44" t="s">
        <v>654</v>
      </c>
      <c r="G291" s="91" t="s">
        <v>40</v>
      </c>
      <c r="H291" s="80">
        <v>102.10921999999999</v>
      </c>
      <c r="I291" s="91">
        <v>1</v>
      </c>
      <c r="J291" s="91">
        <v>102.10921999999999</v>
      </c>
      <c r="K291" s="91">
        <v>102.10921999999999</v>
      </c>
      <c r="L291" s="91">
        <v>1</v>
      </c>
      <c r="M291" s="91">
        <v>102.10921999999999</v>
      </c>
      <c r="N291" s="6" t="s">
        <v>656</v>
      </c>
      <c r="O291" s="90">
        <v>45288</v>
      </c>
      <c r="P291" s="33" t="str">
        <f>HYPERLINK("https://my.zakupivli.pro/remote/dispatcher/state_purchase_view/48105790", "UA-2023-12-28-009035-a")</f>
        <v>UA-2023-12-28-009035-a</v>
      </c>
      <c r="Q291" s="91">
        <v>102.10921999999999</v>
      </c>
      <c r="R291" s="91">
        <v>1</v>
      </c>
      <c r="S291" s="91">
        <v>102.10921999999999</v>
      </c>
      <c r="T291" s="90">
        <v>45288</v>
      </c>
      <c r="U291" s="80"/>
      <c r="V291" s="91" t="s">
        <v>59</v>
      </c>
    </row>
    <row r="292" spans="1:22" ht="62.4" x14ac:dyDescent="0.3">
      <c r="A292" s="91">
        <v>289</v>
      </c>
      <c r="B292" s="91" t="s">
        <v>40</v>
      </c>
      <c r="C292" s="44" t="s">
        <v>518</v>
      </c>
      <c r="D292" s="91"/>
      <c r="E292" s="91" t="s">
        <v>88</v>
      </c>
      <c r="F292" s="44" t="s">
        <v>655</v>
      </c>
      <c r="G292" s="91" t="s">
        <v>40</v>
      </c>
      <c r="H292" s="91">
        <v>140.8725</v>
      </c>
      <c r="I292" s="91">
        <v>1</v>
      </c>
      <c r="J292" s="91">
        <v>140.8725</v>
      </c>
      <c r="K292" s="91">
        <v>140.8725</v>
      </c>
      <c r="L292" s="91">
        <v>1</v>
      </c>
      <c r="M292" s="91">
        <v>140.8725</v>
      </c>
      <c r="N292" s="6" t="s">
        <v>657</v>
      </c>
      <c r="O292" s="90">
        <v>45288</v>
      </c>
      <c r="P292" s="33" t="str">
        <f>HYPERLINK("https://my.zakupivli.pro/remote/dispatcher/state_purchase_view/48105477", "UA-2023-12-28-008817-a")</f>
        <v>UA-2023-12-28-008817-a</v>
      </c>
      <c r="Q292" s="91">
        <v>140.8725</v>
      </c>
      <c r="R292" s="91">
        <v>1</v>
      </c>
      <c r="S292" s="91">
        <v>140.8725</v>
      </c>
      <c r="T292" s="90">
        <v>45288</v>
      </c>
      <c r="U292" s="91"/>
      <c r="V292" s="91" t="s">
        <v>59</v>
      </c>
    </row>
    <row r="293" spans="1:22" ht="62.4" x14ac:dyDescent="0.3">
      <c r="A293" s="91">
        <v>290</v>
      </c>
      <c r="B293" s="91" t="s">
        <v>40</v>
      </c>
      <c r="C293" s="44" t="s">
        <v>518</v>
      </c>
      <c r="D293" s="91"/>
      <c r="E293" s="91" t="s">
        <v>88</v>
      </c>
      <c r="F293" s="41" t="s">
        <v>658</v>
      </c>
      <c r="G293" s="91" t="s">
        <v>40</v>
      </c>
      <c r="H293" s="91">
        <v>112.61726</v>
      </c>
      <c r="I293" s="91">
        <v>1</v>
      </c>
      <c r="J293" s="91">
        <v>112.61726</v>
      </c>
      <c r="K293" s="91">
        <v>112.61726</v>
      </c>
      <c r="L293" s="91">
        <v>1</v>
      </c>
      <c r="M293" s="91">
        <v>112.61726</v>
      </c>
      <c r="N293" s="6" t="s">
        <v>659</v>
      </c>
      <c r="O293" s="90">
        <v>45288</v>
      </c>
      <c r="P293" s="42" t="str">
        <f>HYPERLINK("https://my.zakupivli.pro/remote/dispatcher/state_purchase_view/48106223", "UA-2023-12-28-009172-a")</f>
        <v>UA-2023-12-28-009172-a</v>
      </c>
      <c r="Q293" s="91">
        <v>112.61726</v>
      </c>
      <c r="R293" s="91">
        <v>1</v>
      </c>
      <c r="S293" s="91">
        <v>112.61726</v>
      </c>
      <c r="T293" s="90">
        <v>45288</v>
      </c>
      <c r="U293" s="91"/>
      <c r="V293" s="91" t="s">
        <v>59</v>
      </c>
    </row>
    <row r="294" spans="1:22" ht="78" x14ac:dyDescent="0.3">
      <c r="A294" s="91">
        <v>291</v>
      </c>
      <c r="B294" s="91" t="s">
        <v>40</v>
      </c>
      <c r="C294" s="44" t="s">
        <v>518</v>
      </c>
      <c r="D294" s="91"/>
      <c r="E294" s="91" t="s">
        <v>88</v>
      </c>
      <c r="F294" s="44" t="s">
        <v>660</v>
      </c>
      <c r="G294" s="91" t="s">
        <v>40</v>
      </c>
      <c r="H294" s="91">
        <v>60.283799999999999</v>
      </c>
      <c r="I294" s="91">
        <v>1</v>
      </c>
      <c r="J294" s="91">
        <v>60.283799999999999</v>
      </c>
      <c r="K294" s="91">
        <v>60.283799999999999</v>
      </c>
      <c r="L294" s="91">
        <v>1</v>
      </c>
      <c r="M294" s="91">
        <v>60.283799999999999</v>
      </c>
      <c r="N294" s="6" t="s">
        <v>661</v>
      </c>
      <c r="O294" s="90">
        <v>45288</v>
      </c>
      <c r="P294" s="33" t="str">
        <f>HYPERLINK("https://my.zakupivli.pro/remote/dispatcher/state_purchase_view/48106340", "UA-2023-12-28-009254-a")</f>
        <v>UA-2023-12-28-009254-a</v>
      </c>
      <c r="Q294" s="91">
        <v>60.283799999999999</v>
      </c>
      <c r="R294" s="91">
        <v>1</v>
      </c>
      <c r="S294" s="91">
        <v>60.283799999999999</v>
      </c>
      <c r="T294" s="90">
        <v>45288</v>
      </c>
      <c r="U294" s="91"/>
      <c r="V294" s="91" t="s">
        <v>59</v>
      </c>
    </row>
    <row r="295" spans="1:22" ht="62.4" x14ac:dyDescent="0.3">
      <c r="A295" s="91">
        <v>292</v>
      </c>
      <c r="B295" s="91" t="s">
        <v>40</v>
      </c>
      <c r="C295" s="44" t="s">
        <v>518</v>
      </c>
      <c r="D295" s="91"/>
      <c r="E295" s="91" t="s">
        <v>88</v>
      </c>
      <c r="F295" s="41" t="s">
        <v>662</v>
      </c>
      <c r="G295" s="91" t="s">
        <v>40</v>
      </c>
      <c r="H295" s="91">
        <v>80.88937</v>
      </c>
      <c r="I295" s="91">
        <v>1</v>
      </c>
      <c r="J295" s="91">
        <v>80.88937</v>
      </c>
      <c r="K295" s="91">
        <v>80.88937</v>
      </c>
      <c r="L295" s="91">
        <v>1</v>
      </c>
      <c r="M295" s="91">
        <v>80.88937</v>
      </c>
      <c r="N295" s="6" t="s">
        <v>663</v>
      </c>
      <c r="O295" s="90">
        <v>45288</v>
      </c>
      <c r="P295" s="42" t="str">
        <f>HYPERLINK("https://my.zakupivli.pro/remote/dispatcher/state_purchase_view/48106581", "UA-2023-12-28-009421-a")</f>
        <v>UA-2023-12-28-009421-a</v>
      </c>
      <c r="Q295" s="91">
        <v>80.88937</v>
      </c>
      <c r="R295" s="91">
        <v>1</v>
      </c>
      <c r="S295" s="91">
        <v>80.88937</v>
      </c>
      <c r="T295" s="90">
        <v>45288</v>
      </c>
      <c r="U295" s="91"/>
      <c r="V295" s="91" t="s">
        <v>59</v>
      </c>
    </row>
    <row r="296" spans="1:22" ht="62.4" x14ac:dyDescent="0.3">
      <c r="A296" s="91">
        <v>293</v>
      </c>
      <c r="B296" s="91" t="s">
        <v>40</v>
      </c>
      <c r="C296" s="44" t="s">
        <v>73</v>
      </c>
      <c r="D296" s="91"/>
      <c r="E296" s="91" t="s">
        <v>75</v>
      </c>
      <c r="F296" s="44" t="s">
        <v>664</v>
      </c>
      <c r="G296" s="91" t="s">
        <v>40</v>
      </c>
      <c r="H296" s="91">
        <v>60.466990000000003</v>
      </c>
      <c r="I296" s="91">
        <v>1</v>
      </c>
      <c r="J296" s="91">
        <v>60.466990000000003</v>
      </c>
      <c r="K296" s="91">
        <v>60.466990000000003</v>
      </c>
      <c r="L296" s="91">
        <v>1</v>
      </c>
      <c r="M296" s="91">
        <v>60.466990000000003</v>
      </c>
      <c r="N296" s="6" t="s">
        <v>666</v>
      </c>
      <c r="O296" s="90">
        <v>45288</v>
      </c>
      <c r="P296" s="33" t="str">
        <f>HYPERLINK("https://my.zakupivli.pro/remote/dispatcher/state_purchase_view/48111319", "UA-2023-12-29-000127-a")</f>
        <v>UA-2023-12-29-000127-a</v>
      </c>
      <c r="Q296" s="91">
        <v>60.466990000000003</v>
      </c>
      <c r="R296" s="91">
        <v>1</v>
      </c>
      <c r="S296" s="91">
        <v>60.466990000000003</v>
      </c>
      <c r="T296" s="90">
        <v>45288</v>
      </c>
      <c r="U296" s="91"/>
      <c r="V296" s="91" t="s">
        <v>59</v>
      </c>
    </row>
    <row r="297" spans="1:22" ht="62.4" x14ac:dyDescent="0.3">
      <c r="A297" s="91">
        <v>294</v>
      </c>
      <c r="B297" s="91" t="s">
        <v>40</v>
      </c>
      <c r="C297" s="44" t="s">
        <v>73</v>
      </c>
      <c r="D297" s="91"/>
      <c r="E297" s="91" t="s">
        <v>75</v>
      </c>
      <c r="F297" s="44" t="s">
        <v>665</v>
      </c>
      <c r="G297" s="91" t="s">
        <v>40</v>
      </c>
      <c r="H297" s="91">
        <v>102.71108</v>
      </c>
      <c r="I297" s="91">
        <v>1</v>
      </c>
      <c r="J297" s="91">
        <v>102.71108</v>
      </c>
      <c r="K297" s="91">
        <v>102.71108</v>
      </c>
      <c r="L297" s="91">
        <v>1</v>
      </c>
      <c r="M297" s="91">
        <v>102.71108</v>
      </c>
      <c r="N297" s="6" t="s">
        <v>667</v>
      </c>
      <c r="O297" s="90">
        <v>45288</v>
      </c>
      <c r="P297" s="33" t="str">
        <f>HYPERLINK("https://my.zakupivli.pro/remote/dispatcher/state_purchase_view/48111316", "UA-2023-12-29-000125-a")</f>
        <v>UA-2023-12-29-000125-a</v>
      </c>
      <c r="Q297" s="91">
        <v>102.71108</v>
      </c>
      <c r="R297" s="91">
        <v>1</v>
      </c>
      <c r="S297" s="91">
        <v>102.71108</v>
      </c>
      <c r="T297" s="90">
        <v>45288</v>
      </c>
      <c r="U297" s="91"/>
      <c r="V297" s="91" t="s">
        <v>59</v>
      </c>
    </row>
    <row r="298" spans="1:22" ht="62.4" x14ac:dyDescent="0.3">
      <c r="A298" s="91">
        <v>295</v>
      </c>
      <c r="B298" s="91" t="s">
        <v>40</v>
      </c>
      <c r="C298" s="44" t="s">
        <v>73</v>
      </c>
      <c r="D298" s="91"/>
      <c r="E298" s="91" t="s">
        <v>75</v>
      </c>
      <c r="F298" s="44" t="s">
        <v>668</v>
      </c>
      <c r="G298" s="91" t="s">
        <v>40</v>
      </c>
      <c r="H298" s="91">
        <v>102.81056</v>
      </c>
      <c r="I298" s="91">
        <v>1</v>
      </c>
      <c r="J298" s="91">
        <v>102.81056</v>
      </c>
      <c r="K298" s="91">
        <v>102.81056</v>
      </c>
      <c r="L298" s="91">
        <v>1</v>
      </c>
      <c r="M298" s="91">
        <v>102.81056</v>
      </c>
      <c r="N298" s="6" t="s">
        <v>671</v>
      </c>
      <c r="O298" s="90">
        <v>45288</v>
      </c>
      <c r="P298" s="33" t="str">
        <f>HYPERLINK("https://my.zakupivli.pro/remote/dispatcher/state_purchase_view/48114851", "UA-2023-12-29-001754-a")</f>
        <v>UA-2023-12-29-001754-a</v>
      </c>
      <c r="Q298" s="91">
        <v>102.81056</v>
      </c>
      <c r="R298" s="91">
        <v>1</v>
      </c>
      <c r="S298" s="91">
        <v>102.81056</v>
      </c>
      <c r="T298" s="90">
        <v>45288</v>
      </c>
      <c r="U298" s="91"/>
      <c r="V298" s="91" t="s">
        <v>59</v>
      </c>
    </row>
    <row r="299" spans="1:22" ht="62.4" x14ac:dyDescent="0.3">
      <c r="A299" s="91">
        <v>296</v>
      </c>
      <c r="B299" s="91" t="s">
        <v>40</v>
      </c>
      <c r="C299" s="44" t="s">
        <v>73</v>
      </c>
      <c r="D299" s="91"/>
      <c r="E299" s="91" t="s">
        <v>75</v>
      </c>
      <c r="F299" s="44" t="s">
        <v>669</v>
      </c>
      <c r="G299" s="91" t="s">
        <v>40</v>
      </c>
      <c r="H299" s="91">
        <v>93.603560000000002</v>
      </c>
      <c r="I299" s="91">
        <v>1</v>
      </c>
      <c r="J299" s="91">
        <v>93.603560000000002</v>
      </c>
      <c r="K299" s="91">
        <v>93.603560000000002</v>
      </c>
      <c r="L299" s="91">
        <v>1</v>
      </c>
      <c r="M299" s="91">
        <v>93.603560000000002</v>
      </c>
      <c r="N299" s="6" t="s">
        <v>672</v>
      </c>
      <c r="O299" s="90">
        <v>45288</v>
      </c>
      <c r="P299" s="33" t="str">
        <f>HYPERLINK("https://my.zakupivli.pro/remote/dispatcher/state_purchase_view/48113034", "UA-2023-12-29-000902-a")</f>
        <v>UA-2023-12-29-000902-a</v>
      </c>
      <c r="Q299" s="91">
        <v>93.603560000000002</v>
      </c>
      <c r="R299" s="91">
        <v>1</v>
      </c>
      <c r="S299" s="91">
        <v>93.603560000000002</v>
      </c>
      <c r="T299" s="90">
        <v>45288</v>
      </c>
      <c r="U299" s="91"/>
      <c r="V299" s="91" t="s">
        <v>59</v>
      </c>
    </row>
    <row r="300" spans="1:22" ht="62.4" x14ac:dyDescent="0.3">
      <c r="A300" s="91">
        <v>297</v>
      </c>
      <c r="B300" s="91" t="s">
        <v>40</v>
      </c>
      <c r="C300" s="44" t="s">
        <v>73</v>
      </c>
      <c r="D300" s="91"/>
      <c r="E300" s="91" t="s">
        <v>75</v>
      </c>
      <c r="F300" s="44" t="s">
        <v>670</v>
      </c>
      <c r="G300" s="91" t="s">
        <v>40</v>
      </c>
      <c r="H300" s="91">
        <v>94.078620000000001</v>
      </c>
      <c r="I300" s="91">
        <v>1</v>
      </c>
      <c r="J300" s="91">
        <v>94.078620000000001</v>
      </c>
      <c r="K300" s="91">
        <v>94.078620000000001</v>
      </c>
      <c r="L300" s="91">
        <v>1</v>
      </c>
      <c r="M300" s="91">
        <v>94.078620000000001</v>
      </c>
      <c r="N300" s="6" t="s">
        <v>673</v>
      </c>
      <c r="O300" s="90">
        <v>45288</v>
      </c>
      <c r="P300" s="33" t="str">
        <f>HYPERLINK("https://my.zakupivli.pro/remote/dispatcher/state_purchase_view/48111399", "UA-2023-12-29-000155-a")</f>
        <v>UA-2023-12-29-000155-a</v>
      </c>
      <c r="Q300" s="91">
        <v>94.078620000000001</v>
      </c>
      <c r="R300" s="91">
        <v>1</v>
      </c>
      <c r="S300" s="91">
        <v>94.078620000000001</v>
      </c>
      <c r="T300" s="90">
        <v>45288</v>
      </c>
      <c r="U300" s="91"/>
      <c r="V300" s="91" t="s">
        <v>59</v>
      </c>
    </row>
    <row r="301" spans="1:22" ht="62.4" x14ac:dyDescent="0.3">
      <c r="A301" s="91">
        <v>298</v>
      </c>
      <c r="B301" s="91" t="s">
        <v>40</v>
      </c>
      <c r="C301" s="44" t="s">
        <v>73</v>
      </c>
      <c r="D301" s="91"/>
      <c r="E301" s="91" t="s">
        <v>75</v>
      </c>
      <c r="F301" s="44" t="s">
        <v>674</v>
      </c>
      <c r="G301" s="91" t="s">
        <v>40</v>
      </c>
      <c r="H301" s="91">
        <v>890.76089999999999</v>
      </c>
      <c r="I301" s="91">
        <v>1</v>
      </c>
      <c r="J301" s="91">
        <v>890.76089999999999</v>
      </c>
      <c r="K301" s="91">
        <v>890.76089999999999</v>
      </c>
      <c r="L301" s="91">
        <v>1</v>
      </c>
      <c r="M301" s="91">
        <v>890.76089999999999</v>
      </c>
      <c r="N301" s="6" t="s">
        <v>676</v>
      </c>
      <c r="O301" s="90">
        <v>45288</v>
      </c>
      <c r="P301" s="33" t="str">
        <f>HYPERLINK("https://my.zakupivli.pro/remote/dispatcher/state_purchase_view/48185148", "UA-2024-01-04-005897-a")</f>
        <v>UA-2024-01-04-005897-a</v>
      </c>
      <c r="Q301" s="91">
        <v>890.76089999999999</v>
      </c>
      <c r="R301" s="91">
        <v>1</v>
      </c>
      <c r="S301" s="91">
        <v>890.76089999999999</v>
      </c>
      <c r="T301" s="90">
        <v>45295</v>
      </c>
      <c r="U301" s="91"/>
      <c r="V301" s="91" t="s">
        <v>59</v>
      </c>
    </row>
    <row r="302" spans="1:22" ht="62.4" x14ac:dyDescent="0.3">
      <c r="A302" s="91">
        <v>299</v>
      </c>
      <c r="B302" s="91" t="s">
        <v>40</v>
      </c>
      <c r="C302" s="44" t="s">
        <v>73</v>
      </c>
      <c r="D302" s="91"/>
      <c r="E302" s="91" t="s">
        <v>75</v>
      </c>
      <c r="F302" s="44" t="s">
        <v>675</v>
      </c>
      <c r="G302" s="91" t="s">
        <v>40</v>
      </c>
      <c r="H302" s="91">
        <v>900.26514999999995</v>
      </c>
      <c r="I302" s="91">
        <v>1</v>
      </c>
      <c r="J302" s="91">
        <v>900.26514999999995</v>
      </c>
      <c r="K302" s="91">
        <v>900.26514999999995</v>
      </c>
      <c r="L302" s="91">
        <v>1</v>
      </c>
      <c r="M302" s="91">
        <v>900.26514999999995</v>
      </c>
      <c r="N302" s="6" t="s">
        <v>677</v>
      </c>
      <c r="O302" s="90">
        <v>45288</v>
      </c>
      <c r="P302" s="33" t="str">
        <f>HYPERLINK("https://my.zakupivli.pro/remote/dispatcher/state_purchase_view/48184528", "UA-2024-01-04-005625-a")</f>
        <v>UA-2024-01-04-005625-a</v>
      </c>
      <c r="Q302" s="91">
        <v>900.26514999999995</v>
      </c>
      <c r="R302" s="91">
        <v>1</v>
      </c>
      <c r="S302" s="91">
        <v>900.26514999999995</v>
      </c>
      <c r="T302" s="90">
        <v>45295</v>
      </c>
      <c r="U302" s="91"/>
      <c r="V302" s="91" t="s">
        <v>59</v>
      </c>
    </row>
    <row r="303" spans="1:22" ht="62.4" x14ac:dyDescent="0.3">
      <c r="A303" s="91">
        <v>300</v>
      </c>
      <c r="B303" s="91" t="s">
        <v>40</v>
      </c>
      <c r="C303" s="44" t="s">
        <v>73</v>
      </c>
      <c r="D303" s="91"/>
      <c r="E303" s="91" t="s">
        <v>75</v>
      </c>
      <c r="F303" s="44" t="s">
        <v>678</v>
      </c>
      <c r="G303" s="91" t="s">
        <v>40</v>
      </c>
      <c r="H303" s="91">
        <v>154.50237999999999</v>
      </c>
      <c r="I303" s="91">
        <v>1</v>
      </c>
      <c r="J303" s="91">
        <v>154.50237999999999</v>
      </c>
      <c r="K303" s="91">
        <v>154.50237999999999</v>
      </c>
      <c r="L303" s="91">
        <v>1</v>
      </c>
      <c r="M303" s="91">
        <v>154.50237999999999</v>
      </c>
      <c r="N303" s="6" t="s">
        <v>681</v>
      </c>
      <c r="O303" s="90">
        <v>45296</v>
      </c>
      <c r="P303" s="33" t="str">
        <f>HYPERLINK("https://my.zakupivli.pro/remote/dispatcher/state_purchase_view/48208692", "UA-2024-01-08-000900-a")</f>
        <v>UA-2024-01-08-000900-a</v>
      </c>
      <c r="Q303" s="91">
        <v>154.50237999999999</v>
      </c>
      <c r="R303" s="91">
        <v>1</v>
      </c>
      <c r="S303" s="91">
        <v>154.50237999999999</v>
      </c>
      <c r="T303" s="90">
        <v>45299</v>
      </c>
      <c r="U303" s="91"/>
      <c r="V303" s="91" t="s">
        <v>59</v>
      </c>
    </row>
    <row r="304" spans="1:22" ht="62.4" x14ac:dyDescent="0.3">
      <c r="A304" s="91">
        <v>301</v>
      </c>
      <c r="B304" s="91" t="s">
        <v>40</v>
      </c>
      <c r="C304" s="44" t="s">
        <v>73</v>
      </c>
      <c r="D304" s="91"/>
      <c r="E304" s="91" t="s">
        <v>75</v>
      </c>
      <c r="F304" s="44" t="s">
        <v>679</v>
      </c>
      <c r="G304" s="91" t="s">
        <v>40</v>
      </c>
      <c r="H304" s="91">
        <v>173.50028</v>
      </c>
      <c r="I304" s="91">
        <v>1</v>
      </c>
      <c r="J304" s="91">
        <v>173.50028</v>
      </c>
      <c r="K304" s="91">
        <v>173.50028</v>
      </c>
      <c r="L304" s="91">
        <v>1</v>
      </c>
      <c r="M304" s="91">
        <v>173.50028</v>
      </c>
      <c r="N304" s="6" t="s">
        <v>682</v>
      </c>
      <c r="O304" s="90">
        <v>45296</v>
      </c>
      <c r="P304" s="33" t="str">
        <f>HYPERLINK("https://my.zakupivli.pro/remote/dispatcher/state_purchase_view/48208212", "UA-2024-01-08-000709-a")</f>
        <v>UA-2024-01-08-000709-a</v>
      </c>
      <c r="Q304" s="91">
        <v>173.50028</v>
      </c>
      <c r="R304" s="91">
        <v>1</v>
      </c>
      <c r="S304" s="91">
        <v>173.50028</v>
      </c>
      <c r="T304" s="90">
        <v>45299</v>
      </c>
      <c r="U304" s="91"/>
      <c r="V304" s="91" t="s">
        <v>59</v>
      </c>
    </row>
    <row r="305" spans="1:22" ht="62.4" x14ac:dyDescent="0.3">
      <c r="A305" s="91">
        <v>302</v>
      </c>
      <c r="B305" s="91" t="s">
        <v>40</v>
      </c>
      <c r="C305" s="44" t="s">
        <v>73</v>
      </c>
      <c r="D305" s="91"/>
      <c r="E305" s="91" t="s">
        <v>75</v>
      </c>
      <c r="F305" s="44" t="s">
        <v>680</v>
      </c>
      <c r="G305" s="91" t="s">
        <v>40</v>
      </c>
      <c r="H305" s="91">
        <v>161.96637999999999</v>
      </c>
      <c r="I305" s="91">
        <v>1</v>
      </c>
      <c r="J305" s="91">
        <v>161.96637999999999</v>
      </c>
      <c r="K305" s="91">
        <v>161.96637999999999</v>
      </c>
      <c r="L305" s="91">
        <v>1</v>
      </c>
      <c r="M305" s="91">
        <v>161.96637999999999</v>
      </c>
      <c r="N305" s="6" t="s">
        <v>683</v>
      </c>
      <c r="O305" s="90">
        <v>45296</v>
      </c>
      <c r="P305" s="33" t="str">
        <f>HYPERLINK("https://my.zakupivli.pro/remote/dispatcher/state_purchase_view/48207479", "UA-2024-01-08-000421-a")</f>
        <v>UA-2024-01-08-000421-a</v>
      </c>
      <c r="Q305" s="91">
        <v>161.96637999999999</v>
      </c>
      <c r="R305" s="91">
        <v>1</v>
      </c>
      <c r="S305" s="91">
        <v>161.96637999999999</v>
      </c>
      <c r="T305" s="90">
        <v>45299</v>
      </c>
      <c r="U305" s="91"/>
      <c r="V305" s="91" t="s">
        <v>59</v>
      </c>
    </row>
    <row r="306" spans="1:22" ht="62.4" x14ac:dyDescent="0.3">
      <c r="A306" s="91">
        <v>303</v>
      </c>
      <c r="B306" s="91" t="s">
        <v>40</v>
      </c>
      <c r="C306" s="44" t="s">
        <v>518</v>
      </c>
      <c r="D306" s="91"/>
      <c r="E306" s="92" t="s">
        <v>88</v>
      </c>
      <c r="F306" s="44" t="s">
        <v>684</v>
      </c>
      <c r="G306" s="91" t="s">
        <v>40</v>
      </c>
      <c r="H306" s="91">
        <v>180.30529999999999</v>
      </c>
      <c r="I306" s="91">
        <v>1</v>
      </c>
      <c r="J306" s="91">
        <v>180.30529999999999</v>
      </c>
      <c r="K306" s="91">
        <v>180.30529999999999</v>
      </c>
      <c r="L306" s="91">
        <v>1</v>
      </c>
      <c r="M306" s="91">
        <v>180.30529999999999</v>
      </c>
      <c r="N306" s="6" t="s">
        <v>687</v>
      </c>
      <c r="O306" s="90">
        <v>45289</v>
      </c>
      <c r="P306" s="33" t="str">
        <f>HYPERLINK("https://my.zakupivli.pro/remote/dispatcher/state_purchase_view/48220144", "UA-2024-01-08-005490-a")</f>
        <v>UA-2024-01-08-005490-a</v>
      </c>
      <c r="Q306" s="91">
        <v>180.30529999999999</v>
      </c>
      <c r="R306" s="91">
        <v>1</v>
      </c>
      <c r="S306" s="91">
        <v>180.30529999999999</v>
      </c>
      <c r="T306" s="90">
        <v>45299</v>
      </c>
      <c r="U306" s="91"/>
      <c r="V306" s="91" t="s">
        <v>59</v>
      </c>
    </row>
    <row r="307" spans="1:22" ht="62.4" x14ac:dyDescent="0.3">
      <c r="A307" s="91">
        <v>304</v>
      </c>
      <c r="B307" s="91" t="s">
        <v>40</v>
      </c>
      <c r="C307" s="44" t="s">
        <v>518</v>
      </c>
      <c r="D307" s="91"/>
      <c r="E307" s="92" t="s">
        <v>88</v>
      </c>
      <c r="F307" s="44" t="s">
        <v>685</v>
      </c>
      <c r="G307" s="91" t="s">
        <v>40</v>
      </c>
      <c r="H307" s="91">
        <v>43.111609999999999</v>
      </c>
      <c r="I307" s="91">
        <v>1</v>
      </c>
      <c r="J307" s="91">
        <v>43.111609999999999</v>
      </c>
      <c r="K307" s="91">
        <v>43.111609999999999</v>
      </c>
      <c r="L307" s="91">
        <v>1</v>
      </c>
      <c r="M307" s="91">
        <v>43.111609999999999</v>
      </c>
      <c r="N307" s="6" t="s">
        <v>688</v>
      </c>
      <c r="O307" s="90">
        <v>45289</v>
      </c>
      <c r="P307" s="33" t="str">
        <f>HYPERLINK("https://my.zakupivli.pro/remote/dispatcher/state_purchase_view/48217755", "UA-2024-01-08-004546-a")</f>
        <v>UA-2024-01-08-004546-a</v>
      </c>
      <c r="Q307" s="91">
        <v>43.111609999999999</v>
      </c>
      <c r="R307" s="91">
        <v>1</v>
      </c>
      <c r="S307" s="91">
        <v>43.111609999999999</v>
      </c>
      <c r="T307" s="90">
        <v>45299</v>
      </c>
      <c r="U307" s="91"/>
      <c r="V307" s="91" t="s">
        <v>59</v>
      </c>
    </row>
    <row r="308" spans="1:22" ht="62.4" x14ac:dyDescent="0.3">
      <c r="A308" s="91">
        <v>305</v>
      </c>
      <c r="B308" s="91" t="s">
        <v>40</v>
      </c>
      <c r="C308" s="44" t="s">
        <v>518</v>
      </c>
      <c r="D308" s="91"/>
      <c r="E308" s="92" t="s">
        <v>88</v>
      </c>
      <c r="F308" s="44" t="s">
        <v>686</v>
      </c>
      <c r="G308" s="91" t="s">
        <v>40</v>
      </c>
      <c r="H308" s="91">
        <v>152.07490999999999</v>
      </c>
      <c r="I308" s="91">
        <v>1</v>
      </c>
      <c r="J308" s="91">
        <v>152.07490999999999</v>
      </c>
      <c r="K308" s="91">
        <v>152.07490999999999</v>
      </c>
      <c r="L308" s="91">
        <v>1</v>
      </c>
      <c r="M308" s="91">
        <v>152.07490999999999</v>
      </c>
      <c r="N308" s="6" t="s">
        <v>689</v>
      </c>
      <c r="O308" s="90">
        <v>45289</v>
      </c>
      <c r="P308" s="33" t="str">
        <f>HYPERLINK("https://my.zakupivli.pro/remote/dispatcher/state_purchase_view/48216345", "UA-2024-01-08-003981-a")</f>
        <v>UA-2024-01-08-003981-a</v>
      </c>
      <c r="Q308" s="91">
        <v>152.07490999999999</v>
      </c>
      <c r="R308" s="91">
        <v>1</v>
      </c>
      <c r="S308" s="91">
        <v>152.07490999999999</v>
      </c>
      <c r="T308" s="90">
        <v>45299</v>
      </c>
      <c r="U308" s="91"/>
      <c r="V308" s="91" t="s">
        <v>59</v>
      </c>
    </row>
    <row r="309" spans="1:22" ht="62.4" x14ac:dyDescent="0.3">
      <c r="A309" s="91">
        <v>306</v>
      </c>
      <c r="B309" s="92" t="s">
        <v>21</v>
      </c>
      <c r="C309" s="96" t="s">
        <v>690</v>
      </c>
      <c r="D309" s="91"/>
      <c r="E309" s="92" t="s">
        <v>75</v>
      </c>
      <c r="F309" s="52" t="s">
        <v>63</v>
      </c>
      <c r="G309" s="92" t="s">
        <v>186</v>
      </c>
      <c r="H309" s="91"/>
      <c r="I309" s="91">
        <v>2</v>
      </c>
      <c r="J309" s="91">
        <v>82.954999999999998</v>
      </c>
      <c r="K309" s="91"/>
      <c r="L309" s="91">
        <v>2</v>
      </c>
      <c r="M309" s="92">
        <v>82.954999999999998</v>
      </c>
      <c r="N309" s="6" t="s">
        <v>691</v>
      </c>
      <c r="O309" s="90">
        <v>45302</v>
      </c>
      <c r="P309" s="42" t="str">
        <f>HYPERLINK("https://my.zakupivli.pro/remote/dispatcher/state_purchase_view/48292143", "UA-2024-01-11-008391-a")</f>
        <v>UA-2024-01-11-008391-a</v>
      </c>
      <c r="Q309" s="91"/>
      <c r="R309" s="91">
        <v>2</v>
      </c>
      <c r="S309" s="92">
        <v>82.954999999999998</v>
      </c>
      <c r="T309" s="90">
        <v>45302</v>
      </c>
      <c r="U309" s="91"/>
      <c r="V309" s="92" t="s">
        <v>59</v>
      </c>
    </row>
    <row r="310" spans="1:22" ht="78" x14ac:dyDescent="0.3">
      <c r="A310" s="91">
        <v>307</v>
      </c>
      <c r="B310" s="92" t="s">
        <v>40</v>
      </c>
      <c r="C310" s="44" t="s">
        <v>41</v>
      </c>
      <c r="D310" s="91"/>
      <c r="E310" s="91" t="s">
        <v>373</v>
      </c>
      <c r="F310" s="44" t="s">
        <v>692</v>
      </c>
      <c r="G310" s="92" t="s">
        <v>40</v>
      </c>
      <c r="H310" s="91">
        <v>91.408479999999997</v>
      </c>
      <c r="I310" s="92">
        <v>1</v>
      </c>
      <c r="J310" s="92">
        <v>91.408479999999997</v>
      </c>
      <c r="K310" s="92">
        <v>91.408479999999997</v>
      </c>
      <c r="L310" s="92">
        <v>1</v>
      </c>
      <c r="M310" s="92">
        <v>91.408479999999997</v>
      </c>
      <c r="N310" s="6" t="s">
        <v>694</v>
      </c>
      <c r="O310" s="90">
        <v>45303</v>
      </c>
      <c r="P310" s="33" t="str">
        <f>HYPERLINK("https://my.zakupivli.pro/remote/dispatcher/state_purchase_view/48324796", "UA-2024-01-12-010003-a")</f>
        <v>UA-2024-01-12-010003-a</v>
      </c>
      <c r="Q310" s="92">
        <v>91.408479999999997</v>
      </c>
      <c r="R310" s="92">
        <v>1</v>
      </c>
      <c r="S310" s="92">
        <v>91.408479999999997</v>
      </c>
      <c r="T310" s="93">
        <v>45303</v>
      </c>
      <c r="U310" s="91"/>
      <c r="V310" s="92" t="s">
        <v>59</v>
      </c>
    </row>
    <row r="311" spans="1:22" ht="78" x14ac:dyDescent="0.3">
      <c r="A311" s="91">
        <v>308</v>
      </c>
      <c r="B311" s="92" t="s">
        <v>40</v>
      </c>
      <c r="C311" s="44" t="s">
        <v>41</v>
      </c>
      <c r="D311" s="91"/>
      <c r="E311" s="92" t="s">
        <v>373</v>
      </c>
      <c r="F311" s="44" t="s">
        <v>693</v>
      </c>
      <c r="G311" s="92" t="s">
        <v>40</v>
      </c>
      <c r="H311" s="91">
        <v>99.077370000000002</v>
      </c>
      <c r="I311" s="92">
        <v>1</v>
      </c>
      <c r="J311" s="92">
        <v>99.077370000000002</v>
      </c>
      <c r="K311" s="92">
        <v>99.077370000000002</v>
      </c>
      <c r="L311" s="92">
        <v>1</v>
      </c>
      <c r="M311" s="92">
        <v>99.077370000000002</v>
      </c>
      <c r="N311" s="6" t="s">
        <v>695</v>
      </c>
      <c r="O311" s="93">
        <v>45303</v>
      </c>
      <c r="P311" s="33" t="str">
        <f>HYPERLINK("https://my.zakupivli.pro/remote/dispatcher/state_purchase_view/48324529", "UA-2024-01-12-009909-a")</f>
        <v>UA-2024-01-12-009909-a</v>
      </c>
      <c r="Q311" s="92">
        <v>99.077370000000002</v>
      </c>
      <c r="R311" s="92">
        <v>1</v>
      </c>
      <c r="S311" s="92">
        <v>99.077370000000002</v>
      </c>
      <c r="T311" s="93">
        <v>45303</v>
      </c>
      <c r="U311" s="91"/>
      <c r="V311" s="92" t="s">
        <v>59</v>
      </c>
    </row>
    <row r="312" spans="1:22" ht="62.4" x14ac:dyDescent="0.3">
      <c r="A312" s="94">
        <v>309</v>
      </c>
      <c r="B312" s="94" t="s">
        <v>21</v>
      </c>
      <c r="C312" s="100" t="s">
        <v>690</v>
      </c>
      <c r="D312" s="94"/>
      <c r="E312" s="94" t="s">
        <v>75</v>
      </c>
      <c r="F312" s="99" t="s">
        <v>696</v>
      </c>
      <c r="G312" s="94" t="s">
        <v>187</v>
      </c>
      <c r="H312" s="94"/>
      <c r="I312" s="94">
        <v>220</v>
      </c>
      <c r="J312" s="94">
        <v>276.04599999999999</v>
      </c>
      <c r="K312" s="94"/>
      <c r="L312" s="94">
        <v>220</v>
      </c>
      <c r="M312" s="94">
        <v>276.04599999999999</v>
      </c>
      <c r="N312" s="6" t="s">
        <v>697</v>
      </c>
      <c r="O312" s="95">
        <v>45303</v>
      </c>
      <c r="P312" s="33" t="str">
        <f>HYPERLINK("https://my.zakupivli.pro/remote/dispatcher/state_purchase_view/48328503", "UA-2024-01-13-000371-a")</f>
        <v>UA-2024-01-13-000371-a</v>
      </c>
      <c r="Q312" s="94"/>
      <c r="R312" s="94">
        <v>220</v>
      </c>
      <c r="S312" s="94">
        <v>276.04599999999999</v>
      </c>
      <c r="T312" s="95">
        <v>45303</v>
      </c>
      <c r="U312" s="94"/>
      <c r="V312" s="94" t="s">
        <v>59</v>
      </c>
    </row>
    <row r="313" spans="1:22" ht="62.4" x14ac:dyDescent="0.3">
      <c r="A313" s="94">
        <v>310</v>
      </c>
      <c r="B313" s="94" t="s">
        <v>21</v>
      </c>
      <c r="C313" s="100" t="s">
        <v>690</v>
      </c>
      <c r="D313" s="94"/>
      <c r="E313" s="94" t="s">
        <v>75</v>
      </c>
      <c r="F313" s="94" t="s">
        <v>698</v>
      </c>
      <c r="G313" s="94" t="s">
        <v>185</v>
      </c>
      <c r="H313" s="94"/>
      <c r="I313" s="94">
        <v>200</v>
      </c>
      <c r="J313" s="94">
        <v>1105</v>
      </c>
      <c r="K313" s="94"/>
      <c r="L313" s="94">
        <v>200</v>
      </c>
      <c r="M313" s="94">
        <v>1105</v>
      </c>
      <c r="N313" s="6" t="s">
        <v>699</v>
      </c>
      <c r="O313" s="95">
        <v>45303</v>
      </c>
      <c r="P313" s="33" t="str">
        <f>HYPERLINK("https://my.zakupivli.pro/remote/dispatcher/state_purchase_view/48328528", "UA-2024-01-13-000381-a")</f>
        <v>UA-2024-01-13-000381-a</v>
      </c>
      <c r="Q313" s="94"/>
      <c r="R313" s="94">
        <v>200</v>
      </c>
      <c r="S313" s="94">
        <v>1105</v>
      </c>
      <c r="T313" s="95">
        <v>45303</v>
      </c>
      <c r="U313" s="94"/>
      <c r="V313" s="94" t="s">
        <v>59</v>
      </c>
    </row>
    <row r="314" spans="1:22" ht="78" x14ac:dyDescent="0.3">
      <c r="A314" s="97">
        <v>311</v>
      </c>
      <c r="B314" s="97" t="s">
        <v>40</v>
      </c>
      <c r="C314" s="44" t="s">
        <v>73</v>
      </c>
      <c r="D314" s="97"/>
      <c r="E314" s="97" t="s">
        <v>75</v>
      </c>
      <c r="F314" s="44" t="s">
        <v>700</v>
      </c>
      <c r="G314" s="97" t="s">
        <v>40</v>
      </c>
      <c r="H314" s="97">
        <v>383.87344000000002</v>
      </c>
      <c r="I314" s="97">
        <v>1</v>
      </c>
      <c r="J314" s="97">
        <v>383.87344000000002</v>
      </c>
      <c r="K314" s="97">
        <v>383.87344000000002</v>
      </c>
      <c r="L314" s="97">
        <v>1</v>
      </c>
      <c r="M314" s="97">
        <v>383.87344000000002</v>
      </c>
      <c r="N314" s="6" t="s">
        <v>702</v>
      </c>
      <c r="O314" s="98">
        <v>45308</v>
      </c>
      <c r="P314" s="33" t="str">
        <f>HYPERLINK("https://my.zakupivli.pro/remote/dispatcher/state_purchase_view/48409874", "UA-2024-01-17-000623-a")</f>
        <v>UA-2024-01-17-000623-a</v>
      </c>
      <c r="Q314" s="97">
        <v>383.87344000000002</v>
      </c>
      <c r="R314" s="97">
        <v>1</v>
      </c>
      <c r="S314" s="97">
        <v>383.87344000000002</v>
      </c>
      <c r="T314" s="98">
        <v>45308</v>
      </c>
      <c r="U314" s="97"/>
      <c r="V314" s="97" t="s">
        <v>59</v>
      </c>
    </row>
    <row r="315" spans="1:22" ht="78" x14ac:dyDescent="0.3">
      <c r="A315" s="97">
        <v>312</v>
      </c>
      <c r="B315" s="97" t="s">
        <v>40</v>
      </c>
      <c r="C315" s="44" t="s">
        <v>73</v>
      </c>
      <c r="D315" s="97"/>
      <c r="E315" s="97" t="s">
        <v>75</v>
      </c>
      <c r="F315" s="44" t="s">
        <v>701</v>
      </c>
      <c r="G315" s="97" t="s">
        <v>40</v>
      </c>
      <c r="H315" s="97">
        <v>150.13192000000001</v>
      </c>
      <c r="I315" s="97">
        <v>1</v>
      </c>
      <c r="J315" s="97">
        <v>150.13192000000001</v>
      </c>
      <c r="K315" s="97">
        <v>150.13192000000001</v>
      </c>
      <c r="L315" s="97">
        <v>1</v>
      </c>
      <c r="M315" s="97">
        <v>150.13192000000001</v>
      </c>
      <c r="N315" s="6" t="s">
        <v>703</v>
      </c>
      <c r="O315" s="98">
        <v>45308</v>
      </c>
      <c r="P315" s="33" t="str">
        <f>HYPERLINK("https://my.zakupivli.pro/remote/dispatcher/state_purchase_view/48409206", "UA-2024-01-17-000372-a")</f>
        <v>UA-2024-01-17-000372-a</v>
      </c>
      <c r="Q315" s="97">
        <v>150.13192000000001</v>
      </c>
      <c r="R315" s="97">
        <v>1</v>
      </c>
      <c r="S315" s="97">
        <v>150.13192000000001</v>
      </c>
      <c r="T315" s="98">
        <v>45308</v>
      </c>
      <c r="U315" s="97"/>
      <c r="V315" s="97" t="s">
        <v>59</v>
      </c>
    </row>
    <row r="316" spans="1:22" ht="62.4" x14ac:dyDescent="0.3">
      <c r="A316" s="97">
        <v>313</v>
      </c>
      <c r="B316" s="97" t="s">
        <v>40</v>
      </c>
      <c r="C316" s="44" t="s">
        <v>73</v>
      </c>
      <c r="D316" s="97"/>
      <c r="E316" s="97" t="s">
        <v>75</v>
      </c>
      <c r="F316" s="44" t="s">
        <v>704</v>
      </c>
      <c r="G316" s="97" t="s">
        <v>40</v>
      </c>
      <c r="H316" s="97">
        <v>243.79064</v>
      </c>
      <c r="I316" s="97">
        <v>1</v>
      </c>
      <c r="J316" s="97">
        <v>243.79064</v>
      </c>
      <c r="K316" s="97">
        <v>243.79064</v>
      </c>
      <c r="L316" s="97">
        <v>1</v>
      </c>
      <c r="M316" s="97">
        <v>243.79064</v>
      </c>
      <c r="N316" s="6" t="s">
        <v>705</v>
      </c>
      <c r="O316" s="98">
        <v>45308</v>
      </c>
      <c r="P316" s="33" t="str">
        <f>HYPERLINK("https://my.zakupivli.pro/remote/dispatcher/state_purchase_view/48421027", "UA-2024-01-17-005247-a")</f>
        <v>UA-2024-01-17-005247-a</v>
      </c>
      <c r="Q316" s="97">
        <v>243.79064</v>
      </c>
      <c r="R316" s="97">
        <v>1</v>
      </c>
      <c r="S316" s="97">
        <v>243.79064</v>
      </c>
      <c r="T316" s="98">
        <v>45308</v>
      </c>
      <c r="U316" s="97"/>
      <c r="V316" s="97" t="s">
        <v>59</v>
      </c>
    </row>
    <row r="317" spans="1:22" ht="66" x14ac:dyDescent="0.3">
      <c r="A317" s="102">
        <v>314</v>
      </c>
      <c r="B317" s="102" t="s">
        <v>21</v>
      </c>
      <c r="C317" s="52" t="s">
        <v>176</v>
      </c>
      <c r="D317" s="102"/>
      <c r="E317" s="102" t="s">
        <v>88</v>
      </c>
      <c r="F317" s="85" t="s">
        <v>706</v>
      </c>
      <c r="G317" s="102" t="s">
        <v>186</v>
      </c>
      <c r="H317" s="102"/>
      <c r="I317" s="102">
        <v>9</v>
      </c>
      <c r="J317" s="102">
        <v>1715.4</v>
      </c>
      <c r="K317" s="102"/>
      <c r="L317" s="102">
        <v>9</v>
      </c>
      <c r="M317" s="102">
        <v>1715.4</v>
      </c>
      <c r="N317" s="6" t="s">
        <v>707</v>
      </c>
      <c r="O317" s="101">
        <v>45309</v>
      </c>
      <c r="P317" s="42" t="str">
        <f>HYPERLINK("https://my.zakupivli.pro/remote/dispatcher/state_purchase_view/48458403", "UA-2024-01-18-003325-a")</f>
        <v>UA-2024-01-18-003325-a</v>
      </c>
      <c r="Q317" s="102"/>
      <c r="R317" s="102">
        <v>9</v>
      </c>
      <c r="S317" s="102">
        <v>1715.4</v>
      </c>
      <c r="T317" s="101">
        <v>45329</v>
      </c>
      <c r="U317" s="102"/>
      <c r="V317" s="102"/>
    </row>
    <row r="318" spans="1:22" ht="62.4" x14ac:dyDescent="0.3">
      <c r="A318" s="102">
        <v>315</v>
      </c>
      <c r="B318" s="102" t="s">
        <v>21</v>
      </c>
      <c r="C318" s="44" t="s">
        <v>180</v>
      </c>
      <c r="D318" s="102"/>
      <c r="E318" s="102" t="s">
        <v>88</v>
      </c>
      <c r="F318" s="44" t="s">
        <v>708</v>
      </c>
      <c r="G318" s="102" t="s">
        <v>186</v>
      </c>
      <c r="H318" s="102"/>
      <c r="I318" s="102">
        <v>5</v>
      </c>
      <c r="J318" s="102">
        <v>2859.8616699999998</v>
      </c>
      <c r="K318" s="102"/>
      <c r="L318" s="102">
        <v>5</v>
      </c>
      <c r="M318" s="102">
        <v>2859.8616699999998</v>
      </c>
      <c r="N318" s="6" t="s">
        <v>709</v>
      </c>
      <c r="O318" s="101">
        <v>45309</v>
      </c>
      <c r="P318" s="33" t="str">
        <f>HYPERLINK("https://my.zakupivli.pro/remote/dispatcher/state_purchase_view/48459128", "UA-2024-01-18-003702-a")</f>
        <v>UA-2024-01-18-003702-a</v>
      </c>
      <c r="Q318" s="102"/>
      <c r="R318" s="102">
        <v>5</v>
      </c>
      <c r="S318" s="102">
        <v>2537.36</v>
      </c>
      <c r="T318" s="101">
        <v>45336</v>
      </c>
      <c r="U318" s="102"/>
      <c r="V318" s="102"/>
    </row>
    <row r="319" spans="1:22" ht="78" x14ac:dyDescent="0.3">
      <c r="A319" s="102">
        <v>316</v>
      </c>
      <c r="B319" s="102" t="s">
        <v>21</v>
      </c>
      <c r="C319" s="41" t="s">
        <v>87</v>
      </c>
      <c r="D319" s="102"/>
      <c r="E319" s="102" t="s">
        <v>88</v>
      </c>
      <c r="F319" s="41" t="s">
        <v>710</v>
      </c>
      <c r="G319" s="102" t="s">
        <v>185</v>
      </c>
      <c r="H319" s="102"/>
      <c r="I319" s="102">
        <v>2</v>
      </c>
      <c r="J319" s="102">
        <v>8058.34</v>
      </c>
      <c r="K319" s="102"/>
      <c r="L319" s="102">
        <v>2</v>
      </c>
      <c r="M319" s="102">
        <v>8058.34</v>
      </c>
      <c r="N319" s="6" t="s">
        <v>711</v>
      </c>
      <c r="O319" s="101">
        <v>45309</v>
      </c>
      <c r="P319" s="42" t="str">
        <f>HYPERLINK("https://my.zakupivli.pro/remote/dispatcher/state_purchase_view/48459984", "UA-2024-01-18-004061-a")</f>
        <v>UA-2024-01-18-004061-a</v>
      </c>
      <c r="Q319" s="102">
        <v>8057.5</v>
      </c>
      <c r="R319" s="102">
        <v>2</v>
      </c>
      <c r="S319" s="125">
        <v>8057.5</v>
      </c>
      <c r="T319" s="101">
        <v>45328</v>
      </c>
      <c r="U319" s="102"/>
      <c r="V319" s="102"/>
    </row>
    <row r="320" spans="1:22" ht="78" x14ac:dyDescent="0.3">
      <c r="A320" s="102">
        <v>317</v>
      </c>
      <c r="B320" s="102" t="s">
        <v>21</v>
      </c>
      <c r="C320" s="44" t="s">
        <v>713</v>
      </c>
      <c r="D320" s="102"/>
      <c r="E320" s="102" t="s">
        <v>88</v>
      </c>
      <c r="F320" s="44" t="s">
        <v>712</v>
      </c>
      <c r="G320" s="102" t="s">
        <v>185</v>
      </c>
      <c r="H320" s="102"/>
      <c r="I320" s="102">
        <v>5</v>
      </c>
      <c r="J320" s="102">
        <v>6031.25</v>
      </c>
      <c r="K320" s="102"/>
      <c r="L320" s="102">
        <v>5</v>
      </c>
      <c r="M320" s="102">
        <v>6031.25</v>
      </c>
      <c r="N320" s="6" t="s">
        <v>714</v>
      </c>
      <c r="O320" s="101">
        <v>45309</v>
      </c>
      <c r="P320" s="33" t="str">
        <f>HYPERLINK("https://my.zakupivli.pro/remote/dispatcher/state_purchase_view/48461006", "UA-2024-01-18-004549-a")</f>
        <v>UA-2024-01-18-004549-a</v>
      </c>
      <c r="Q320" s="102"/>
      <c r="R320" s="102">
        <v>5</v>
      </c>
      <c r="S320" s="119">
        <v>5250</v>
      </c>
      <c r="T320" s="101">
        <v>45330</v>
      </c>
      <c r="U320" s="102"/>
      <c r="V320" s="102"/>
    </row>
    <row r="321" spans="1:22" ht="78" x14ac:dyDescent="0.3">
      <c r="A321" s="102">
        <v>318</v>
      </c>
      <c r="B321" s="102" t="s">
        <v>21</v>
      </c>
      <c r="C321" s="41" t="s">
        <v>413</v>
      </c>
      <c r="D321" s="102"/>
      <c r="E321" s="102" t="s">
        <v>88</v>
      </c>
      <c r="F321" s="41" t="s">
        <v>715</v>
      </c>
      <c r="G321" s="102" t="s">
        <v>187</v>
      </c>
      <c r="H321" s="102">
        <v>470.47</v>
      </c>
      <c r="I321" s="102">
        <v>1</v>
      </c>
      <c r="J321" s="102">
        <v>470.47</v>
      </c>
      <c r="K321" s="102">
        <v>470.47</v>
      </c>
      <c r="L321" s="102">
        <v>1</v>
      </c>
      <c r="M321" s="102">
        <v>470.47</v>
      </c>
      <c r="N321" s="6" t="s">
        <v>716</v>
      </c>
      <c r="O321" s="101">
        <v>45309</v>
      </c>
      <c r="P321" s="33" t="str">
        <f>HYPERLINK("https://my.zakupivli.pro/remote/dispatcher/state_purchase_view/48469762", "UA-2024-01-18-008225-a")</f>
        <v>UA-2024-01-18-008225-a</v>
      </c>
      <c r="Q321" s="102">
        <v>467.92099999999999</v>
      </c>
      <c r="R321" s="102">
        <v>1</v>
      </c>
      <c r="S321" s="125">
        <v>467.92099999999999</v>
      </c>
      <c r="T321" s="101">
        <v>45324</v>
      </c>
      <c r="U321" s="102"/>
      <c r="V321" s="102"/>
    </row>
    <row r="322" spans="1:22" ht="78" x14ac:dyDescent="0.3">
      <c r="A322" s="102">
        <v>319</v>
      </c>
      <c r="B322" s="102" t="s">
        <v>21</v>
      </c>
      <c r="C322" s="44" t="s">
        <v>32</v>
      </c>
      <c r="D322" s="102"/>
      <c r="E322" s="102" t="s">
        <v>88</v>
      </c>
      <c r="F322" s="44" t="s">
        <v>717</v>
      </c>
      <c r="G322" s="102" t="s">
        <v>185</v>
      </c>
      <c r="H322" s="102"/>
      <c r="I322" s="102">
        <v>126</v>
      </c>
      <c r="J322" s="102">
        <v>102.54</v>
      </c>
      <c r="K322" s="102"/>
      <c r="L322" s="102">
        <v>126</v>
      </c>
      <c r="M322" s="102">
        <v>102.54</v>
      </c>
      <c r="N322" s="6" t="s">
        <v>718</v>
      </c>
      <c r="O322" s="101">
        <v>45309</v>
      </c>
      <c r="P322" s="33" t="str">
        <f>HYPERLINK("https://my.zakupivli.pro/remote/dispatcher/state_purchase_view/48479304", "UA-2024-01-18-012259-a")</f>
        <v>UA-2024-01-18-012259-a</v>
      </c>
      <c r="Q322" s="102">
        <v>101.925</v>
      </c>
      <c r="R322" s="102">
        <v>126</v>
      </c>
      <c r="S322" s="125">
        <v>101.925</v>
      </c>
      <c r="T322" s="101">
        <v>45324</v>
      </c>
      <c r="U322" s="102"/>
      <c r="V322" s="102"/>
    </row>
    <row r="323" spans="1:22" ht="93.6" x14ac:dyDescent="0.3">
      <c r="A323" s="102">
        <v>320</v>
      </c>
      <c r="B323" s="102" t="s">
        <v>21</v>
      </c>
      <c r="C323" s="44" t="s">
        <v>87</v>
      </c>
      <c r="D323" s="102"/>
      <c r="E323" s="102" t="s">
        <v>88</v>
      </c>
      <c r="F323" s="41" t="s">
        <v>719</v>
      </c>
      <c r="G323" s="102" t="s">
        <v>185</v>
      </c>
      <c r="H323" s="102">
        <v>8029.17</v>
      </c>
      <c r="I323" s="102">
        <v>1</v>
      </c>
      <c r="J323" s="102">
        <v>8029.17</v>
      </c>
      <c r="K323" s="102">
        <v>8029.17</v>
      </c>
      <c r="L323" s="102">
        <v>1</v>
      </c>
      <c r="M323" s="102">
        <v>8029.17</v>
      </c>
      <c r="N323" s="6" t="s">
        <v>720</v>
      </c>
      <c r="O323" s="101">
        <v>45309</v>
      </c>
      <c r="P323" s="33" t="str">
        <f>HYPERLINK("https://my.zakupivli.pro/remote/dispatcher/state_purchase_view/48484797", "UA-2024-01-18-014724-a")</f>
        <v>UA-2024-01-18-014724-a</v>
      </c>
      <c r="Q323" s="102">
        <v>7996.75</v>
      </c>
      <c r="R323" s="102">
        <v>1</v>
      </c>
      <c r="S323" s="125">
        <v>7996.75</v>
      </c>
      <c r="T323" s="101">
        <v>45328</v>
      </c>
      <c r="U323" s="102"/>
      <c r="V323" s="102"/>
    </row>
    <row r="324" spans="1:22" ht="78" x14ac:dyDescent="0.3">
      <c r="A324" s="102">
        <v>321</v>
      </c>
      <c r="B324" s="102" t="s">
        <v>21</v>
      </c>
      <c r="C324" s="44" t="s">
        <v>87</v>
      </c>
      <c r="D324" s="102"/>
      <c r="E324" s="102" t="s">
        <v>88</v>
      </c>
      <c r="F324" s="44" t="s">
        <v>721</v>
      </c>
      <c r="G324" s="102" t="s">
        <v>185</v>
      </c>
      <c r="H324" s="102"/>
      <c r="I324" s="102">
        <v>2</v>
      </c>
      <c r="J324" s="89">
        <v>2846</v>
      </c>
      <c r="K324" s="102"/>
      <c r="L324" s="102">
        <v>2</v>
      </c>
      <c r="M324" s="89">
        <v>2846</v>
      </c>
      <c r="N324" s="6" t="s">
        <v>722</v>
      </c>
      <c r="O324" s="101">
        <v>45309</v>
      </c>
      <c r="P324" s="33" t="str">
        <f>HYPERLINK("https://my.zakupivli.pro/remote/dispatcher/state_purchase_view/48486803", "UA-2024-01-18-015585-a")</f>
        <v>UA-2024-01-18-015585-a</v>
      </c>
      <c r="Q324" s="102"/>
      <c r="R324" s="102">
        <v>2</v>
      </c>
      <c r="S324" s="119">
        <v>2845</v>
      </c>
      <c r="T324" s="101">
        <v>45336</v>
      </c>
      <c r="U324" s="102"/>
      <c r="V324" s="102"/>
    </row>
    <row r="325" spans="1:22" ht="78" x14ac:dyDescent="0.3">
      <c r="A325" s="102">
        <v>322</v>
      </c>
      <c r="B325" s="102" t="s">
        <v>40</v>
      </c>
      <c r="C325" s="44" t="s">
        <v>41</v>
      </c>
      <c r="D325" s="102"/>
      <c r="E325" s="102" t="s">
        <v>88</v>
      </c>
      <c r="F325" s="44" t="s">
        <v>723</v>
      </c>
      <c r="G325" s="102" t="s">
        <v>184</v>
      </c>
      <c r="H325" s="146">
        <v>17947.93</v>
      </c>
      <c r="I325" s="102">
        <v>1</v>
      </c>
      <c r="J325" s="102">
        <v>17947.93</v>
      </c>
      <c r="K325" s="146">
        <v>17947.93</v>
      </c>
      <c r="L325" s="102">
        <v>1</v>
      </c>
      <c r="M325" s="102">
        <v>17947.93</v>
      </c>
      <c r="N325" s="6" t="s">
        <v>724</v>
      </c>
      <c r="O325" s="101">
        <v>45309</v>
      </c>
      <c r="P325" s="33" t="str">
        <f>HYPERLINK("https://my.zakupivli.pro/remote/dispatcher/state_purchase_view/48486096", "UA-2024-01-18-015306-a")</f>
        <v>UA-2024-01-18-015306-a</v>
      </c>
      <c r="Q325" s="146">
        <v>17719.197950000002</v>
      </c>
      <c r="R325" s="102">
        <v>1</v>
      </c>
      <c r="S325" s="102">
        <v>17719.197950000002</v>
      </c>
      <c r="T325" s="101">
        <v>45342</v>
      </c>
      <c r="U325" s="102"/>
      <c r="V325" s="102"/>
    </row>
    <row r="326" spans="1:22" ht="78" x14ac:dyDescent="0.3">
      <c r="A326" s="102">
        <v>323</v>
      </c>
      <c r="B326" s="102" t="s">
        <v>40</v>
      </c>
      <c r="C326" s="44" t="s">
        <v>41</v>
      </c>
      <c r="D326" s="102"/>
      <c r="E326" s="102" t="s">
        <v>88</v>
      </c>
      <c r="F326" s="44" t="s">
        <v>725</v>
      </c>
      <c r="G326" s="102" t="s">
        <v>184</v>
      </c>
      <c r="H326" s="146">
        <v>20715.400000000001</v>
      </c>
      <c r="I326" s="102">
        <v>1</v>
      </c>
      <c r="J326" s="102">
        <v>20715.400000000001</v>
      </c>
      <c r="K326" s="146">
        <v>20715.400000000001</v>
      </c>
      <c r="L326" s="102">
        <v>1</v>
      </c>
      <c r="M326" s="102">
        <v>20715.400000000001</v>
      </c>
      <c r="N326" s="6" t="s">
        <v>726</v>
      </c>
      <c r="O326" s="101">
        <v>45309</v>
      </c>
      <c r="P326" s="33" t="str">
        <f>HYPERLINK("https://my.zakupivli.pro/remote/dispatcher/state_purchase_view/48488090", "UA-2024-01-18-016148-a")</f>
        <v>UA-2024-01-18-016148-a</v>
      </c>
      <c r="Q326" s="102">
        <v>20706.904699999999</v>
      </c>
      <c r="R326" s="102">
        <v>1</v>
      </c>
      <c r="S326" s="146">
        <v>20706.904699999999</v>
      </c>
      <c r="T326" s="101">
        <v>45345</v>
      </c>
      <c r="U326" s="102"/>
      <c r="V326" s="102"/>
    </row>
    <row r="327" spans="1:22" ht="78" x14ac:dyDescent="0.3">
      <c r="A327" s="102">
        <v>324</v>
      </c>
      <c r="B327" s="102" t="s">
        <v>40</v>
      </c>
      <c r="C327" s="44" t="s">
        <v>41</v>
      </c>
      <c r="D327" s="102"/>
      <c r="E327" s="102" t="s">
        <v>88</v>
      </c>
      <c r="F327" s="44" t="s">
        <v>727</v>
      </c>
      <c r="G327" s="102" t="s">
        <v>184</v>
      </c>
      <c r="H327" s="146">
        <v>21357.49</v>
      </c>
      <c r="I327" s="102">
        <v>1</v>
      </c>
      <c r="J327" s="102">
        <v>21357.49</v>
      </c>
      <c r="K327" s="146">
        <v>21357.49</v>
      </c>
      <c r="L327" s="102">
        <v>1</v>
      </c>
      <c r="M327" s="102">
        <v>21357.49</v>
      </c>
      <c r="N327" s="6" t="s">
        <v>728</v>
      </c>
      <c r="O327" s="101">
        <v>45309</v>
      </c>
      <c r="P327" s="42" t="str">
        <f>HYPERLINK("https://my.zakupivli.pro/remote/dispatcher/state_purchase_view/48492237", "UA-2024-01-19-000255-a")</f>
        <v>UA-2024-01-19-000255-a</v>
      </c>
      <c r="Q327" s="102">
        <v>21344.765879999999</v>
      </c>
      <c r="R327" s="102">
        <v>1</v>
      </c>
      <c r="S327" s="146">
        <v>21344.765879999999</v>
      </c>
      <c r="T327" s="101">
        <v>45342</v>
      </c>
      <c r="U327" s="102"/>
      <c r="V327" s="102"/>
    </row>
    <row r="328" spans="1:22" ht="62.4" x14ac:dyDescent="0.3">
      <c r="A328" s="102">
        <v>325</v>
      </c>
      <c r="B328" s="103" t="s">
        <v>21</v>
      </c>
      <c r="C328" s="44" t="s">
        <v>733</v>
      </c>
      <c r="D328" s="102"/>
      <c r="E328" s="103" t="s">
        <v>75</v>
      </c>
      <c r="F328" s="44" t="s">
        <v>729</v>
      </c>
      <c r="G328" s="107" t="s">
        <v>186</v>
      </c>
      <c r="H328" s="102"/>
      <c r="I328" s="102">
        <v>5</v>
      </c>
      <c r="J328" s="102">
        <v>75.2</v>
      </c>
      <c r="K328" s="102"/>
      <c r="L328" s="102">
        <v>5</v>
      </c>
      <c r="M328" s="103">
        <v>75.2</v>
      </c>
      <c r="N328" s="6" t="s">
        <v>736</v>
      </c>
      <c r="O328" s="101">
        <v>45313</v>
      </c>
      <c r="P328" s="33" t="str">
        <f>HYPERLINK("https://my.zakupivli.pro/remote/dispatcher/state_purchase_view/48567018", "UA-2024-01-22-014388-a")</f>
        <v>UA-2024-01-22-014388-a</v>
      </c>
      <c r="Q328" s="102"/>
      <c r="R328" s="102">
        <v>5</v>
      </c>
      <c r="S328" s="103">
        <v>75.2</v>
      </c>
      <c r="T328" s="104">
        <v>45313</v>
      </c>
      <c r="U328" s="102"/>
      <c r="V328" s="103" t="s">
        <v>59</v>
      </c>
    </row>
    <row r="329" spans="1:22" ht="124.8" x14ac:dyDescent="0.3">
      <c r="A329" s="102">
        <v>326</v>
      </c>
      <c r="B329" s="103" t="s">
        <v>21</v>
      </c>
      <c r="C329" s="44" t="s">
        <v>36</v>
      </c>
      <c r="D329" s="102"/>
      <c r="E329" s="103" t="s">
        <v>75</v>
      </c>
      <c r="F329" s="44" t="s">
        <v>730</v>
      </c>
      <c r="G329" s="107" t="s">
        <v>185</v>
      </c>
      <c r="H329" s="102">
        <v>5.5250000000000004</v>
      </c>
      <c r="I329" s="102">
        <v>170</v>
      </c>
      <c r="J329" s="102">
        <v>939.25</v>
      </c>
      <c r="K329" s="103">
        <v>5.5250000000000004</v>
      </c>
      <c r="L329" s="103">
        <v>170</v>
      </c>
      <c r="M329" s="103">
        <v>939.25</v>
      </c>
      <c r="N329" s="6" t="s">
        <v>737</v>
      </c>
      <c r="O329" s="104">
        <v>45313</v>
      </c>
      <c r="P329" s="33" t="str">
        <f>HYPERLINK("https://my.zakupivli.pro/remote/dispatcher/state_purchase_view/48555711", "UA-2024-01-22-009491-a")</f>
        <v>UA-2024-01-22-009491-a</v>
      </c>
      <c r="Q329" s="103">
        <v>5.5250000000000004</v>
      </c>
      <c r="R329" s="103">
        <v>170</v>
      </c>
      <c r="S329" s="103">
        <v>939.25</v>
      </c>
      <c r="T329" s="104">
        <v>45313</v>
      </c>
      <c r="U329" s="102"/>
      <c r="V329" s="103" t="s">
        <v>59</v>
      </c>
    </row>
    <row r="330" spans="1:22" ht="62.4" x14ac:dyDescent="0.3">
      <c r="A330" s="103">
        <v>327</v>
      </c>
      <c r="B330" s="103" t="s">
        <v>21</v>
      </c>
      <c r="C330" s="44" t="s">
        <v>734</v>
      </c>
      <c r="D330" s="103"/>
      <c r="E330" s="103" t="s">
        <v>75</v>
      </c>
      <c r="F330" s="44" t="s">
        <v>731</v>
      </c>
      <c r="G330" s="103" t="s">
        <v>738</v>
      </c>
      <c r="H330" s="103">
        <v>0.39800000000000002</v>
      </c>
      <c r="I330" s="103">
        <v>168</v>
      </c>
      <c r="J330" s="103">
        <v>66.864000000000004</v>
      </c>
      <c r="K330" s="103">
        <v>0.39800000000000002</v>
      </c>
      <c r="L330" s="103">
        <v>168</v>
      </c>
      <c r="M330" s="103">
        <v>66.864000000000004</v>
      </c>
      <c r="N330" s="6" t="s">
        <v>739</v>
      </c>
      <c r="O330" s="104">
        <v>45313</v>
      </c>
      <c r="P330" s="33" t="str">
        <f>HYPERLINK("https://my.zakupivli.pro/remote/dispatcher/state_purchase_view/48552651", "UA-2024-01-22-008156-a")</f>
        <v>UA-2024-01-22-008156-a</v>
      </c>
      <c r="Q330" s="103">
        <v>0.39800000000000002</v>
      </c>
      <c r="R330" s="103">
        <v>168</v>
      </c>
      <c r="S330" s="103">
        <v>66.864000000000004</v>
      </c>
      <c r="T330" s="104">
        <v>45313</v>
      </c>
      <c r="U330" s="103"/>
      <c r="V330" s="103" t="s">
        <v>59</v>
      </c>
    </row>
    <row r="331" spans="1:22" ht="62.4" x14ac:dyDescent="0.3">
      <c r="A331" s="103">
        <v>328</v>
      </c>
      <c r="B331" s="103" t="s">
        <v>21</v>
      </c>
      <c r="C331" s="44" t="s">
        <v>735</v>
      </c>
      <c r="D331" s="103"/>
      <c r="E331" s="103" t="s">
        <v>75</v>
      </c>
      <c r="F331" s="44" t="s">
        <v>732</v>
      </c>
      <c r="G331" s="103" t="s">
        <v>185</v>
      </c>
      <c r="H331" s="103">
        <v>9.1739999999999995</v>
      </c>
      <c r="I331" s="103">
        <v>8</v>
      </c>
      <c r="J331" s="103">
        <v>73.391999999999996</v>
      </c>
      <c r="K331" s="103">
        <v>9.1739999999999995</v>
      </c>
      <c r="L331" s="103">
        <v>8</v>
      </c>
      <c r="M331" s="103">
        <v>73.391999999999996</v>
      </c>
      <c r="N331" s="6" t="s">
        <v>740</v>
      </c>
      <c r="O331" s="104">
        <v>45313</v>
      </c>
      <c r="P331" s="33" t="str">
        <f>HYPERLINK("https://my.zakupivli.pro/remote/dispatcher/state_purchase_view/48552028", "UA-2024-01-22-007945-a")</f>
        <v>UA-2024-01-22-007945-a</v>
      </c>
      <c r="Q331" s="103">
        <v>9.1739999999999995</v>
      </c>
      <c r="R331" s="103">
        <v>8</v>
      </c>
      <c r="S331" s="103">
        <v>73.391999999999996</v>
      </c>
      <c r="T331" s="104">
        <v>45313</v>
      </c>
      <c r="U331" s="103"/>
      <c r="V331" s="103" t="s">
        <v>59</v>
      </c>
    </row>
    <row r="332" spans="1:22" ht="62.4" x14ac:dyDescent="0.3">
      <c r="A332" s="105">
        <v>329</v>
      </c>
      <c r="B332" s="105" t="s">
        <v>40</v>
      </c>
      <c r="C332" s="41" t="s">
        <v>41</v>
      </c>
      <c r="D332" s="105"/>
      <c r="E332" s="105" t="s">
        <v>88</v>
      </c>
      <c r="F332" s="44" t="s">
        <v>741</v>
      </c>
      <c r="G332" s="105" t="s">
        <v>184</v>
      </c>
      <c r="H332" s="105">
        <v>408.37324000000001</v>
      </c>
      <c r="I332" s="105">
        <v>1</v>
      </c>
      <c r="J332" s="105">
        <v>408.37324000000001</v>
      </c>
      <c r="K332" s="105">
        <v>408.37324000000001</v>
      </c>
      <c r="L332" s="105">
        <v>1</v>
      </c>
      <c r="M332" s="105">
        <v>408.37324000000001</v>
      </c>
      <c r="N332" s="6" t="s">
        <v>742</v>
      </c>
      <c r="O332" s="106">
        <v>45314</v>
      </c>
      <c r="P332" s="42" t="str">
        <f>HYPERLINK("https://my.zakupivli.pro/remote/dispatcher/state_purchase_view/48603959", "UA-2024-01-23-013208-a")</f>
        <v>UA-2024-01-23-013208-a</v>
      </c>
      <c r="Q332" s="105">
        <v>408.37324000000001</v>
      </c>
      <c r="R332" s="105">
        <v>1</v>
      </c>
      <c r="S332" s="105">
        <v>408.37324000000001</v>
      </c>
      <c r="T332" s="106">
        <v>45314</v>
      </c>
      <c r="U332" s="105"/>
      <c r="V332" s="105" t="s">
        <v>59</v>
      </c>
    </row>
    <row r="333" spans="1:22" ht="31.2" x14ac:dyDescent="0.3">
      <c r="A333" s="105">
        <v>330</v>
      </c>
      <c r="B333" s="105" t="s">
        <v>21</v>
      </c>
      <c r="C333" s="44" t="s">
        <v>36</v>
      </c>
      <c r="D333" s="112" t="s">
        <v>58</v>
      </c>
      <c r="E333" s="105" t="s">
        <v>75</v>
      </c>
      <c r="F333" s="44" t="s">
        <v>743</v>
      </c>
      <c r="G333" s="105" t="s">
        <v>186</v>
      </c>
      <c r="I333" s="105">
        <v>134</v>
      </c>
      <c r="J333" s="105">
        <v>11125</v>
      </c>
      <c r="K333" s="105"/>
      <c r="L333" s="105">
        <v>134</v>
      </c>
      <c r="M333" s="105">
        <v>11125</v>
      </c>
      <c r="N333" s="6" t="s">
        <v>748</v>
      </c>
      <c r="O333" s="106">
        <v>45314</v>
      </c>
      <c r="P333" s="33" t="str">
        <f>HYPERLINK("https://my.zakupivli.pro/remote/dispatcher/state_purchase_view/48579121", "UA-2024-01-23-002308-a")</f>
        <v>UA-2024-01-23-002308-a</v>
      </c>
      <c r="Q333" s="105"/>
      <c r="R333" s="105">
        <v>134</v>
      </c>
      <c r="S333" s="105">
        <v>10885.87895</v>
      </c>
      <c r="T333" s="106">
        <v>45343</v>
      </c>
      <c r="U333" s="105"/>
      <c r="V333" s="105"/>
    </row>
    <row r="334" spans="1:22" ht="78" x14ac:dyDescent="0.3">
      <c r="A334" s="105">
        <v>331</v>
      </c>
      <c r="B334" s="105" t="s">
        <v>21</v>
      </c>
      <c r="C334" s="44" t="s">
        <v>36</v>
      </c>
      <c r="D334" s="112" t="s">
        <v>58</v>
      </c>
      <c r="E334" s="105" t="s">
        <v>75</v>
      </c>
      <c r="F334" s="44" t="s">
        <v>744</v>
      </c>
      <c r="G334" s="105" t="s">
        <v>186</v>
      </c>
      <c r="H334" s="105"/>
      <c r="I334" s="105">
        <v>9</v>
      </c>
      <c r="J334" s="105">
        <v>1481.752</v>
      </c>
      <c r="K334" s="105"/>
      <c r="L334" s="105">
        <v>9</v>
      </c>
      <c r="M334" s="105">
        <v>1481.752</v>
      </c>
      <c r="N334" s="6" t="s">
        <v>748</v>
      </c>
      <c r="O334" s="106">
        <v>45314</v>
      </c>
      <c r="P334" s="33" t="str">
        <f>HYPERLINK("https://my.zakupivli.pro/remote/dispatcher/state_purchase_view/48579121", "UA-2024-01-23-002308-a")</f>
        <v>UA-2024-01-23-002308-a</v>
      </c>
      <c r="Q334" s="105"/>
      <c r="R334" s="105"/>
      <c r="S334" s="105"/>
      <c r="T334" s="106"/>
      <c r="U334" s="146" t="s">
        <v>93</v>
      </c>
      <c r="V334" s="105"/>
    </row>
    <row r="335" spans="1:22" ht="31.2" x14ac:dyDescent="0.3">
      <c r="A335" s="105">
        <v>332</v>
      </c>
      <c r="B335" s="105" t="s">
        <v>21</v>
      </c>
      <c r="C335" s="44" t="s">
        <v>36</v>
      </c>
      <c r="D335" s="112" t="s">
        <v>58</v>
      </c>
      <c r="E335" s="105" t="s">
        <v>373</v>
      </c>
      <c r="F335" s="44" t="s">
        <v>745</v>
      </c>
      <c r="G335" s="105" t="s">
        <v>186</v>
      </c>
      <c r="H335" s="105"/>
      <c r="I335" s="105">
        <v>2</v>
      </c>
      <c r="J335" s="105">
        <v>14787.21666</v>
      </c>
      <c r="K335" s="105"/>
      <c r="L335" s="105">
        <v>2</v>
      </c>
      <c r="M335" s="105">
        <v>14787.21666</v>
      </c>
      <c r="N335" s="6" t="s">
        <v>748</v>
      </c>
      <c r="O335" s="106">
        <v>45314</v>
      </c>
      <c r="P335" s="33" t="str">
        <f>HYPERLINK("https://my.zakupivli.pro/remote/dispatcher/state_purchase_view/48579121", "UA-2024-01-23-002308-a")</f>
        <v>UA-2024-01-23-002308-a</v>
      </c>
      <c r="Q335" s="105"/>
      <c r="R335" s="105">
        <v>2</v>
      </c>
      <c r="S335" s="105">
        <v>10904.4</v>
      </c>
      <c r="T335" s="106">
        <v>45343</v>
      </c>
      <c r="U335" s="105"/>
      <c r="V335" s="105"/>
    </row>
    <row r="336" spans="1:22" ht="31.2" x14ac:dyDescent="0.3">
      <c r="A336" s="105">
        <v>333</v>
      </c>
      <c r="B336" s="105" t="s">
        <v>21</v>
      </c>
      <c r="C336" s="44" t="s">
        <v>36</v>
      </c>
      <c r="D336" s="112" t="s">
        <v>58</v>
      </c>
      <c r="E336" s="105" t="s">
        <v>75</v>
      </c>
      <c r="F336" s="44" t="s">
        <v>746</v>
      </c>
      <c r="G336" s="105" t="s">
        <v>186</v>
      </c>
      <c r="H336" s="105"/>
      <c r="I336" s="105">
        <v>2</v>
      </c>
      <c r="J336" s="105">
        <v>267.56599999999997</v>
      </c>
      <c r="K336" s="105"/>
      <c r="L336" s="105">
        <v>2</v>
      </c>
      <c r="M336" s="105">
        <v>267.56599999999997</v>
      </c>
      <c r="N336" s="6" t="s">
        <v>748</v>
      </c>
      <c r="O336" s="106">
        <v>45314</v>
      </c>
      <c r="P336" s="33" t="str">
        <f>HYPERLINK("https://my.zakupivli.pro/remote/dispatcher/state_purchase_view/48579121", "UA-2024-01-23-002308-a")</f>
        <v>UA-2024-01-23-002308-a</v>
      </c>
      <c r="Q336" s="105"/>
      <c r="R336" s="105">
        <v>2</v>
      </c>
      <c r="S336" s="105">
        <v>243.166</v>
      </c>
      <c r="T336" s="106">
        <v>45343</v>
      </c>
      <c r="U336" s="105"/>
      <c r="V336" s="105"/>
    </row>
    <row r="337" spans="1:22" ht="31.2" x14ac:dyDescent="0.3">
      <c r="A337" s="105">
        <v>334</v>
      </c>
      <c r="B337" s="105" t="s">
        <v>21</v>
      </c>
      <c r="C337" s="44" t="s">
        <v>36</v>
      </c>
      <c r="D337" s="112" t="s">
        <v>58</v>
      </c>
      <c r="E337" s="105" t="s">
        <v>75</v>
      </c>
      <c r="F337" s="44" t="s">
        <v>747</v>
      </c>
      <c r="G337" s="105" t="s">
        <v>186</v>
      </c>
      <c r="H337" s="105"/>
      <c r="I337" s="105">
        <v>3</v>
      </c>
      <c r="J337" s="105">
        <v>3913.74</v>
      </c>
      <c r="K337" s="105"/>
      <c r="L337" s="105">
        <v>3</v>
      </c>
      <c r="M337" s="105">
        <v>3913.74</v>
      </c>
      <c r="N337" s="6" t="s">
        <v>748</v>
      </c>
      <c r="O337" s="106">
        <v>45314</v>
      </c>
      <c r="P337" s="33" t="str">
        <f>HYPERLINK("https://my.zakupivli.pro/remote/dispatcher/state_purchase_view/48579121", "UA-2024-01-23-002308-a")</f>
        <v>UA-2024-01-23-002308-a</v>
      </c>
      <c r="Q337" s="105"/>
      <c r="R337" s="105">
        <v>3</v>
      </c>
      <c r="S337" s="105">
        <v>3663.4537999999998</v>
      </c>
      <c r="T337" s="106">
        <v>45343</v>
      </c>
      <c r="U337" s="105"/>
      <c r="V337" s="105"/>
    </row>
    <row r="338" spans="1:22" ht="62.4" x14ac:dyDescent="0.3">
      <c r="A338" s="108">
        <v>335</v>
      </c>
      <c r="B338" s="108" t="s">
        <v>40</v>
      </c>
      <c r="C338" s="44" t="s">
        <v>73</v>
      </c>
      <c r="D338" s="108"/>
      <c r="E338" s="108" t="s">
        <v>75</v>
      </c>
      <c r="F338" s="44" t="s">
        <v>749</v>
      </c>
      <c r="G338" s="108" t="s">
        <v>184</v>
      </c>
      <c r="H338" s="89">
        <v>315</v>
      </c>
      <c r="I338" s="108">
        <v>1</v>
      </c>
      <c r="J338" s="89">
        <v>315</v>
      </c>
      <c r="K338" s="89">
        <v>315</v>
      </c>
      <c r="L338" s="108">
        <v>1</v>
      </c>
      <c r="M338" s="89">
        <v>315</v>
      </c>
      <c r="N338" s="6" t="s">
        <v>750</v>
      </c>
      <c r="O338" s="109">
        <v>45315</v>
      </c>
      <c r="P338" s="33" t="str">
        <f>HYPERLINK("https://my.zakupivli.pro/remote/dispatcher/state_purchase_view/48628967", "UA-2024-01-24-005968-a")</f>
        <v>UA-2024-01-24-005968-a</v>
      </c>
      <c r="Q338" s="89">
        <v>315</v>
      </c>
      <c r="R338" s="108">
        <v>1</v>
      </c>
      <c r="S338" s="89">
        <v>315</v>
      </c>
      <c r="T338" s="109">
        <v>45315</v>
      </c>
      <c r="U338" s="108"/>
      <c r="V338" s="108" t="s">
        <v>59</v>
      </c>
    </row>
    <row r="339" spans="1:22" ht="43.2" x14ac:dyDescent="0.3">
      <c r="A339" s="110">
        <v>336</v>
      </c>
      <c r="B339" s="110" t="s">
        <v>21</v>
      </c>
      <c r="C339" s="44" t="s">
        <v>30</v>
      </c>
      <c r="D339" s="112" t="s">
        <v>58</v>
      </c>
      <c r="E339" s="110" t="s">
        <v>75</v>
      </c>
      <c r="F339" s="44" t="s">
        <v>751</v>
      </c>
      <c r="G339" s="110" t="s">
        <v>186</v>
      </c>
      <c r="H339" s="110"/>
      <c r="I339" s="110">
        <v>106</v>
      </c>
      <c r="J339" s="110">
        <v>5583.3329999999996</v>
      </c>
      <c r="K339" s="110"/>
      <c r="L339" s="110">
        <v>106</v>
      </c>
      <c r="M339" s="110">
        <v>5583.3329999999996</v>
      </c>
      <c r="N339" s="6" t="s">
        <v>754</v>
      </c>
      <c r="O339" s="111">
        <v>45315</v>
      </c>
      <c r="P339" s="33" t="str">
        <f>HYPERLINK("https://my.zakupivli.pro/remote/dispatcher/state_purchase_view/48638355", "UA-2024-01-24-010255-a")</f>
        <v>UA-2024-01-24-010255-a</v>
      </c>
      <c r="Q339" s="110"/>
      <c r="R339" s="110">
        <v>106</v>
      </c>
      <c r="S339" s="110">
        <v>5539.33025</v>
      </c>
      <c r="T339" s="111">
        <v>45336</v>
      </c>
      <c r="U339" s="110"/>
      <c r="V339" s="110"/>
    </row>
    <row r="340" spans="1:22" ht="43.2" x14ac:dyDescent="0.3">
      <c r="A340" s="110">
        <v>337</v>
      </c>
      <c r="B340" s="110" t="s">
        <v>21</v>
      </c>
      <c r="C340" s="44" t="s">
        <v>30</v>
      </c>
      <c r="D340" s="112" t="s">
        <v>58</v>
      </c>
      <c r="E340" s="110" t="s">
        <v>75</v>
      </c>
      <c r="F340" s="44" t="s">
        <v>752</v>
      </c>
      <c r="G340" s="110" t="s">
        <v>186</v>
      </c>
      <c r="H340" s="110"/>
      <c r="I340" s="110">
        <v>92</v>
      </c>
      <c r="J340" s="110">
        <v>779.19165799999996</v>
      </c>
      <c r="K340" s="110"/>
      <c r="L340" s="110">
        <v>92</v>
      </c>
      <c r="M340" s="110">
        <v>779.19165799999996</v>
      </c>
      <c r="N340" s="6" t="s">
        <v>755</v>
      </c>
      <c r="O340" s="111">
        <v>45315</v>
      </c>
      <c r="P340" s="33" t="str">
        <f>HYPERLINK("https://my.zakupivli.pro/remote/dispatcher/state_purchase_view/48638355", "UA-2024-01-24-010255-a")</f>
        <v>UA-2024-01-24-010255-a</v>
      </c>
      <c r="Q340" s="110"/>
      <c r="R340" s="110">
        <v>92</v>
      </c>
      <c r="S340" s="110">
        <v>757.47540000000004</v>
      </c>
      <c r="T340" s="111">
        <v>45329</v>
      </c>
      <c r="U340" s="110"/>
      <c r="V340" s="110"/>
    </row>
    <row r="341" spans="1:22" ht="43.2" x14ac:dyDescent="0.3">
      <c r="A341" s="110">
        <v>338</v>
      </c>
      <c r="B341" s="110" t="s">
        <v>21</v>
      </c>
      <c r="C341" s="44" t="s">
        <v>30</v>
      </c>
      <c r="D341" s="112" t="s">
        <v>58</v>
      </c>
      <c r="E341" s="110" t="s">
        <v>75</v>
      </c>
      <c r="F341" s="44" t="s">
        <v>753</v>
      </c>
      <c r="G341" s="110" t="s">
        <v>186</v>
      </c>
      <c r="H341" s="110"/>
      <c r="I341" s="110">
        <v>38</v>
      </c>
      <c r="J341" s="110">
        <v>4833.3329999999996</v>
      </c>
      <c r="K341" s="110"/>
      <c r="L341" s="110">
        <v>38</v>
      </c>
      <c r="M341" s="110">
        <v>4833.3329999999996</v>
      </c>
      <c r="N341" s="6" t="s">
        <v>756</v>
      </c>
      <c r="O341" s="111">
        <v>45315</v>
      </c>
      <c r="P341" s="33" t="str">
        <f>HYPERLINK("https://my.zakupivli.pro/remote/dispatcher/state_purchase_view/48638355", "UA-2024-01-24-010255-a")</f>
        <v>UA-2024-01-24-010255-a</v>
      </c>
      <c r="Q341" s="110"/>
      <c r="R341" s="110">
        <v>38</v>
      </c>
      <c r="S341" s="110">
        <v>4636.3738999999996</v>
      </c>
      <c r="T341" s="111">
        <v>45336</v>
      </c>
      <c r="U341" s="110"/>
      <c r="V341" s="110"/>
    </row>
    <row r="342" spans="1:22" ht="43.2" x14ac:dyDescent="0.3">
      <c r="A342" s="110">
        <v>339</v>
      </c>
      <c r="B342" s="110" t="s">
        <v>21</v>
      </c>
      <c r="C342" s="44" t="s">
        <v>30</v>
      </c>
      <c r="D342" s="112" t="s">
        <v>58</v>
      </c>
      <c r="E342" s="110" t="s">
        <v>75</v>
      </c>
      <c r="F342" s="44" t="s">
        <v>757</v>
      </c>
      <c r="G342" s="110" t="s">
        <v>186</v>
      </c>
      <c r="H342" s="110"/>
      <c r="I342" s="110">
        <v>24</v>
      </c>
      <c r="J342" s="89">
        <v>1300</v>
      </c>
      <c r="K342" s="110"/>
      <c r="L342" s="110">
        <v>24</v>
      </c>
      <c r="M342" s="89">
        <v>1300</v>
      </c>
      <c r="N342" s="6" t="s">
        <v>758</v>
      </c>
      <c r="O342" s="111">
        <v>45315</v>
      </c>
      <c r="P342" s="33" t="str">
        <f>HYPERLINK("https://my.zakupivli.pro/remote/dispatcher/state_purchase_view/48637783", "UA-2024-01-24-009975-a")</f>
        <v>UA-2024-01-24-009975-a</v>
      </c>
      <c r="Q342" s="110"/>
      <c r="R342" s="110">
        <v>24</v>
      </c>
      <c r="S342" s="119">
        <v>776</v>
      </c>
      <c r="T342" s="111">
        <v>45336</v>
      </c>
      <c r="U342" s="110"/>
      <c r="V342" s="110"/>
    </row>
    <row r="343" spans="1:22" ht="46.8" x14ac:dyDescent="0.3">
      <c r="A343" s="113">
        <v>340</v>
      </c>
      <c r="B343" s="113" t="s">
        <v>21</v>
      </c>
      <c r="C343" s="41" t="s">
        <v>761</v>
      </c>
      <c r="D343" s="113" t="s">
        <v>58</v>
      </c>
      <c r="E343" s="113" t="s">
        <v>759</v>
      </c>
      <c r="F343" s="41" t="s">
        <v>760</v>
      </c>
      <c r="G343" s="113" t="s">
        <v>187</v>
      </c>
      <c r="H343" s="113"/>
      <c r="I343" s="113">
        <v>979</v>
      </c>
      <c r="J343" s="113">
        <v>3917.2</v>
      </c>
      <c r="K343" s="113"/>
      <c r="L343" s="113">
        <v>979</v>
      </c>
      <c r="M343" s="113">
        <v>3917.2</v>
      </c>
      <c r="N343" s="6" t="s">
        <v>762</v>
      </c>
      <c r="O343" s="114">
        <v>45316</v>
      </c>
      <c r="P343" s="42" t="str">
        <f>HYPERLINK("https://my.zakupivli.pro/remote/dispatcher/state_purchase_view/48664390", "UA-2024-01-25-003776-a")</f>
        <v>UA-2024-01-25-003776-a</v>
      </c>
      <c r="Q343" s="113"/>
      <c r="R343" s="113">
        <v>979</v>
      </c>
      <c r="S343" s="113">
        <v>2120.3854999999999</v>
      </c>
      <c r="T343" s="114">
        <v>45336</v>
      </c>
      <c r="U343" s="113"/>
      <c r="V343" s="113"/>
    </row>
    <row r="344" spans="1:22" ht="93.6" x14ac:dyDescent="0.3">
      <c r="A344" s="113">
        <v>341</v>
      </c>
      <c r="B344" s="113" t="s">
        <v>40</v>
      </c>
      <c r="C344" s="44" t="s">
        <v>41</v>
      </c>
      <c r="D344" s="113"/>
      <c r="E344" s="113" t="s">
        <v>88</v>
      </c>
      <c r="F344" s="44" t="s">
        <v>763</v>
      </c>
      <c r="G344" s="113" t="s">
        <v>184</v>
      </c>
      <c r="H344" s="113">
        <v>310.57474999999999</v>
      </c>
      <c r="I344" s="113">
        <v>1</v>
      </c>
      <c r="J344" s="113">
        <v>310.57474999999999</v>
      </c>
      <c r="K344" s="113">
        <v>310.57474999999999</v>
      </c>
      <c r="L344" s="113">
        <v>1</v>
      </c>
      <c r="M344" s="113">
        <v>310.57474999999999</v>
      </c>
      <c r="N344" s="6" t="s">
        <v>770</v>
      </c>
      <c r="O344" s="114">
        <v>45316</v>
      </c>
      <c r="P344" s="33" t="str">
        <f>HYPERLINK("https://my.zakupivli.pro/remote/dispatcher/state_purchase_view/48688184", "UA-2024-01-25-014181-a")</f>
        <v>UA-2024-01-25-014181-a</v>
      </c>
      <c r="Q344" s="113">
        <v>310.57474999999999</v>
      </c>
      <c r="R344" s="113">
        <v>1</v>
      </c>
      <c r="S344" s="113">
        <v>310.57474999999999</v>
      </c>
      <c r="T344" s="114">
        <v>45316</v>
      </c>
      <c r="U344" s="113"/>
      <c r="V344" s="113" t="s">
        <v>59</v>
      </c>
    </row>
    <row r="345" spans="1:22" ht="93.6" x14ac:dyDescent="0.3">
      <c r="A345" s="113">
        <v>342</v>
      </c>
      <c r="B345" s="113" t="s">
        <v>40</v>
      </c>
      <c r="C345" s="44" t="s">
        <v>41</v>
      </c>
      <c r="D345" s="113"/>
      <c r="E345" s="113" t="s">
        <v>88</v>
      </c>
      <c r="F345" s="44" t="s">
        <v>764</v>
      </c>
      <c r="G345" s="113" t="s">
        <v>184</v>
      </c>
      <c r="H345" s="113">
        <v>234.87541999999999</v>
      </c>
      <c r="I345" s="113">
        <v>1</v>
      </c>
      <c r="J345" s="113">
        <v>234.87541999999999</v>
      </c>
      <c r="K345" s="113">
        <v>234.87541999999999</v>
      </c>
      <c r="L345" s="113">
        <v>1</v>
      </c>
      <c r="M345" s="113">
        <v>234.87541999999999</v>
      </c>
      <c r="N345" s="6" t="s">
        <v>771</v>
      </c>
      <c r="O345" s="114">
        <v>45316</v>
      </c>
      <c r="P345" s="33" t="str">
        <f>HYPERLINK("https://my.zakupivli.pro/remote/dispatcher/state_purchase_view/48687397", "UA-2024-01-25-013828-a")</f>
        <v>UA-2024-01-25-013828-a</v>
      </c>
      <c r="Q345" s="113">
        <v>234.87541999999999</v>
      </c>
      <c r="R345" s="113">
        <v>1</v>
      </c>
      <c r="S345" s="113">
        <v>234.87541999999999</v>
      </c>
      <c r="T345" s="114">
        <v>45316</v>
      </c>
      <c r="U345" s="113"/>
      <c r="V345" s="113" t="s">
        <v>59</v>
      </c>
    </row>
    <row r="346" spans="1:22" ht="62.4" x14ac:dyDescent="0.3">
      <c r="A346" s="113">
        <v>343</v>
      </c>
      <c r="B346" s="113" t="s">
        <v>40</v>
      </c>
      <c r="C346" s="44" t="s">
        <v>41</v>
      </c>
      <c r="D346" s="113"/>
      <c r="E346" s="113" t="s">
        <v>88</v>
      </c>
      <c r="F346" s="44" t="s">
        <v>765</v>
      </c>
      <c r="G346" s="113" t="s">
        <v>184</v>
      </c>
      <c r="H346" s="113">
        <v>740.63445000000002</v>
      </c>
      <c r="I346" s="113">
        <v>1</v>
      </c>
      <c r="J346" s="113">
        <v>740.63445000000002</v>
      </c>
      <c r="K346" s="113">
        <v>740.63445000000002</v>
      </c>
      <c r="L346" s="113">
        <v>1</v>
      </c>
      <c r="M346" s="113">
        <v>740.63445000000002</v>
      </c>
      <c r="N346" s="6" t="s">
        <v>772</v>
      </c>
      <c r="O346" s="114">
        <v>45316</v>
      </c>
      <c r="P346" s="33" t="str">
        <f>HYPERLINK("https://my.zakupivli.pro/remote/dispatcher/state_purchase_view/48686800", "UA-2024-01-25-013604-a")</f>
        <v>UA-2024-01-25-013604-a</v>
      </c>
      <c r="Q346" s="113">
        <v>740.63445000000002</v>
      </c>
      <c r="R346" s="113">
        <v>1</v>
      </c>
      <c r="S346" s="113">
        <v>740.63445000000002</v>
      </c>
      <c r="T346" s="114">
        <v>45316</v>
      </c>
      <c r="U346" s="113"/>
      <c r="V346" s="113" t="s">
        <v>59</v>
      </c>
    </row>
    <row r="347" spans="1:22" ht="93.6" x14ac:dyDescent="0.3">
      <c r="A347" s="113">
        <v>344</v>
      </c>
      <c r="B347" s="113" t="s">
        <v>40</v>
      </c>
      <c r="C347" s="44" t="s">
        <v>41</v>
      </c>
      <c r="D347" s="113"/>
      <c r="E347" s="113" t="s">
        <v>88</v>
      </c>
      <c r="F347" s="44" t="s">
        <v>766</v>
      </c>
      <c r="G347" s="113" t="s">
        <v>184</v>
      </c>
      <c r="H347" s="113">
        <v>107.49384000000001</v>
      </c>
      <c r="I347" s="113">
        <v>1</v>
      </c>
      <c r="J347" s="113">
        <v>107.49384000000001</v>
      </c>
      <c r="K347" s="113">
        <v>107.49384000000001</v>
      </c>
      <c r="L347" s="113">
        <v>1</v>
      </c>
      <c r="M347" s="113">
        <v>107.49384000000001</v>
      </c>
      <c r="N347" s="6" t="s">
        <v>773</v>
      </c>
      <c r="O347" s="114">
        <v>45316</v>
      </c>
      <c r="P347" s="33" t="str">
        <f>HYPERLINK("https://my.zakupivli.pro/remote/dispatcher/state_purchase_view/48686589", "UA-2024-01-25-013506-a")</f>
        <v>UA-2024-01-25-013506-a</v>
      </c>
      <c r="Q347" s="113">
        <v>107.49384000000001</v>
      </c>
      <c r="R347" s="113">
        <v>1</v>
      </c>
      <c r="S347" s="113">
        <v>107.49384000000001</v>
      </c>
      <c r="T347" s="114">
        <v>45316</v>
      </c>
      <c r="U347" s="113"/>
      <c r="V347" s="113" t="s">
        <v>59</v>
      </c>
    </row>
    <row r="348" spans="1:22" ht="62.4" x14ac:dyDescent="0.3">
      <c r="A348" s="113">
        <v>345</v>
      </c>
      <c r="B348" s="113" t="s">
        <v>40</v>
      </c>
      <c r="C348" s="44" t="s">
        <v>41</v>
      </c>
      <c r="D348" s="113"/>
      <c r="E348" s="113" t="s">
        <v>88</v>
      </c>
      <c r="F348" s="44" t="s">
        <v>767</v>
      </c>
      <c r="G348" s="113" t="s">
        <v>184</v>
      </c>
      <c r="H348" s="113">
        <v>282.64605</v>
      </c>
      <c r="I348" s="113">
        <v>1</v>
      </c>
      <c r="J348" s="113">
        <v>282.64605</v>
      </c>
      <c r="K348" s="113">
        <v>282.64605</v>
      </c>
      <c r="L348" s="113">
        <v>1</v>
      </c>
      <c r="M348" s="113">
        <v>282.64605</v>
      </c>
      <c r="N348" s="6" t="s">
        <v>774</v>
      </c>
      <c r="O348" s="114">
        <v>45316</v>
      </c>
      <c r="P348" s="33" t="str">
        <f>HYPERLINK("https://my.zakupivli.pro/remote/dispatcher/state_purchase_view/48686004", "UA-2024-01-25-013302-a")</f>
        <v>UA-2024-01-25-013302-a</v>
      </c>
      <c r="Q348" s="113">
        <v>282.64605</v>
      </c>
      <c r="R348" s="113">
        <v>1</v>
      </c>
      <c r="S348" s="113">
        <v>282.64605</v>
      </c>
      <c r="T348" s="114">
        <v>45316</v>
      </c>
      <c r="U348" s="113"/>
      <c r="V348" s="113" t="s">
        <v>59</v>
      </c>
    </row>
    <row r="349" spans="1:22" ht="93.6" x14ac:dyDescent="0.3">
      <c r="A349" s="113">
        <v>346</v>
      </c>
      <c r="B349" s="113" t="s">
        <v>40</v>
      </c>
      <c r="C349" s="44" t="s">
        <v>41</v>
      </c>
      <c r="D349" s="113"/>
      <c r="E349" s="113" t="s">
        <v>88</v>
      </c>
      <c r="F349" s="44" t="s">
        <v>768</v>
      </c>
      <c r="G349" s="113" t="s">
        <v>184</v>
      </c>
      <c r="H349" s="113">
        <v>923.80998</v>
      </c>
      <c r="I349" s="113">
        <v>1</v>
      </c>
      <c r="J349" s="113">
        <v>923.80998</v>
      </c>
      <c r="K349" s="113">
        <v>923.80998</v>
      </c>
      <c r="L349" s="113">
        <v>1</v>
      </c>
      <c r="M349" s="113">
        <v>923.80998</v>
      </c>
      <c r="N349" s="6" t="s">
        <v>775</v>
      </c>
      <c r="O349" s="114">
        <v>45316</v>
      </c>
      <c r="P349" s="33" t="str">
        <f>HYPERLINK("https://my.zakupivli.pro/remote/dispatcher/state_purchase_view/48685781", "UA-2024-01-25-013186-a")</f>
        <v>UA-2024-01-25-013186-a</v>
      </c>
      <c r="Q349" s="113">
        <v>923.80998</v>
      </c>
      <c r="R349" s="113">
        <v>1</v>
      </c>
      <c r="S349" s="113">
        <v>923.80998</v>
      </c>
      <c r="T349" s="114">
        <v>45316</v>
      </c>
      <c r="U349" s="113"/>
      <c r="V349" s="113" t="s">
        <v>59</v>
      </c>
    </row>
    <row r="350" spans="1:22" ht="62.4" x14ac:dyDescent="0.3">
      <c r="A350" s="113">
        <v>347</v>
      </c>
      <c r="B350" s="113" t="s">
        <v>40</v>
      </c>
      <c r="C350" s="44" t="s">
        <v>41</v>
      </c>
      <c r="D350" s="113"/>
      <c r="E350" s="113" t="s">
        <v>88</v>
      </c>
      <c r="F350" s="44" t="s">
        <v>769</v>
      </c>
      <c r="G350" s="113" t="s">
        <v>184</v>
      </c>
      <c r="H350" s="113">
        <v>179.18911</v>
      </c>
      <c r="I350" s="113">
        <v>1</v>
      </c>
      <c r="J350" s="113">
        <v>179.18911</v>
      </c>
      <c r="K350" s="113">
        <v>179.18911</v>
      </c>
      <c r="L350" s="113">
        <v>1</v>
      </c>
      <c r="M350" s="113">
        <v>179.18911</v>
      </c>
      <c r="N350" s="6" t="s">
        <v>776</v>
      </c>
      <c r="O350" s="114">
        <v>45316</v>
      </c>
      <c r="P350" s="33" t="str">
        <f>HYPERLINK("https://my.zakupivli.pro/remote/dispatcher/state_purchase_view/48685400", "UA-2024-01-25-012929-a")</f>
        <v>UA-2024-01-25-012929-a</v>
      </c>
      <c r="Q350" s="113">
        <v>179.18911</v>
      </c>
      <c r="R350" s="113">
        <v>1</v>
      </c>
      <c r="S350" s="113">
        <v>179.18911</v>
      </c>
      <c r="T350" s="114">
        <v>45316</v>
      </c>
      <c r="U350" s="113"/>
      <c r="V350" s="113" t="s">
        <v>59</v>
      </c>
    </row>
    <row r="351" spans="1:22" ht="62.4" x14ac:dyDescent="0.3">
      <c r="A351" s="115">
        <v>348</v>
      </c>
      <c r="B351" s="115" t="s">
        <v>21</v>
      </c>
      <c r="C351" s="44" t="s">
        <v>32</v>
      </c>
      <c r="D351" s="115"/>
      <c r="E351" s="115" t="s">
        <v>75</v>
      </c>
      <c r="F351" s="44" t="s">
        <v>777</v>
      </c>
      <c r="G351" s="115" t="s">
        <v>21</v>
      </c>
      <c r="H351" s="119">
        <v>36</v>
      </c>
      <c r="I351" s="115">
        <v>2</v>
      </c>
      <c r="J351" s="119">
        <v>72</v>
      </c>
      <c r="K351" s="119">
        <v>36</v>
      </c>
      <c r="L351" s="115">
        <v>2</v>
      </c>
      <c r="M351" s="119">
        <v>72</v>
      </c>
      <c r="N351" s="6" t="s">
        <v>778</v>
      </c>
      <c r="O351" s="116">
        <v>45320</v>
      </c>
      <c r="P351" s="33" t="str">
        <f>HYPERLINK("https://my.zakupivli.pro/remote/dispatcher/state_purchase_view/48742399", "UA-2024-01-29-003400-a")</f>
        <v>UA-2024-01-29-003400-a</v>
      </c>
      <c r="Q351" s="119">
        <v>36</v>
      </c>
      <c r="R351" s="115">
        <v>2</v>
      </c>
      <c r="S351" s="119">
        <v>72</v>
      </c>
      <c r="T351" s="116">
        <v>45320</v>
      </c>
      <c r="U351" s="115"/>
      <c r="V351" s="115" t="s">
        <v>59</v>
      </c>
    </row>
    <row r="352" spans="1:22" ht="62.4" x14ac:dyDescent="0.3">
      <c r="A352" s="117">
        <v>349</v>
      </c>
      <c r="B352" s="117" t="s">
        <v>40</v>
      </c>
      <c r="C352" s="44" t="s">
        <v>41</v>
      </c>
      <c r="D352" s="117"/>
      <c r="E352" s="117" t="s">
        <v>373</v>
      </c>
      <c r="F352" s="44" t="s">
        <v>779</v>
      </c>
      <c r="G352" s="117" t="s">
        <v>184</v>
      </c>
      <c r="H352" s="117">
        <v>303.98403999999999</v>
      </c>
      <c r="I352" s="117">
        <v>1</v>
      </c>
      <c r="J352" s="117">
        <v>303.98403999999999</v>
      </c>
      <c r="K352" s="117">
        <v>303.98403999999999</v>
      </c>
      <c r="L352" s="117">
        <v>1</v>
      </c>
      <c r="M352" s="117">
        <v>303.98403999999999</v>
      </c>
      <c r="N352" s="6" t="s">
        <v>780</v>
      </c>
      <c r="O352" s="118">
        <v>45322</v>
      </c>
      <c r="P352" s="33" t="str">
        <f>HYPERLINK("https://my.zakupivli.pro/remote/dispatcher/state_purchase_view/48819624", "UA-2024-01-31-005075-a")</f>
        <v>UA-2024-01-31-005075-a</v>
      </c>
      <c r="Q352" s="117">
        <v>303.98403999999999</v>
      </c>
      <c r="R352" s="117">
        <v>1</v>
      </c>
      <c r="S352" s="117">
        <v>303.98403999999999</v>
      </c>
      <c r="T352" s="118">
        <v>45322</v>
      </c>
      <c r="U352" s="117"/>
      <c r="V352" s="117" t="s">
        <v>59</v>
      </c>
    </row>
    <row r="353" spans="1:22" ht="62.4" x14ac:dyDescent="0.3">
      <c r="A353" s="117">
        <v>350</v>
      </c>
      <c r="B353" s="117" t="s">
        <v>40</v>
      </c>
      <c r="C353" s="44" t="s">
        <v>41</v>
      </c>
      <c r="D353" s="117"/>
      <c r="E353" s="117" t="s">
        <v>88</v>
      </c>
      <c r="F353" s="44" t="s">
        <v>781</v>
      </c>
      <c r="G353" s="117" t="s">
        <v>184</v>
      </c>
      <c r="H353" s="117">
        <v>382.27184999999997</v>
      </c>
      <c r="I353" s="117">
        <v>1</v>
      </c>
      <c r="J353" s="117">
        <v>382.27184999999997</v>
      </c>
      <c r="K353" s="117">
        <v>382.27184999999997</v>
      </c>
      <c r="L353" s="117">
        <v>1</v>
      </c>
      <c r="M353" s="117">
        <v>382.27184999999997</v>
      </c>
      <c r="N353" s="6" t="s">
        <v>782</v>
      </c>
      <c r="O353" s="118">
        <v>45322</v>
      </c>
      <c r="P353" s="33" t="str">
        <f>HYPERLINK("https://my.zakupivli.pro/remote/dispatcher/state_purchase_view/48824211", "UA-2024-01-31-007241-a")</f>
        <v>UA-2024-01-31-007241-a</v>
      </c>
      <c r="Q353" s="117">
        <v>382.27184999999997</v>
      </c>
      <c r="R353" s="117">
        <v>1</v>
      </c>
      <c r="S353" s="117">
        <v>382.27184999999997</v>
      </c>
      <c r="T353" s="118">
        <v>45322</v>
      </c>
      <c r="U353" s="117"/>
      <c r="V353" s="117" t="s">
        <v>59</v>
      </c>
    </row>
    <row r="354" spans="1:22" ht="93.6" x14ac:dyDescent="0.3">
      <c r="A354" s="117">
        <v>351</v>
      </c>
      <c r="B354" s="117" t="s">
        <v>40</v>
      </c>
      <c r="C354" s="44" t="s">
        <v>41</v>
      </c>
      <c r="D354" s="117"/>
      <c r="E354" s="117" t="s">
        <v>88</v>
      </c>
      <c r="F354" s="44" t="s">
        <v>783</v>
      </c>
      <c r="G354" s="117" t="s">
        <v>184</v>
      </c>
      <c r="H354" s="117">
        <v>282.87943000000001</v>
      </c>
      <c r="I354" s="117">
        <v>1</v>
      </c>
      <c r="J354" s="117">
        <v>282.87943000000001</v>
      </c>
      <c r="K354" s="117">
        <v>282.87943000000001</v>
      </c>
      <c r="L354" s="117">
        <v>1</v>
      </c>
      <c r="M354" s="117">
        <v>282.87943000000001</v>
      </c>
      <c r="N354" s="6" t="s">
        <v>784</v>
      </c>
      <c r="O354" s="118">
        <v>45322</v>
      </c>
      <c r="P354" s="33" t="str">
        <f>HYPERLINK("https://my.zakupivli.pro/remote/dispatcher/state_purchase_view/48824354", "UA-2024-01-31-007341-a")</f>
        <v>UA-2024-01-31-007341-a</v>
      </c>
      <c r="Q354" s="117">
        <v>282.87943000000001</v>
      </c>
      <c r="R354" s="117">
        <v>1</v>
      </c>
      <c r="S354" s="117">
        <v>282.87943000000001</v>
      </c>
      <c r="T354" s="118">
        <v>45322</v>
      </c>
      <c r="U354" s="117"/>
      <c r="V354" s="117" t="s">
        <v>59</v>
      </c>
    </row>
    <row r="355" spans="1:22" ht="62.4" x14ac:dyDescent="0.3">
      <c r="A355" s="117">
        <v>352</v>
      </c>
      <c r="B355" s="117" t="s">
        <v>40</v>
      </c>
      <c r="C355" s="44" t="s">
        <v>41</v>
      </c>
      <c r="D355" s="117"/>
      <c r="E355" s="117" t="s">
        <v>88</v>
      </c>
      <c r="F355" s="44" t="s">
        <v>785</v>
      </c>
      <c r="G355" s="117" t="s">
        <v>184</v>
      </c>
      <c r="H355" s="117">
        <v>543.99990000000003</v>
      </c>
      <c r="I355" s="117">
        <v>1</v>
      </c>
      <c r="J355" s="117">
        <v>543.99990000000003</v>
      </c>
      <c r="K355" s="117">
        <v>543.99990000000003</v>
      </c>
      <c r="L355" s="117">
        <v>1</v>
      </c>
      <c r="M355" s="117">
        <v>543.99990000000003</v>
      </c>
      <c r="N355" s="6" t="s">
        <v>787</v>
      </c>
      <c r="O355" s="118">
        <v>45322</v>
      </c>
      <c r="P355" s="122" t="str">
        <f>HYPERLINK("https://my.zakupivli.pro/remote/dispatcher/state_purchase_view/48825205", "UA-2024-01-31-007708-a")</f>
        <v>UA-2024-01-31-007708-a</v>
      </c>
      <c r="Q355" s="117">
        <v>543.99990000000003</v>
      </c>
      <c r="R355" s="117">
        <v>1</v>
      </c>
      <c r="S355" s="117">
        <v>543.99990000000003</v>
      </c>
      <c r="T355" s="118">
        <v>45322</v>
      </c>
      <c r="U355" s="117"/>
      <c r="V355" s="117" t="s">
        <v>59</v>
      </c>
    </row>
    <row r="356" spans="1:22" ht="93.6" x14ac:dyDescent="0.3">
      <c r="A356" s="117">
        <v>353</v>
      </c>
      <c r="B356" s="117" t="s">
        <v>40</v>
      </c>
      <c r="C356" s="44" t="s">
        <v>41</v>
      </c>
      <c r="D356" s="117"/>
      <c r="E356" s="117" t="s">
        <v>88</v>
      </c>
      <c r="F356" s="44" t="s">
        <v>786</v>
      </c>
      <c r="G356" s="117" t="s">
        <v>184</v>
      </c>
      <c r="H356" s="119">
        <v>277.44</v>
      </c>
      <c r="I356" s="117">
        <v>1</v>
      </c>
      <c r="J356" s="119">
        <v>277.44</v>
      </c>
      <c r="K356" s="119">
        <v>277.44</v>
      </c>
      <c r="L356" s="117">
        <v>1</v>
      </c>
      <c r="M356" s="119">
        <v>277.44</v>
      </c>
      <c r="N356" s="6" t="s">
        <v>788</v>
      </c>
      <c r="O356" s="118">
        <v>45322</v>
      </c>
      <c r="P356" s="122" t="str">
        <f>HYPERLINK("https://my.zakupivli.pro/remote/dispatcher/state_purchase_view/48825190", "UA-2024-01-31-007699-a")</f>
        <v>UA-2024-01-31-007699-a</v>
      </c>
      <c r="Q356" s="119">
        <v>277.44</v>
      </c>
      <c r="R356" s="117">
        <v>1</v>
      </c>
      <c r="S356" s="119">
        <v>277.44</v>
      </c>
      <c r="T356" s="118">
        <v>45322</v>
      </c>
      <c r="U356" s="117"/>
      <c r="V356" s="117" t="s">
        <v>59</v>
      </c>
    </row>
    <row r="357" spans="1:22" ht="93.6" x14ac:dyDescent="0.3">
      <c r="A357" s="117">
        <v>354</v>
      </c>
      <c r="B357" s="117" t="s">
        <v>40</v>
      </c>
      <c r="C357" s="44" t="s">
        <v>41</v>
      </c>
      <c r="D357" s="117"/>
      <c r="E357" s="117" t="s">
        <v>88</v>
      </c>
      <c r="F357" s="44" t="s">
        <v>789</v>
      </c>
      <c r="G357" s="117" t="s">
        <v>184</v>
      </c>
      <c r="H357" s="117">
        <v>103.532</v>
      </c>
      <c r="I357" s="117">
        <v>1</v>
      </c>
      <c r="J357" s="117">
        <v>103.532</v>
      </c>
      <c r="K357" s="117">
        <v>103.532</v>
      </c>
      <c r="L357" s="117">
        <v>1</v>
      </c>
      <c r="M357" s="117">
        <v>103.532</v>
      </c>
      <c r="N357" s="6" t="s">
        <v>791</v>
      </c>
      <c r="O357" s="118">
        <v>45322</v>
      </c>
      <c r="P357" s="33" t="str">
        <f>HYPERLINK("https://my.zakupivli.pro/remote/dispatcher/state_purchase_view/48826096", "UA-2024-01-31-008115-a")</f>
        <v>UA-2024-01-31-008115-a</v>
      </c>
      <c r="Q357" s="117">
        <v>103.532</v>
      </c>
      <c r="R357" s="117">
        <v>1</v>
      </c>
      <c r="S357" s="117">
        <v>103.532</v>
      </c>
      <c r="T357" s="118">
        <v>45322</v>
      </c>
      <c r="U357" s="117"/>
      <c r="V357" s="117" t="s">
        <v>59</v>
      </c>
    </row>
    <row r="358" spans="1:22" ht="93.6" x14ac:dyDescent="0.3">
      <c r="A358" s="117">
        <v>355</v>
      </c>
      <c r="B358" s="117" t="s">
        <v>40</v>
      </c>
      <c r="C358" s="44" t="s">
        <v>41</v>
      </c>
      <c r="D358" s="117"/>
      <c r="E358" s="117" t="s">
        <v>88</v>
      </c>
      <c r="F358" s="44" t="s">
        <v>790</v>
      </c>
      <c r="G358" s="117" t="s">
        <v>184</v>
      </c>
      <c r="H358" s="117">
        <v>242.90186</v>
      </c>
      <c r="I358" s="117">
        <v>1</v>
      </c>
      <c r="J358" s="117">
        <v>242.90186</v>
      </c>
      <c r="K358" s="117">
        <v>242.90186</v>
      </c>
      <c r="L358" s="117">
        <v>1</v>
      </c>
      <c r="M358" s="117">
        <v>242.90186</v>
      </c>
      <c r="N358" s="6" t="s">
        <v>792</v>
      </c>
      <c r="O358" s="118">
        <v>45322</v>
      </c>
      <c r="P358" s="33" t="str">
        <f>HYPERLINK("https://my.zakupivli.pro/remote/dispatcher/state_purchase_view/48825340", "UA-2024-01-31-007748-a")</f>
        <v>UA-2024-01-31-007748-a</v>
      </c>
      <c r="Q358" s="117">
        <v>242.90186</v>
      </c>
      <c r="R358" s="117">
        <v>1</v>
      </c>
      <c r="S358" s="117">
        <v>242.90186</v>
      </c>
      <c r="T358" s="118">
        <v>45322</v>
      </c>
      <c r="U358" s="117"/>
      <c r="V358" s="117" t="s">
        <v>59</v>
      </c>
    </row>
    <row r="359" spans="1:22" ht="93.6" x14ac:dyDescent="0.3">
      <c r="A359" s="117">
        <v>356</v>
      </c>
      <c r="B359" s="117" t="s">
        <v>40</v>
      </c>
      <c r="C359" s="44" t="s">
        <v>41</v>
      </c>
      <c r="D359" s="117"/>
      <c r="E359" s="117" t="s">
        <v>88</v>
      </c>
      <c r="F359" s="44" t="s">
        <v>793</v>
      </c>
      <c r="G359" s="117" t="s">
        <v>184</v>
      </c>
      <c r="H359" s="117">
        <v>565.44399999999996</v>
      </c>
      <c r="I359" s="117">
        <v>1</v>
      </c>
      <c r="J359" s="117">
        <v>565.44399999999996</v>
      </c>
      <c r="K359" s="117">
        <v>565.44399999999996</v>
      </c>
      <c r="L359" s="117">
        <v>1</v>
      </c>
      <c r="M359" s="117">
        <v>565.44399999999996</v>
      </c>
      <c r="N359" s="6" t="s">
        <v>794</v>
      </c>
      <c r="O359" s="118">
        <v>45322</v>
      </c>
      <c r="P359" s="33" t="str">
        <f>HYPERLINK("https://my.zakupivli.pro/remote/dispatcher/state_purchase_view/48826700", "UA-2024-01-31-008354-a")</f>
        <v>UA-2024-01-31-008354-a</v>
      </c>
      <c r="Q359" s="117">
        <v>565.44399999999996</v>
      </c>
      <c r="R359" s="117">
        <v>1</v>
      </c>
      <c r="S359" s="117">
        <v>565.44399999999996</v>
      </c>
      <c r="T359" s="118">
        <v>45322</v>
      </c>
      <c r="U359" s="117"/>
      <c r="V359" s="117" t="s">
        <v>59</v>
      </c>
    </row>
    <row r="360" spans="1:22" ht="78" x14ac:dyDescent="0.3">
      <c r="A360" s="117">
        <v>357</v>
      </c>
      <c r="B360" s="117" t="s">
        <v>21</v>
      </c>
      <c r="C360" s="44" t="s">
        <v>735</v>
      </c>
      <c r="D360" s="117" t="s">
        <v>58</v>
      </c>
      <c r="E360" s="117" t="s">
        <v>75</v>
      </c>
      <c r="F360" s="44" t="s">
        <v>795</v>
      </c>
      <c r="G360" s="117" t="s">
        <v>186</v>
      </c>
      <c r="H360" s="119"/>
      <c r="I360" s="117">
        <v>3</v>
      </c>
      <c r="J360" s="119">
        <v>200</v>
      </c>
      <c r="K360" s="117"/>
      <c r="L360" s="117">
        <v>3</v>
      </c>
      <c r="M360" s="119">
        <v>200</v>
      </c>
      <c r="N360" s="6" t="s">
        <v>797</v>
      </c>
      <c r="O360" s="118">
        <v>45322</v>
      </c>
      <c r="P360" s="33" t="str">
        <f>HYPERLINK("https://my.zakupivli.pro/remote/dispatcher/state_purchase_view/48832012", "UA-2024-01-31-010710-a")</f>
        <v>UA-2024-01-31-010710-a</v>
      </c>
      <c r="Q360" s="117"/>
      <c r="R360" s="117">
        <v>3</v>
      </c>
      <c r="S360" s="117">
        <v>169.96600000000001</v>
      </c>
      <c r="T360" s="118">
        <v>45341</v>
      </c>
      <c r="U360" s="117"/>
      <c r="V360" s="117"/>
    </row>
    <row r="361" spans="1:22" ht="78" x14ac:dyDescent="0.3">
      <c r="A361" s="117">
        <v>358</v>
      </c>
      <c r="B361" s="117" t="s">
        <v>21</v>
      </c>
      <c r="C361" s="44" t="s">
        <v>735</v>
      </c>
      <c r="D361" s="117" t="s">
        <v>58</v>
      </c>
      <c r="E361" s="117" t="s">
        <v>75</v>
      </c>
      <c r="F361" s="44" t="s">
        <v>796</v>
      </c>
      <c r="G361" s="117" t="s">
        <v>186</v>
      </c>
      <c r="H361" s="117"/>
      <c r="I361" s="117">
        <v>15</v>
      </c>
      <c r="J361" s="119">
        <v>350</v>
      </c>
      <c r="K361" s="117"/>
      <c r="L361" s="117">
        <v>15</v>
      </c>
      <c r="M361" s="119">
        <v>350</v>
      </c>
      <c r="N361" s="6" t="s">
        <v>797</v>
      </c>
      <c r="O361" s="118">
        <v>45322</v>
      </c>
      <c r="P361" s="33" t="str">
        <f>HYPERLINK("https://my.zakupivli.pro/remote/dispatcher/state_purchase_view/48832012", "UA-2024-01-31-010710-a")</f>
        <v>UA-2024-01-31-010710-a</v>
      </c>
      <c r="Q361" s="117"/>
      <c r="R361" s="117">
        <v>15</v>
      </c>
      <c r="S361" s="117">
        <v>298.35000000000002</v>
      </c>
      <c r="T361" s="136">
        <v>45341</v>
      </c>
      <c r="U361" s="117"/>
      <c r="V361" s="117"/>
    </row>
    <row r="362" spans="1:22" ht="62.4" x14ac:dyDescent="0.3">
      <c r="A362" s="117">
        <v>359</v>
      </c>
      <c r="B362" s="120" t="s">
        <v>40</v>
      </c>
      <c r="C362" s="44" t="s">
        <v>518</v>
      </c>
      <c r="D362" s="117"/>
      <c r="E362" s="120" t="s">
        <v>75</v>
      </c>
      <c r="F362" s="41" t="s">
        <v>798</v>
      </c>
      <c r="G362" s="120" t="s">
        <v>184</v>
      </c>
      <c r="H362" s="117">
        <v>163.86313000000001</v>
      </c>
      <c r="I362" s="117">
        <v>1</v>
      </c>
      <c r="J362" s="120">
        <v>163.86313000000001</v>
      </c>
      <c r="K362" s="120">
        <v>163.86313000000001</v>
      </c>
      <c r="L362" s="120">
        <v>1</v>
      </c>
      <c r="M362" s="120">
        <v>163.86313000000001</v>
      </c>
      <c r="N362" s="6" t="s">
        <v>799</v>
      </c>
      <c r="O362" s="118">
        <v>45323</v>
      </c>
      <c r="P362" s="42" t="str">
        <f>HYPERLINK("https://my.zakupivli.pro/remote/dispatcher/state_purchase_view/48865177", "UA-2024-02-01-010457-a")</f>
        <v>UA-2024-02-01-010457-a</v>
      </c>
      <c r="Q362" s="120">
        <v>163.86313000000001</v>
      </c>
      <c r="R362" s="120">
        <v>1</v>
      </c>
      <c r="S362" s="120">
        <v>163.86313000000001</v>
      </c>
      <c r="T362" s="121">
        <v>45323</v>
      </c>
      <c r="U362" s="117"/>
      <c r="V362" s="120" t="s">
        <v>59</v>
      </c>
    </row>
    <row r="363" spans="1:22" ht="46.8" x14ac:dyDescent="0.3">
      <c r="A363" s="120">
        <v>360</v>
      </c>
      <c r="B363" s="120" t="s">
        <v>21</v>
      </c>
      <c r="C363" s="41" t="s">
        <v>300</v>
      </c>
      <c r="D363" s="120" t="s">
        <v>58</v>
      </c>
      <c r="E363" s="120" t="s">
        <v>759</v>
      </c>
      <c r="F363" s="44" t="s">
        <v>800</v>
      </c>
      <c r="G363" s="120" t="s">
        <v>186</v>
      </c>
      <c r="H363" s="120"/>
      <c r="I363" s="120">
        <v>6</v>
      </c>
      <c r="J363" s="120">
        <v>787.91250000000002</v>
      </c>
      <c r="K363" s="120"/>
      <c r="L363" s="120">
        <v>6</v>
      </c>
      <c r="M363" s="120">
        <v>787.91250000000002</v>
      </c>
      <c r="N363" s="6" t="s">
        <v>801</v>
      </c>
      <c r="O363" s="121">
        <v>45323</v>
      </c>
      <c r="P363" s="33" t="str">
        <f>HYPERLINK("https://my.zakupivli.pro/remote/dispatcher/state_purchase_view/48871901", "UA-2024-02-01-013304-a")</f>
        <v>UA-2024-02-01-013304-a</v>
      </c>
      <c r="Q363" s="120"/>
      <c r="R363" s="120">
        <v>6</v>
      </c>
      <c r="S363" s="120">
        <v>693.85569999999996</v>
      </c>
      <c r="T363" s="121">
        <v>45342</v>
      </c>
      <c r="U363" s="120"/>
      <c r="V363" s="120"/>
    </row>
    <row r="364" spans="1:22" ht="31.2" x14ac:dyDescent="0.3">
      <c r="A364" s="120">
        <v>361</v>
      </c>
      <c r="B364" s="120" t="s">
        <v>21</v>
      </c>
      <c r="C364" s="44" t="s">
        <v>805</v>
      </c>
      <c r="D364" s="120" t="s">
        <v>58</v>
      </c>
      <c r="E364" s="120" t="s">
        <v>75</v>
      </c>
      <c r="F364" s="44" t="s">
        <v>802</v>
      </c>
      <c r="G364" s="120" t="s">
        <v>186</v>
      </c>
      <c r="H364" s="120">
        <v>135.83332999999999</v>
      </c>
      <c r="I364" s="120">
        <v>1</v>
      </c>
      <c r="J364" s="120">
        <v>135.83332999999999</v>
      </c>
      <c r="K364" s="120">
        <v>135.83332999999999</v>
      </c>
      <c r="L364" s="120">
        <v>1</v>
      </c>
      <c r="M364" s="120">
        <v>135.83332999999999</v>
      </c>
      <c r="N364" s="6" t="s">
        <v>804</v>
      </c>
      <c r="O364" s="121">
        <v>45323</v>
      </c>
      <c r="P364" s="33" t="str">
        <f>HYPERLINK("https://my.zakupivli.pro/remote/dispatcher/state_purchase_view/48872463", "UA-2024-02-01-013588-a")</f>
        <v>UA-2024-02-01-013588-a</v>
      </c>
      <c r="Q364" s="146">
        <v>135.83000000000001</v>
      </c>
      <c r="R364" s="120">
        <v>1</v>
      </c>
      <c r="S364" s="120">
        <v>135.83000000000001</v>
      </c>
      <c r="T364" s="121">
        <v>45337</v>
      </c>
      <c r="U364" s="120"/>
      <c r="V364" s="120"/>
    </row>
    <row r="365" spans="1:22" ht="78" x14ac:dyDescent="0.3">
      <c r="A365" s="120">
        <v>362</v>
      </c>
      <c r="B365" s="120" t="s">
        <v>21</v>
      </c>
      <c r="C365" s="44" t="s">
        <v>805</v>
      </c>
      <c r="D365" s="120" t="s">
        <v>58</v>
      </c>
      <c r="E365" s="120" t="s">
        <v>75</v>
      </c>
      <c r="F365" s="44" t="s">
        <v>803</v>
      </c>
      <c r="G365" s="120" t="s">
        <v>186</v>
      </c>
      <c r="H365" s="120"/>
      <c r="I365" s="120">
        <v>9</v>
      </c>
      <c r="J365" s="120">
        <v>160.80065999999999</v>
      </c>
      <c r="K365" s="120"/>
      <c r="L365" s="120">
        <v>9</v>
      </c>
      <c r="M365" s="120">
        <v>160.80065999999999</v>
      </c>
      <c r="N365" s="6" t="s">
        <v>804</v>
      </c>
      <c r="O365" s="121">
        <v>45323</v>
      </c>
      <c r="P365" s="33" t="str">
        <f>HYPERLINK("https://my.zakupivli.pro/remote/dispatcher/state_purchase_view/48872463", "UA-2024-02-01-013588-a")</f>
        <v>UA-2024-02-01-013588-a</v>
      </c>
      <c r="Q365" s="120"/>
      <c r="R365" s="120"/>
      <c r="S365" s="120"/>
      <c r="T365" s="121"/>
      <c r="U365" s="146" t="s">
        <v>93</v>
      </c>
      <c r="V365" s="120"/>
    </row>
    <row r="366" spans="1:22" ht="62.4" x14ac:dyDescent="0.3">
      <c r="A366" s="120">
        <v>363</v>
      </c>
      <c r="B366" s="120" t="s">
        <v>21</v>
      </c>
      <c r="C366" s="120" t="s">
        <v>406</v>
      </c>
      <c r="D366" s="120" t="s">
        <v>58</v>
      </c>
      <c r="E366" s="120" t="s">
        <v>75</v>
      </c>
      <c r="F366" s="44" t="s">
        <v>807</v>
      </c>
      <c r="G366" s="120" t="s">
        <v>186</v>
      </c>
      <c r="H366" s="120"/>
      <c r="I366" s="120">
        <v>68</v>
      </c>
      <c r="J366" s="120">
        <v>4341.6660000000002</v>
      </c>
      <c r="K366" s="120"/>
      <c r="L366" s="120">
        <v>68</v>
      </c>
      <c r="M366" s="120">
        <v>4341.6660000000002</v>
      </c>
      <c r="N366" s="6" t="s">
        <v>806</v>
      </c>
      <c r="O366" s="121">
        <v>45323</v>
      </c>
      <c r="P366" s="33" t="str">
        <f>HYPERLINK("https://my.zakupivli.pro/remote/dispatcher/state_purchase_view/48872774", "UA-2024-02-01-013687-a")</f>
        <v>UA-2024-02-01-013687-a</v>
      </c>
      <c r="Q366" s="120"/>
      <c r="R366" s="120">
        <v>68</v>
      </c>
      <c r="S366" s="120">
        <v>4305.6054999999997</v>
      </c>
      <c r="T366" s="121">
        <v>45343</v>
      </c>
      <c r="U366" s="120"/>
      <c r="V366" s="120"/>
    </row>
    <row r="367" spans="1:22" ht="187.2" x14ac:dyDescent="0.3">
      <c r="A367" s="120">
        <v>364</v>
      </c>
      <c r="B367" s="124" t="s">
        <v>40</v>
      </c>
      <c r="C367" s="44" t="s">
        <v>41</v>
      </c>
      <c r="D367" s="124" t="s">
        <v>58</v>
      </c>
      <c r="E367" s="124" t="s">
        <v>88</v>
      </c>
      <c r="F367" s="44" t="s">
        <v>808</v>
      </c>
      <c r="G367" s="124" t="s">
        <v>184</v>
      </c>
      <c r="H367" s="120">
        <v>2583.86</v>
      </c>
      <c r="I367" s="120">
        <v>1</v>
      </c>
      <c r="J367" s="124">
        <v>2583.86</v>
      </c>
      <c r="K367" s="124">
        <v>2583.86</v>
      </c>
      <c r="L367" s="124">
        <v>1</v>
      </c>
      <c r="M367" s="124">
        <v>2583.86</v>
      </c>
      <c r="N367" s="6" t="s">
        <v>809</v>
      </c>
      <c r="O367" s="121">
        <v>45324</v>
      </c>
      <c r="P367" s="33" t="str">
        <f>HYPERLINK("https://my.zakupivli.pro/remote/dispatcher/state_purchase_view/48907510", "UA-2024-02-02-013046-a")</f>
        <v>UA-2024-02-02-013046-a</v>
      </c>
      <c r="Q367" s="124">
        <v>2567.0527400000001</v>
      </c>
      <c r="R367" s="124">
        <v>1</v>
      </c>
      <c r="S367" s="191">
        <v>2567.0527400000001</v>
      </c>
      <c r="T367" s="121">
        <v>45359</v>
      </c>
      <c r="U367" s="120"/>
      <c r="V367" s="120"/>
    </row>
    <row r="368" spans="1:22" ht="187.2" x14ac:dyDescent="0.3">
      <c r="A368" s="124">
        <v>365</v>
      </c>
      <c r="B368" s="124" t="s">
        <v>40</v>
      </c>
      <c r="C368" s="44" t="s">
        <v>41</v>
      </c>
      <c r="D368" s="124" t="s">
        <v>58</v>
      </c>
      <c r="E368" s="124" t="s">
        <v>88</v>
      </c>
      <c r="F368" s="44" t="s">
        <v>810</v>
      </c>
      <c r="G368" s="124" t="s">
        <v>184</v>
      </c>
      <c r="H368" s="119">
        <v>1958.6</v>
      </c>
      <c r="I368" s="124">
        <v>1</v>
      </c>
      <c r="J368" s="119">
        <v>1958.6</v>
      </c>
      <c r="K368" s="119">
        <v>1958.6</v>
      </c>
      <c r="L368" s="124">
        <v>1</v>
      </c>
      <c r="M368" s="119">
        <v>1958.6</v>
      </c>
      <c r="N368" s="6" t="s">
        <v>809</v>
      </c>
      <c r="O368" s="123">
        <v>45324</v>
      </c>
      <c r="P368" s="33" t="str">
        <f>HYPERLINK("https://my.zakupivli.pro/remote/dispatcher/state_purchase_view/48907510", "UA-2024-02-02-013046-a")</f>
        <v>UA-2024-02-02-013046-a</v>
      </c>
      <c r="Q368" s="124">
        <v>1931.6126200000001</v>
      </c>
      <c r="R368" s="124">
        <v>1</v>
      </c>
      <c r="S368" s="191">
        <v>1931.6126200000001</v>
      </c>
      <c r="T368" s="190">
        <v>45359</v>
      </c>
      <c r="U368" s="124"/>
      <c r="V368" s="124"/>
    </row>
    <row r="369" spans="1:22" ht="140.4" x14ac:dyDescent="0.3">
      <c r="A369" s="124">
        <v>366</v>
      </c>
      <c r="B369" s="124" t="s">
        <v>40</v>
      </c>
      <c r="C369" s="44" t="s">
        <v>41</v>
      </c>
      <c r="D369" s="124" t="s">
        <v>58</v>
      </c>
      <c r="E369" s="124" t="s">
        <v>88</v>
      </c>
      <c r="F369" s="44" t="s">
        <v>811</v>
      </c>
      <c r="G369" s="124" t="s">
        <v>184</v>
      </c>
      <c r="H369" s="124">
        <v>4673.54</v>
      </c>
      <c r="I369" s="124">
        <v>1</v>
      </c>
      <c r="J369" s="124">
        <v>4673.54</v>
      </c>
      <c r="K369" s="124">
        <v>4673.54</v>
      </c>
      <c r="L369" s="124">
        <v>1</v>
      </c>
      <c r="M369" s="124">
        <v>4673.54</v>
      </c>
      <c r="N369" s="6" t="s">
        <v>812</v>
      </c>
      <c r="O369" s="123">
        <v>45324</v>
      </c>
      <c r="P369" s="33" t="str">
        <f>HYPERLINK("https://my.zakupivli.pro/remote/dispatcher/state_purchase_view/48907505", "UA-2024-02-02-013037-a")</f>
        <v>UA-2024-02-02-013037-a</v>
      </c>
      <c r="Q369" s="124">
        <v>4671.54817</v>
      </c>
      <c r="R369" s="124">
        <v>1</v>
      </c>
      <c r="S369" s="146">
        <v>4671.54817</v>
      </c>
      <c r="T369" s="123">
        <v>45345</v>
      </c>
      <c r="U369" s="124"/>
      <c r="V369" s="124"/>
    </row>
    <row r="370" spans="1:22" ht="109.2" x14ac:dyDescent="0.3">
      <c r="A370" s="124">
        <v>367</v>
      </c>
      <c r="B370" s="124" t="s">
        <v>40</v>
      </c>
      <c r="C370" s="44" t="s">
        <v>41</v>
      </c>
      <c r="D370" s="124" t="s">
        <v>58</v>
      </c>
      <c r="E370" s="124" t="s">
        <v>88</v>
      </c>
      <c r="F370" s="44" t="s">
        <v>813</v>
      </c>
      <c r="G370" s="124" t="s">
        <v>184</v>
      </c>
      <c r="H370" s="124">
        <v>1456.78683</v>
      </c>
      <c r="I370" s="124">
        <v>1</v>
      </c>
      <c r="J370" s="124">
        <v>1456.78683</v>
      </c>
      <c r="K370" s="124">
        <v>1456.78683</v>
      </c>
      <c r="L370" s="124">
        <v>1</v>
      </c>
      <c r="M370" s="124">
        <v>1456.78683</v>
      </c>
      <c r="N370" s="6" t="s">
        <v>814</v>
      </c>
      <c r="O370" s="123">
        <v>45324</v>
      </c>
      <c r="P370" s="42" t="str">
        <f>HYPERLINK("https://my.zakupivli.pro/remote/dispatcher/state_purchase_view/48907317", "UA-2024-02-02-012973-a")</f>
        <v>UA-2024-02-02-012973-a</v>
      </c>
      <c r="Q370" s="124">
        <v>1351.3407400000001</v>
      </c>
      <c r="R370" s="124">
        <v>1</v>
      </c>
      <c r="S370" s="146">
        <v>1351.3407400000001</v>
      </c>
      <c r="T370" s="123">
        <v>45341</v>
      </c>
      <c r="U370" s="124"/>
      <c r="V370" s="124"/>
    </row>
    <row r="371" spans="1:22" ht="140.4" x14ac:dyDescent="0.3">
      <c r="A371" s="124">
        <v>368</v>
      </c>
      <c r="B371" s="124" t="s">
        <v>40</v>
      </c>
      <c r="C371" s="44" t="s">
        <v>41</v>
      </c>
      <c r="D371" s="124" t="s">
        <v>58</v>
      </c>
      <c r="E371" s="124" t="s">
        <v>88</v>
      </c>
      <c r="F371" s="44" t="s">
        <v>815</v>
      </c>
      <c r="G371" s="124" t="s">
        <v>184</v>
      </c>
      <c r="H371" s="124">
        <v>2280.23</v>
      </c>
      <c r="I371" s="124">
        <v>1</v>
      </c>
      <c r="J371" s="124">
        <v>2280.23</v>
      </c>
      <c r="K371" s="124">
        <v>2280.23</v>
      </c>
      <c r="L371" s="124">
        <v>1</v>
      </c>
      <c r="M371" s="124">
        <v>2280.23</v>
      </c>
      <c r="N371" s="6" t="s">
        <v>816</v>
      </c>
      <c r="O371" s="123">
        <v>45324</v>
      </c>
      <c r="P371" s="33" t="str">
        <f>HYPERLINK("https://my.zakupivli.pro/remote/dispatcher/state_purchase_view/48907249", "UA-2024-02-02-012931-a")</f>
        <v>UA-2024-02-02-012931-a</v>
      </c>
      <c r="Q371" s="124">
        <v>2208.3333299999999</v>
      </c>
      <c r="R371" s="124">
        <v>1</v>
      </c>
      <c r="S371" s="191">
        <v>2208.3333299999999</v>
      </c>
      <c r="T371" s="123">
        <v>45358</v>
      </c>
      <c r="U371" s="124"/>
      <c r="V371" s="124"/>
    </row>
    <row r="372" spans="1:22" ht="234" x14ac:dyDescent="0.3">
      <c r="A372" s="124">
        <v>369</v>
      </c>
      <c r="B372" s="124" t="s">
        <v>40</v>
      </c>
      <c r="C372" s="44" t="s">
        <v>41</v>
      </c>
      <c r="D372" s="124" t="s">
        <v>58</v>
      </c>
      <c r="E372" s="124" t="s">
        <v>88</v>
      </c>
      <c r="F372" s="44" t="s">
        <v>817</v>
      </c>
      <c r="G372" s="124" t="s">
        <v>184</v>
      </c>
      <c r="H372" s="124">
        <v>1505.6904</v>
      </c>
      <c r="I372" s="124">
        <v>1</v>
      </c>
      <c r="J372" s="124">
        <v>1505.6904</v>
      </c>
      <c r="K372" s="124">
        <v>1505.6904</v>
      </c>
      <c r="L372" s="124">
        <v>1</v>
      </c>
      <c r="M372" s="124">
        <v>1505.6904</v>
      </c>
      <c r="N372" s="6" t="s">
        <v>821</v>
      </c>
      <c r="O372" s="123">
        <v>45324</v>
      </c>
      <c r="P372" s="33" t="str">
        <f>HYPERLINK("https://my.zakupivli.pro/remote/dispatcher/state_purchase_view/48906477", "UA-2024-02-02-012574-a")</f>
        <v>UA-2024-02-02-012574-a</v>
      </c>
      <c r="Q372" s="124">
        <v>1505.5498399999999</v>
      </c>
      <c r="R372" s="124">
        <v>1</v>
      </c>
      <c r="S372" s="146">
        <v>1505.5498399999999</v>
      </c>
      <c r="T372" s="123">
        <v>45345</v>
      </c>
      <c r="U372" s="124"/>
      <c r="V372" s="124"/>
    </row>
    <row r="373" spans="1:22" ht="234" x14ac:dyDescent="0.3">
      <c r="A373" s="124">
        <v>370</v>
      </c>
      <c r="B373" s="124" t="s">
        <v>40</v>
      </c>
      <c r="C373" s="44" t="s">
        <v>41</v>
      </c>
      <c r="D373" s="124" t="s">
        <v>58</v>
      </c>
      <c r="E373" s="124" t="s">
        <v>88</v>
      </c>
      <c r="F373" s="44" t="s">
        <v>818</v>
      </c>
      <c r="G373" s="124" t="s">
        <v>184</v>
      </c>
      <c r="H373" s="124">
        <v>3363.5384899999999</v>
      </c>
      <c r="I373" s="124">
        <v>1</v>
      </c>
      <c r="J373" s="124">
        <v>3363.5384899999999</v>
      </c>
      <c r="K373" s="124">
        <v>3363.5384899999999</v>
      </c>
      <c r="L373" s="124">
        <v>1</v>
      </c>
      <c r="M373" s="124">
        <v>3363.5384899999999</v>
      </c>
      <c r="N373" s="6" t="s">
        <v>821</v>
      </c>
      <c r="O373" s="123">
        <v>45324</v>
      </c>
      <c r="P373" s="33" t="str">
        <f>HYPERLINK("https://my.zakupivli.pro/remote/dispatcher/state_purchase_view/48906477", "UA-2024-02-02-012574-a")</f>
        <v>UA-2024-02-02-012574-a</v>
      </c>
      <c r="Q373" s="124">
        <v>3363.5246499999998</v>
      </c>
      <c r="R373" s="124">
        <v>1</v>
      </c>
      <c r="S373" s="146">
        <v>3363.5246499999998</v>
      </c>
      <c r="T373" s="147">
        <v>45345</v>
      </c>
      <c r="U373" s="124"/>
      <c r="V373" s="124"/>
    </row>
    <row r="374" spans="1:22" ht="234" x14ac:dyDescent="0.3">
      <c r="A374" s="124">
        <v>371</v>
      </c>
      <c r="B374" s="124" t="s">
        <v>40</v>
      </c>
      <c r="C374" s="44" t="s">
        <v>41</v>
      </c>
      <c r="D374" s="124" t="s">
        <v>58</v>
      </c>
      <c r="E374" s="124" t="s">
        <v>88</v>
      </c>
      <c r="F374" s="44" t="s">
        <v>819</v>
      </c>
      <c r="G374" s="124" t="s">
        <v>184</v>
      </c>
      <c r="H374" s="124">
        <v>3330.2784900000001</v>
      </c>
      <c r="I374" s="124">
        <v>1</v>
      </c>
      <c r="J374" s="124">
        <v>3330.2784900000001</v>
      </c>
      <c r="K374" s="124">
        <v>3330.2784900000001</v>
      </c>
      <c r="L374" s="124">
        <v>1</v>
      </c>
      <c r="M374" s="124">
        <v>3330.2784900000001</v>
      </c>
      <c r="N374" s="6" t="s">
        <v>821</v>
      </c>
      <c r="O374" s="123">
        <v>45324</v>
      </c>
      <c r="P374" s="33" t="str">
        <f>HYPERLINK("https://my.zakupivli.pro/remote/dispatcher/state_purchase_view/48906477", "UA-2024-02-02-012574-a")</f>
        <v>UA-2024-02-02-012574-a</v>
      </c>
      <c r="Q374" s="124">
        <v>3330.23414</v>
      </c>
      <c r="R374" s="124">
        <v>1</v>
      </c>
      <c r="S374" s="146">
        <v>3330.23414</v>
      </c>
      <c r="T374" s="147">
        <v>45345</v>
      </c>
      <c r="U374" s="124"/>
      <c r="V374" s="124"/>
    </row>
    <row r="375" spans="1:22" ht="234" x14ac:dyDescent="0.3">
      <c r="A375" s="124">
        <v>372</v>
      </c>
      <c r="B375" s="124" t="s">
        <v>40</v>
      </c>
      <c r="C375" s="44" t="s">
        <v>41</v>
      </c>
      <c r="D375" s="124" t="s">
        <v>58</v>
      </c>
      <c r="E375" s="124" t="s">
        <v>88</v>
      </c>
      <c r="F375" s="44" t="s">
        <v>820</v>
      </c>
      <c r="G375" s="124" t="s">
        <v>184</v>
      </c>
      <c r="H375" s="124">
        <v>2156.20631</v>
      </c>
      <c r="I375" s="124">
        <v>1</v>
      </c>
      <c r="J375" s="124">
        <v>2156.20631</v>
      </c>
      <c r="K375" s="124">
        <v>2156.20631</v>
      </c>
      <c r="L375" s="124">
        <v>1</v>
      </c>
      <c r="M375" s="124">
        <v>2156.20631</v>
      </c>
      <c r="N375" s="6" t="s">
        <v>821</v>
      </c>
      <c r="O375" s="123">
        <v>45324</v>
      </c>
      <c r="P375" s="33" t="str">
        <f>HYPERLINK("https://my.zakupivli.pro/remote/dispatcher/state_purchase_view/48906477", "UA-2024-02-02-012574-a")</f>
        <v>UA-2024-02-02-012574-a</v>
      </c>
      <c r="Q375" s="124">
        <v>2156.0509999999999</v>
      </c>
      <c r="R375" s="124">
        <v>1</v>
      </c>
      <c r="S375" s="146">
        <v>2156.0509999999999</v>
      </c>
      <c r="T375" s="147">
        <v>45345</v>
      </c>
      <c r="U375" s="124"/>
      <c r="V375" s="124"/>
    </row>
    <row r="376" spans="1:22" ht="140.4" x14ac:dyDescent="0.3">
      <c r="A376" s="124">
        <v>373</v>
      </c>
      <c r="B376" s="124" t="s">
        <v>40</v>
      </c>
      <c r="C376" s="44" t="s">
        <v>41</v>
      </c>
      <c r="D376" s="124" t="s">
        <v>58</v>
      </c>
      <c r="E376" s="124" t="s">
        <v>88</v>
      </c>
      <c r="F376" s="44" t="s">
        <v>822</v>
      </c>
      <c r="G376" s="124" t="s">
        <v>184</v>
      </c>
      <c r="H376" s="119">
        <v>5482.5</v>
      </c>
      <c r="I376" s="124">
        <v>1</v>
      </c>
      <c r="J376" s="119">
        <v>5482.5</v>
      </c>
      <c r="K376" s="119">
        <v>5482.5</v>
      </c>
      <c r="L376" s="124">
        <v>1</v>
      </c>
      <c r="M376" s="119">
        <v>5482.5</v>
      </c>
      <c r="N376" s="6" t="s">
        <v>823</v>
      </c>
      <c r="O376" s="123">
        <v>45324</v>
      </c>
      <c r="P376" s="42" t="str">
        <f>HYPERLINK("https://my.zakupivli.pro/remote/dispatcher/state_purchase_view/48906433", "UA-2024-02-02-012545-a")</f>
        <v>UA-2024-02-02-012545-a</v>
      </c>
      <c r="Q376" s="124">
        <v>5395.5066699999998</v>
      </c>
      <c r="R376" s="124">
        <v>1</v>
      </c>
      <c r="S376" s="191">
        <v>5395.5066699999998</v>
      </c>
      <c r="T376" s="123">
        <v>45358</v>
      </c>
      <c r="U376" s="124"/>
      <c r="V376" s="124"/>
    </row>
    <row r="377" spans="1:22" ht="218.4" x14ac:dyDescent="0.3">
      <c r="A377" s="124">
        <v>374</v>
      </c>
      <c r="B377" s="124" t="s">
        <v>40</v>
      </c>
      <c r="C377" s="44" t="s">
        <v>41</v>
      </c>
      <c r="D377" s="124" t="s">
        <v>58</v>
      </c>
      <c r="E377" s="124" t="s">
        <v>88</v>
      </c>
      <c r="F377" s="44" t="s">
        <v>824</v>
      </c>
      <c r="G377" s="124" t="s">
        <v>184</v>
      </c>
      <c r="H377" s="124">
        <v>2525.36</v>
      </c>
      <c r="I377" s="124">
        <v>1</v>
      </c>
      <c r="J377" s="124">
        <v>2525.36</v>
      </c>
      <c r="K377" s="124">
        <v>2525.36</v>
      </c>
      <c r="L377" s="124">
        <v>1</v>
      </c>
      <c r="M377" s="124">
        <v>2525.36</v>
      </c>
      <c r="N377" s="6" t="s">
        <v>826</v>
      </c>
      <c r="O377" s="123">
        <v>45324</v>
      </c>
      <c r="P377" s="33" t="str">
        <f>HYPERLINK("https://my.zakupivli.pro/remote/dispatcher/state_purchase_view/48906057", "UA-2024-02-02-012435-a")</f>
        <v>UA-2024-02-02-012435-a</v>
      </c>
      <c r="Q377" s="124">
        <v>2525.2122399999998</v>
      </c>
      <c r="R377" s="124">
        <v>1</v>
      </c>
      <c r="S377" s="146">
        <v>2525.2122399999998</v>
      </c>
      <c r="T377" s="123">
        <v>45345</v>
      </c>
      <c r="U377" s="124"/>
      <c r="V377" s="124"/>
    </row>
    <row r="378" spans="1:22" ht="218.4" x14ac:dyDescent="0.3">
      <c r="A378" s="124">
        <v>375</v>
      </c>
      <c r="B378" s="124" t="s">
        <v>40</v>
      </c>
      <c r="C378" s="44" t="s">
        <v>41</v>
      </c>
      <c r="D378" s="124" t="s">
        <v>58</v>
      </c>
      <c r="E378" s="124" t="s">
        <v>88</v>
      </c>
      <c r="F378" s="44" t="s">
        <v>825</v>
      </c>
      <c r="G378" s="124" t="s">
        <v>184</v>
      </c>
      <c r="H378" s="124">
        <v>7262.14</v>
      </c>
      <c r="I378" s="124">
        <v>1</v>
      </c>
      <c r="J378" s="124">
        <v>7262.14</v>
      </c>
      <c r="K378" s="124">
        <v>7262.14</v>
      </c>
      <c r="L378" s="124">
        <v>1</v>
      </c>
      <c r="M378" s="124">
        <v>7262.14</v>
      </c>
      <c r="N378" s="6" t="s">
        <v>826</v>
      </c>
      <c r="O378" s="123">
        <v>45324</v>
      </c>
      <c r="P378" s="33" t="str">
        <f>HYPERLINK("https://my.zakupivli.pro/remote/dispatcher/state_purchase_view/48906057", "UA-2024-02-02-012435-a")</f>
        <v>UA-2024-02-02-012435-a</v>
      </c>
      <c r="Q378" s="124">
        <v>7082.54709</v>
      </c>
      <c r="R378" s="124">
        <v>1</v>
      </c>
      <c r="S378" s="146">
        <v>7082.54709</v>
      </c>
      <c r="T378" s="147">
        <v>45345</v>
      </c>
      <c r="U378" s="124"/>
      <c r="V378" s="124"/>
    </row>
    <row r="379" spans="1:22" ht="140.4" x14ac:dyDescent="0.3">
      <c r="A379" s="124">
        <v>376</v>
      </c>
      <c r="B379" s="124" t="s">
        <v>40</v>
      </c>
      <c r="C379" s="44" t="s">
        <v>41</v>
      </c>
      <c r="D379" s="124" t="s">
        <v>58</v>
      </c>
      <c r="E379" s="124" t="s">
        <v>88</v>
      </c>
      <c r="F379" s="44" t="s">
        <v>827</v>
      </c>
      <c r="G379" s="124" t="s">
        <v>184</v>
      </c>
      <c r="H379" s="124">
        <v>3379.05</v>
      </c>
      <c r="I379" s="124">
        <v>1</v>
      </c>
      <c r="J379" s="124">
        <v>3379.05</v>
      </c>
      <c r="K379" s="124">
        <v>3379.05</v>
      </c>
      <c r="L379" s="124">
        <v>1</v>
      </c>
      <c r="M379" s="124">
        <v>3379.05</v>
      </c>
      <c r="N379" s="6" t="s">
        <v>828</v>
      </c>
      <c r="O379" s="123">
        <v>45324</v>
      </c>
      <c r="P379" s="33" t="str">
        <f>HYPERLINK("https://my.zakupivli.pro/remote/dispatcher/state_purchase_view/48905507", "UA-2024-02-02-012110-a")</f>
        <v>UA-2024-02-02-012110-a</v>
      </c>
      <c r="Q379" s="124">
        <v>3369.45262</v>
      </c>
      <c r="R379" s="124">
        <v>1</v>
      </c>
      <c r="S379" s="146">
        <v>3369.45262</v>
      </c>
      <c r="T379" s="147">
        <v>45345</v>
      </c>
      <c r="U379" s="124"/>
      <c r="V379" s="124"/>
    </row>
    <row r="380" spans="1:22" ht="140.4" x14ac:dyDescent="0.3">
      <c r="A380" s="124">
        <v>377</v>
      </c>
      <c r="B380" s="124" t="s">
        <v>40</v>
      </c>
      <c r="C380" s="44" t="s">
        <v>41</v>
      </c>
      <c r="D380" s="124" t="s">
        <v>58</v>
      </c>
      <c r="E380" s="124" t="s">
        <v>88</v>
      </c>
      <c r="F380" s="44" t="s">
        <v>829</v>
      </c>
      <c r="G380" s="124" t="s">
        <v>184</v>
      </c>
      <c r="H380" s="124">
        <v>5108.74</v>
      </c>
      <c r="I380" s="124">
        <v>1</v>
      </c>
      <c r="J380" s="124">
        <v>5108.74</v>
      </c>
      <c r="K380" s="124">
        <v>5108.74</v>
      </c>
      <c r="L380" s="124">
        <v>1</v>
      </c>
      <c r="M380" s="124">
        <v>5108.74</v>
      </c>
      <c r="N380" s="6" t="s">
        <v>830</v>
      </c>
      <c r="O380" s="123">
        <v>45324</v>
      </c>
      <c r="P380" s="33" t="str">
        <f>HYPERLINK("https://my.zakupivli.pro/remote/dispatcher/state_purchase_view/48905205", "UA-2024-02-02-011984-a")</f>
        <v>UA-2024-02-02-011984-a</v>
      </c>
      <c r="Q380" s="124">
        <v>5108.5941199999997</v>
      </c>
      <c r="R380" s="124">
        <v>1</v>
      </c>
      <c r="S380" s="146">
        <v>5108.5941199999997</v>
      </c>
      <c r="T380" s="123">
        <v>45345</v>
      </c>
      <c r="U380" s="124"/>
      <c r="V380" s="124"/>
    </row>
    <row r="381" spans="1:22" ht="124.8" x14ac:dyDescent="0.3">
      <c r="A381" s="124">
        <v>378</v>
      </c>
      <c r="B381" s="124" t="s">
        <v>40</v>
      </c>
      <c r="C381" s="44" t="s">
        <v>41</v>
      </c>
      <c r="D381" s="124" t="s">
        <v>58</v>
      </c>
      <c r="E381" s="124" t="s">
        <v>88</v>
      </c>
      <c r="F381" s="44" t="s">
        <v>831</v>
      </c>
      <c r="G381" s="124" t="s">
        <v>184</v>
      </c>
      <c r="H381" s="124">
        <v>3600.39</v>
      </c>
      <c r="I381" s="124">
        <v>1</v>
      </c>
      <c r="J381" s="124">
        <v>3600.39</v>
      </c>
      <c r="K381" s="124">
        <v>3600.39</v>
      </c>
      <c r="L381" s="124">
        <v>1</v>
      </c>
      <c r="M381" s="124">
        <v>3600.39</v>
      </c>
      <c r="N381" s="6" t="s">
        <v>832</v>
      </c>
      <c r="O381" s="123">
        <v>45324</v>
      </c>
      <c r="P381" s="33" t="str">
        <f>HYPERLINK("https://my.zakupivli.pro/remote/dispatcher/state_purchase_view/48904634", "UA-2024-02-02-011751-a")</f>
        <v>UA-2024-02-02-011751-a</v>
      </c>
      <c r="Q381" s="124">
        <v>3595.6838499999999</v>
      </c>
      <c r="R381" s="124">
        <v>1</v>
      </c>
      <c r="S381" s="146">
        <v>3595.6838499999999</v>
      </c>
      <c r="T381" s="123">
        <v>45343</v>
      </c>
      <c r="U381" s="124"/>
      <c r="V381" s="124"/>
    </row>
    <row r="382" spans="1:22" ht="109.2" x14ac:dyDescent="0.3">
      <c r="A382" s="124">
        <v>379</v>
      </c>
      <c r="B382" s="124" t="s">
        <v>40</v>
      </c>
      <c r="C382" s="44" t="s">
        <v>41</v>
      </c>
      <c r="D382" s="124" t="s">
        <v>58</v>
      </c>
      <c r="E382" s="124" t="s">
        <v>88</v>
      </c>
      <c r="F382" s="44" t="s">
        <v>833</v>
      </c>
      <c r="G382" s="124" t="s">
        <v>184</v>
      </c>
      <c r="H382" s="124">
        <v>3061.681</v>
      </c>
      <c r="I382" s="124">
        <v>1</v>
      </c>
      <c r="J382" s="124">
        <v>3061.681</v>
      </c>
      <c r="K382" s="124">
        <v>3061.681</v>
      </c>
      <c r="L382" s="124">
        <v>1</v>
      </c>
      <c r="M382" s="124">
        <v>3061.681</v>
      </c>
      <c r="N382" s="6" t="s">
        <v>834</v>
      </c>
      <c r="O382" s="123">
        <v>45324</v>
      </c>
      <c r="P382" s="33" t="str">
        <f>HYPERLINK("https://my.zakupivli.pro/remote/dispatcher/state_purchase_view/48904467", "UA-2024-02-02-011638-a")</f>
        <v>UA-2024-02-02-011638-a</v>
      </c>
      <c r="Q382" s="124">
        <v>3047.6784499999999</v>
      </c>
      <c r="R382" s="124">
        <v>1</v>
      </c>
      <c r="S382" s="146">
        <v>3047.6784499999999</v>
      </c>
      <c r="T382" s="123">
        <v>45342</v>
      </c>
      <c r="U382" s="124"/>
      <c r="V382" s="124"/>
    </row>
    <row r="383" spans="1:22" ht="109.2" x14ac:dyDescent="0.3">
      <c r="A383" s="124">
        <v>380</v>
      </c>
      <c r="B383" s="124" t="s">
        <v>40</v>
      </c>
      <c r="C383" s="44" t="s">
        <v>41</v>
      </c>
      <c r="D383" s="124" t="s">
        <v>58</v>
      </c>
      <c r="E383" s="124" t="s">
        <v>88</v>
      </c>
      <c r="F383" s="44" t="s">
        <v>835</v>
      </c>
      <c r="G383" s="124" t="s">
        <v>184</v>
      </c>
      <c r="H383" s="124">
        <v>3249.9830000000002</v>
      </c>
      <c r="I383" s="124">
        <v>1</v>
      </c>
      <c r="J383" s="124">
        <v>3249.9830000000002</v>
      </c>
      <c r="K383" s="124">
        <v>3249.9830000000002</v>
      </c>
      <c r="L383" s="124">
        <v>1</v>
      </c>
      <c r="M383" s="124">
        <v>3249.9830000000002</v>
      </c>
      <c r="N383" s="6" t="s">
        <v>836</v>
      </c>
      <c r="O383" s="123">
        <v>45324</v>
      </c>
      <c r="P383" s="33" t="str">
        <f>HYPERLINK("https://my.zakupivli.pro/remote/dispatcher/state_purchase_view/48904066", "UA-2024-02-02-011602-a")</f>
        <v>UA-2024-02-02-011602-a</v>
      </c>
      <c r="Q383" s="124">
        <v>3244.7617</v>
      </c>
      <c r="R383" s="124">
        <v>1</v>
      </c>
      <c r="S383" s="146">
        <v>3244.7617</v>
      </c>
      <c r="T383" s="147">
        <v>45342</v>
      </c>
      <c r="U383" s="124"/>
      <c r="V383" s="124"/>
    </row>
    <row r="384" spans="1:22" ht="202.8" x14ac:dyDescent="0.3">
      <c r="A384" s="124">
        <v>381</v>
      </c>
      <c r="B384" s="124" t="s">
        <v>40</v>
      </c>
      <c r="C384" s="44" t="s">
        <v>41</v>
      </c>
      <c r="D384" s="124" t="s">
        <v>58</v>
      </c>
      <c r="E384" s="124" t="s">
        <v>88</v>
      </c>
      <c r="F384" s="44" t="s">
        <v>837</v>
      </c>
      <c r="G384" s="124" t="s">
        <v>184</v>
      </c>
      <c r="H384" s="124">
        <v>8349.8189399999992</v>
      </c>
      <c r="I384" s="124">
        <v>1</v>
      </c>
      <c r="J384" s="124">
        <v>8349.8189399999992</v>
      </c>
      <c r="K384" s="124">
        <v>8349.8189399999992</v>
      </c>
      <c r="L384" s="124">
        <v>1</v>
      </c>
      <c r="M384" s="124">
        <v>8349.8189399999992</v>
      </c>
      <c r="N384" s="6" t="s">
        <v>839</v>
      </c>
      <c r="O384" s="123">
        <v>45324</v>
      </c>
      <c r="P384" s="33" t="str">
        <f>HYPERLINK("https://my.zakupivli.pro/remote/dispatcher/state_purchase_view/48903944", "UA-2024-02-02-011459-a")</f>
        <v>UA-2024-02-02-011459-a</v>
      </c>
      <c r="Q384" s="124"/>
      <c r="R384" s="124"/>
      <c r="S384" s="124"/>
      <c r="T384" s="123"/>
      <c r="U384" s="131" t="s">
        <v>93</v>
      </c>
      <c r="V384" s="124"/>
    </row>
    <row r="385" spans="1:22" ht="218.4" x14ac:dyDescent="0.3">
      <c r="A385" s="124">
        <v>382</v>
      </c>
      <c r="B385" s="124" t="s">
        <v>40</v>
      </c>
      <c r="C385" s="44" t="s">
        <v>41</v>
      </c>
      <c r="D385" s="124" t="s">
        <v>58</v>
      </c>
      <c r="E385" s="124" t="s">
        <v>88</v>
      </c>
      <c r="F385" s="44" t="s">
        <v>838</v>
      </c>
      <c r="G385" s="124" t="s">
        <v>184</v>
      </c>
      <c r="H385" s="124">
        <v>6432.3817799999997</v>
      </c>
      <c r="I385" s="124">
        <v>1</v>
      </c>
      <c r="J385" s="124">
        <v>6432.3817799999997</v>
      </c>
      <c r="K385" s="124">
        <v>6432.3817799999997</v>
      </c>
      <c r="L385" s="124">
        <v>1</v>
      </c>
      <c r="M385" s="124">
        <v>6432.3817799999997</v>
      </c>
      <c r="N385" s="6" t="s">
        <v>839</v>
      </c>
      <c r="O385" s="123">
        <v>45324</v>
      </c>
      <c r="P385" s="33" t="str">
        <f>HYPERLINK("https://my.zakupivli.pro/remote/dispatcher/state_purchase_view/48903944", "UA-2024-02-02-011459-a")</f>
        <v>UA-2024-02-02-011459-a</v>
      </c>
      <c r="Q385" s="124"/>
      <c r="R385" s="124"/>
      <c r="S385" s="124"/>
      <c r="T385" s="123"/>
      <c r="U385" s="131" t="s">
        <v>93</v>
      </c>
      <c r="V385" s="124"/>
    </row>
    <row r="386" spans="1:22" ht="140.4" x14ac:dyDescent="0.3">
      <c r="A386" s="124">
        <v>383</v>
      </c>
      <c r="B386" s="124" t="s">
        <v>40</v>
      </c>
      <c r="C386" s="44" t="s">
        <v>41</v>
      </c>
      <c r="D386" s="124" t="s">
        <v>58</v>
      </c>
      <c r="E386" s="124" t="s">
        <v>88</v>
      </c>
      <c r="F386" s="44" t="s">
        <v>840</v>
      </c>
      <c r="G386" s="124" t="s">
        <v>184</v>
      </c>
      <c r="H386" s="124">
        <v>1489.52</v>
      </c>
      <c r="I386" s="124">
        <v>1</v>
      </c>
      <c r="J386" s="124">
        <v>1489.52</v>
      </c>
      <c r="K386" s="124">
        <v>1489.52</v>
      </c>
      <c r="L386" s="124">
        <v>1</v>
      </c>
      <c r="M386" s="124">
        <v>1489.52</v>
      </c>
      <c r="N386" s="6" t="s">
        <v>841</v>
      </c>
      <c r="O386" s="123">
        <v>45324</v>
      </c>
      <c r="P386" s="33" t="str">
        <f>HYPERLINK("https://my.zakupivli.pro/remote/dispatcher/state_purchase_view/48903877", "UA-2024-02-02-011398-a")</f>
        <v>UA-2024-02-02-011398-a</v>
      </c>
      <c r="Q386" s="119">
        <v>1375</v>
      </c>
      <c r="R386" s="124">
        <v>1</v>
      </c>
      <c r="S386" s="119">
        <v>1375</v>
      </c>
      <c r="T386" s="123">
        <v>45342</v>
      </c>
      <c r="U386" s="124"/>
      <c r="V386" s="124"/>
    </row>
    <row r="387" spans="1:22" ht="140.4" x14ac:dyDescent="0.3">
      <c r="A387" s="124">
        <v>384</v>
      </c>
      <c r="B387" s="124" t="s">
        <v>40</v>
      </c>
      <c r="C387" s="44" t="s">
        <v>41</v>
      </c>
      <c r="D387" s="124" t="s">
        <v>58</v>
      </c>
      <c r="E387" s="124" t="s">
        <v>88</v>
      </c>
      <c r="F387" s="44" t="s">
        <v>842</v>
      </c>
      <c r="G387" s="124" t="s">
        <v>184</v>
      </c>
      <c r="H387" s="124">
        <v>1842.9317599999999</v>
      </c>
      <c r="I387" s="124">
        <v>1</v>
      </c>
      <c r="J387" s="124">
        <v>1842.9317599999999</v>
      </c>
      <c r="K387" s="124">
        <v>1842.9317599999999</v>
      </c>
      <c r="L387" s="124">
        <v>1</v>
      </c>
      <c r="M387" s="124">
        <v>1842.9317599999999</v>
      </c>
      <c r="N387" s="6" t="s">
        <v>843</v>
      </c>
      <c r="O387" s="123">
        <v>45324</v>
      </c>
      <c r="P387" s="33" t="str">
        <f>HYPERLINK("https://my.zakupivli.pro/remote/dispatcher/state_purchase_view/48903690", "UA-2024-02-02-011282-a")</f>
        <v>UA-2024-02-02-011282-a</v>
      </c>
      <c r="Q387" s="124">
        <v>1545.0863999999999</v>
      </c>
      <c r="R387" s="124">
        <v>1</v>
      </c>
      <c r="S387" s="146">
        <v>1545.0863999999999</v>
      </c>
      <c r="T387" s="147">
        <v>45342</v>
      </c>
      <c r="U387" s="124"/>
      <c r="V387" s="124"/>
    </row>
    <row r="388" spans="1:22" ht="124.8" x14ac:dyDescent="0.3">
      <c r="A388" s="124">
        <v>385</v>
      </c>
      <c r="B388" s="124" t="s">
        <v>40</v>
      </c>
      <c r="C388" s="44" t="s">
        <v>41</v>
      </c>
      <c r="D388" s="124" t="s">
        <v>58</v>
      </c>
      <c r="E388" s="124" t="s">
        <v>88</v>
      </c>
      <c r="F388" s="41" t="s">
        <v>844</v>
      </c>
      <c r="G388" s="124" t="s">
        <v>184</v>
      </c>
      <c r="H388" s="124">
        <v>1965.6579999999999</v>
      </c>
      <c r="I388" s="124">
        <v>1</v>
      </c>
      <c r="J388" s="124">
        <v>1965.6579999999999</v>
      </c>
      <c r="K388" s="124">
        <v>1965.6579999999999</v>
      </c>
      <c r="L388" s="124">
        <v>1</v>
      </c>
      <c r="M388" s="124">
        <v>1965.6579999999999</v>
      </c>
      <c r="N388" s="6" t="s">
        <v>845</v>
      </c>
      <c r="O388" s="123">
        <v>45324</v>
      </c>
      <c r="P388" s="33" t="str">
        <f>HYPERLINK("https://my.zakupivli.pro/remote/dispatcher/state_purchase_view/48903252", "UA-2024-02-02-011124-a")</f>
        <v>UA-2024-02-02-011124-a</v>
      </c>
      <c r="Q388" s="124">
        <v>1929.05405</v>
      </c>
      <c r="R388" s="124">
        <v>1</v>
      </c>
      <c r="S388" s="146">
        <v>1929.05405</v>
      </c>
      <c r="T388" s="147">
        <v>45342</v>
      </c>
      <c r="U388" s="124"/>
      <c r="V388" s="124"/>
    </row>
    <row r="389" spans="1:22" ht="124.8" x14ac:dyDescent="0.3">
      <c r="A389" s="124">
        <v>386</v>
      </c>
      <c r="B389" s="124" t="s">
        <v>40</v>
      </c>
      <c r="C389" s="44" t="s">
        <v>41</v>
      </c>
      <c r="D389" s="124" t="s">
        <v>58</v>
      </c>
      <c r="E389" s="124" t="s">
        <v>88</v>
      </c>
      <c r="F389" s="44" t="s">
        <v>846</v>
      </c>
      <c r="G389" s="124" t="s">
        <v>184</v>
      </c>
      <c r="H389" s="124">
        <v>2855.15</v>
      </c>
      <c r="I389" s="124">
        <v>1</v>
      </c>
      <c r="J389" s="124">
        <v>2855.15</v>
      </c>
      <c r="K389" s="124">
        <v>2855.15</v>
      </c>
      <c r="L389" s="124">
        <v>1</v>
      </c>
      <c r="M389" s="124">
        <v>2855.15</v>
      </c>
      <c r="N389" s="6" t="s">
        <v>847</v>
      </c>
      <c r="O389" s="123">
        <v>45324</v>
      </c>
      <c r="P389" s="33" t="str">
        <f>HYPERLINK("https://my.zakupivli.pro/remote/dispatcher/state_purchase_view/48903036", "UA-2024-02-02-010994-a")</f>
        <v>UA-2024-02-02-010994-a</v>
      </c>
      <c r="Q389" s="124">
        <v>2853.7132700000002</v>
      </c>
      <c r="R389" s="124">
        <v>1</v>
      </c>
      <c r="S389" s="146">
        <v>2853.7132700000002</v>
      </c>
      <c r="T389" s="123">
        <v>45345</v>
      </c>
      <c r="U389" s="124"/>
      <c r="V389" s="124"/>
    </row>
    <row r="390" spans="1:22" ht="62.4" x14ac:dyDescent="0.3">
      <c r="A390" s="124">
        <v>387</v>
      </c>
      <c r="B390" s="124" t="s">
        <v>40</v>
      </c>
      <c r="C390" s="44" t="s">
        <v>73</v>
      </c>
      <c r="D390" s="124"/>
      <c r="E390" s="124" t="s">
        <v>75</v>
      </c>
      <c r="F390" s="44" t="s">
        <v>848</v>
      </c>
      <c r="G390" s="124" t="s">
        <v>184</v>
      </c>
      <c r="H390" s="124">
        <v>156.30500000000001</v>
      </c>
      <c r="I390" s="124">
        <v>1</v>
      </c>
      <c r="J390" s="124">
        <v>156.30500000000001</v>
      </c>
      <c r="K390" s="124">
        <v>156.30500000000001</v>
      </c>
      <c r="L390" s="124">
        <v>1</v>
      </c>
      <c r="M390" s="124">
        <v>156.30500000000001</v>
      </c>
      <c r="N390" s="6" t="s">
        <v>851</v>
      </c>
      <c r="O390" s="123">
        <v>45324</v>
      </c>
      <c r="P390" s="33" t="str">
        <f>HYPERLINK("https://my.zakupivli.pro/remote/dispatcher/state_purchase_view/48906947", "UA-2024-02-02-012790-a")</f>
        <v>UA-2024-02-02-012790-a</v>
      </c>
      <c r="Q390" s="124">
        <v>156.30500000000001</v>
      </c>
      <c r="R390" s="124">
        <v>1</v>
      </c>
      <c r="S390" s="124">
        <v>156.30500000000001</v>
      </c>
      <c r="T390" s="155">
        <v>45324</v>
      </c>
      <c r="U390" s="124"/>
      <c r="V390" s="124" t="s">
        <v>59</v>
      </c>
    </row>
    <row r="391" spans="1:22" ht="62.4" x14ac:dyDescent="0.3">
      <c r="A391" s="124">
        <v>388</v>
      </c>
      <c r="B391" s="124" t="s">
        <v>40</v>
      </c>
      <c r="C391" s="44" t="s">
        <v>73</v>
      </c>
      <c r="D391" s="124"/>
      <c r="E391" s="124" t="s">
        <v>75</v>
      </c>
      <c r="F391" s="44" t="s">
        <v>849</v>
      </c>
      <c r="G391" s="124" t="s">
        <v>184</v>
      </c>
      <c r="H391" s="124">
        <v>110.2067</v>
      </c>
      <c r="I391" s="124">
        <v>1</v>
      </c>
      <c r="J391" s="124">
        <v>110.2067</v>
      </c>
      <c r="K391" s="124">
        <v>110.2067</v>
      </c>
      <c r="L391" s="124">
        <v>1</v>
      </c>
      <c r="M391" s="124">
        <v>110.2067</v>
      </c>
      <c r="N391" s="6" t="s">
        <v>852</v>
      </c>
      <c r="O391" s="123">
        <v>45324</v>
      </c>
      <c r="P391" s="33" t="str">
        <f>HYPERLINK("https://my.zakupivli.pro/remote/dispatcher/state_purchase_view/48880326", "UA-2024-02-02-000824-a")</f>
        <v>UA-2024-02-02-000824-a</v>
      </c>
      <c r="Q391" s="124">
        <v>110.2067</v>
      </c>
      <c r="R391" s="124">
        <v>1</v>
      </c>
      <c r="S391" s="124">
        <v>110.2067</v>
      </c>
      <c r="T391" s="155">
        <v>45324</v>
      </c>
      <c r="U391" s="124"/>
      <c r="V391" s="124" t="s">
        <v>59</v>
      </c>
    </row>
    <row r="392" spans="1:22" ht="62.4" x14ac:dyDescent="0.3">
      <c r="A392" s="124">
        <v>389</v>
      </c>
      <c r="B392" s="124" t="s">
        <v>40</v>
      </c>
      <c r="C392" s="44" t="s">
        <v>73</v>
      </c>
      <c r="D392" s="124"/>
      <c r="E392" s="124" t="s">
        <v>75</v>
      </c>
      <c r="F392" s="44" t="s">
        <v>850</v>
      </c>
      <c r="G392" s="124" t="s">
        <v>184</v>
      </c>
      <c r="H392" s="124">
        <v>251.22640000000001</v>
      </c>
      <c r="I392" s="124">
        <v>1</v>
      </c>
      <c r="J392" s="124">
        <v>251.22640000000001</v>
      </c>
      <c r="K392" s="124">
        <v>251.22640000000001</v>
      </c>
      <c r="L392" s="124">
        <v>1</v>
      </c>
      <c r="M392" s="124">
        <v>251.22640000000001</v>
      </c>
      <c r="N392" s="6" t="s">
        <v>853</v>
      </c>
      <c r="O392" s="123">
        <v>45324</v>
      </c>
      <c r="P392" s="33" t="str">
        <f>HYPERLINK("https://my.zakupivli.pro/remote/dispatcher/state_purchase_view/48879722", "UA-2024-02-02-000542-a")</f>
        <v>UA-2024-02-02-000542-a</v>
      </c>
      <c r="Q392" s="124">
        <v>251.22640000000001</v>
      </c>
      <c r="R392" s="124">
        <v>1</v>
      </c>
      <c r="S392" s="124">
        <v>251.22640000000001</v>
      </c>
      <c r="T392" s="155">
        <v>45324</v>
      </c>
      <c r="U392" s="124"/>
      <c r="V392" s="124" t="s">
        <v>59</v>
      </c>
    </row>
    <row r="393" spans="1:22" ht="124.8" x14ac:dyDescent="0.3">
      <c r="A393" s="124">
        <v>390</v>
      </c>
      <c r="B393" s="124" t="s">
        <v>40</v>
      </c>
      <c r="C393" s="44" t="s">
        <v>41</v>
      </c>
      <c r="D393" s="124" t="s">
        <v>58</v>
      </c>
      <c r="E393" s="124" t="s">
        <v>88</v>
      </c>
      <c r="F393" s="44" t="s">
        <v>854</v>
      </c>
      <c r="G393" s="124" t="s">
        <v>184</v>
      </c>
      <c r="H393" s="124">
        <v>46628.046950000004</v>
      </c>
      <c r="I393" s="124">
        <v>1</v>
      </c>
      <c r="J393" s="124">
        <v>46628.046950000004</v>
      </c>
      <c r="K393" s="124">
        <v>46628.046950000004</v>
      </c>
      <c r="L393" s="124">
        <v>1</v>
      </c>
      <c r="M393" s="124">
        <v>46628.046950000004</v>
      </c>
      <c r="N393" s="6" t="s">
        <v>855</v>
      </c>
      <c r="O393" s="123">
        <v>45324</v>
      </c>
      <c r="P393" s="42" t="str">
        <f>HYPERLINK("https://my.zakupivli.pro/remote/dispatcher/state_purchase_view/48908684", "UA-2024-02-02-013586-a")</f>
        <v>UA-2024-02-02-013586-a</v>
      </c>
      <c r="Q393" s="124"/>
      <c r="R393" s="124"/>
      <c r="S393" s="124"/>
      <c r="T393" s="123"/>
      <c r="U393" s="131" t="s">
        <v>93</v>
      </c>
      <c r="V393" s="124"/>
    </row>
    <row r="394" spans="1:22" ht="93.6" x14ac:dyDescent="0.3">
      <c r="A394" s="124">
        <v>391</v>
      </c>
      <c r="B394" s="124" t="s">
        <v>40</v>
      </c>
      <c r="C394" s="44" t="s">
        <v>41</v>
      </c>
      <c r="D394" s="124" t="s">
        <v>58</v>
      </c>
      <c r="E394" s="124" t="s">
        <v>88</v>
      </c>
      <c r="F394" s="44" t="s">
        <v>856</v>
      </c>
      <c r="G394" s="124" t="s">
        <v>184</v>
      </c>
      <c r="H394" s="124">
        <v>2673.0005700000002</v>
      </c>
      <c r="I394" s="124">
        <v>1</v>
      </c>
      <c r="J394" s="124">
        <v>2673.0005700000002</v>
      </c>
      <c r="K394" s="124">
        <v>2673.0005700000002</v>
      </c>
      <c r="L394" s="124">
        <v>1</v>
      </c>
      <c r="M394" s="124">
        <v>2673.0005700000002</v>
      </c>
      <c r="N394" s="6" t="s">
        <v>858</v>
      </c>
      <c r="O394" s="123">
        <v>45324</v>
      </c>
      <c r="P394" s="33" t="str">
        <f>HYPERLINK("https://my.zakupivli.pro/remote/dispatcher/state_purchase_view/48908032", "UA-2024-02-02-013279-a")</f>
        <v>UA-2024-02-02-013279-a</v>
      </c>
      <c r="Q394" s="124"/>
      <c r="R394" s="124"/>
      <c r="S394" s="124"/>
      <c r="T394" s="123"/>
      <c r="U394" s="146" t="s">
        <v>93</v>
      </c>
      <c r="V394" s="124"/>
    </row>
    <row r="395" spans="1:22" ht="93.6" x14ac:dyDescent="0.3">
      <c r="A395" s="124">
        <v>392</v>
      </c>
      <c r="B395" s="124" t="s">
        <v>40</v>
      </c>
      <c r="C395" s="44" t="s">
        <v>41</v>
      </c>
      <c r="D395" s="124" t="s">
        <v>58</v>
      </c>
      <c r="E395" s="124" t="s">
        <v>88</v>
      </c>
      <c r="F395" s="44" t="s">
        <v>857</v>
      </c>
      <c r="G395" s="124" t="s">
        <v>184</v>
      </c>
      <c r="H395" s="124">
        <v>1517.3883000000001</v>
      </c>
      <c r="I395" s="124">
        <v>1</v>
      </c>
      <c r="J395" s="124">
        <v>1517.3883000000001</v>
      </c>
      <c r="K395" s="124">
        <v>1517.3883000000001</v>
      </c>
      <c r="L395" s="124">
        <v>1</v>
      </c>
      <c r="M395" s="124">
        <v>1517.3883000000001</v>
      </c>
      <c r="N395" s="6" t="s">
        <v>858</v>
      </c>
      <c r="O395" s="123">
        <v>45324</v>
      </c>
      <c r="P395" s="33" t="str">
        <f>HYPERLINK("https://my.zakupivli.pro/remote/dispatcher/state_purchase_view/48908032", "UA-2024-02-02-013279-a")</f>
        <v>UA-2024-02-02-013279-a</v>
      </c>
      <c r="Q395" s="124"/>
      <c r="R395" s="124"/>
      <c r="S395" s="124"/>
      <c r="T395" s="123"/>
      <c r="U395" s="146" t="s">
        <v>93</v>
      </c>
      <c r="V395" s="124"/>
    </row>
    <row r="396" spans="1:22" ht="93.6" x14ac:dyDescent="0.3">
      <c r="A396" s="124">
        <v>393</v>
      </c>
      <c r="B396" s="124" t="s">
        <v>40</v>
      </c>
      <c r="C396" s="44" t="s">
        <v>41</v>
      </c>
      <c r="D396" s="124" t="s">
        <v>58</v>
      </c>
      <c r="E396" s="124" t="s">
        <v>88</v>
      </c>
      <c r="F396" s="44" t="s">
        <v>859</v>
      </c>
      <c r="G396" s="124" t="s">
        <v>184</v>
      </c>
      <c r="H396" s="124">
        <v>8289.1450000000004</v>
      </c>
      <c r="I396" s="124">
        <v>1</v>
      </c>
      <c r="J396" s="124">
        <v>8289.1450000000004</v>
      </c>
      <c r="K396" s="124">
        <v>8289.1450000000004</v>
      </c>
      <c r="L396" s="124">
        <v>1</v>
      </c>
      <c r="M396" s="124">
        <v>8289.1450000000004</v>
      </c>
      <c r="N396" s="6" t="s">
        <v>861</v>
      </c>
      <c r="O396" s="123">
        <v>45324</v>
      </c>
      <c r="P396" s="33" t="str">
        <f>HYPERLINK("https://my.zakupivli.pro/remote/dispatcher/state_purchase_view/48907751", "UA-2024-02-02-013167-a")</f>
        <v>UA-2024-02-02-013167-a</v>
      </c>
      <c r="Q396" s="124">
        <v>7727.8095899999998</v>
      </c>
      <c r="R396" s="124">
        <v>1</v>
      </c>
      <c r="S396" s="146">
        <v>7727.8095899999998</v>
      </c>
      <c r="T396" s="123">
        <v>45345</v>
      </c>
      <c r="U396" s="124"/>
      <c r="V396" s="124"/>
    </row>
    <row r="397" spans="1:22" ht="93.6" x14ac:dyDescent="0.3">
      <c r="A397" s="124">
        <v>395</v>
      </c>
      <c r="B397" s="124" t="s">
        <v>40</v>
      </c>
      <c r="C397" s="44" t="s">
        <v>41</v>
      </c>
      <c r="D397" s="124" t="s">
        <v>58</v>
      </c>
      <c r="E397" s="124" t="s">
        <v>88</v>
      </c>
      <c r="F397" s="44" t="s">
        <v>860</v>
      </c>
      <c r="G397" s="124" t="s">
        <v>184</v>
      </c>
      <c r="H397" s="124">
        <v>7378.9748499999996</v>
      </c>
      <c r="I397" s="124">
        <v>1</v>
      </c>
      <c r="J397" s="124">
        <v>7378.9748499999996</v>
      </c>
      <c r="K397" s="124">
        <v>7378.9748499999996</v>
      </c>
      <c r="L397" s="124">
        <v>1</v>
      </c>
      <c r="M397" s="124">
        <v>7378.9748499999996</v>
      </c>
      <c r="N397" s="6" t="s">
        <v>861</v>
      </c>
      <c r="O397" s="123">
        <v>45324</v>
      </c>
      <c r="P397" s="33" t="str">
        <f>HYPERLINK("https://my.zakupivli.pro/remote/dispatcher/state_purchase_view/48907751", "UA-2024-02-02-013167-a")</f>
        <v>UA-2024-02-02-013167-a</v>
      </c>
      <c r="Q397" s="124">
        <v>7378.6265800000001</v>
      </c>
      <c r="R397" s="124">
        <v>1</v>
      </c>
      <c r="S397" s="146">
        <v>7378.6265800000001</v>
      </c>
      <c r="T397" s="123">
        <v>45342</v>
      </c>
      <c r="U397" s="124"/>
      <c r="V397" s="124"/>
    </row>
    <row r="398" spans="1:22" ht="140.4" x14ac:dyDescent="0.3">
      <c r="A398" s="124">
        <v>395</v>
      </c>
      <c r="B398" s="124" t="s">
        <v>40</v>
      </c>
      <c r="C398" s="44" t="s">
        <v>41</v>
      </c>
      <c r="D398" s="124" t="s">
        <v>58</v>
      </c>
      <c r="E398" s="124" t="s">
        <v>88</v>
      </c>
      <c r="F398" s="44" t="s">
        <v>862</v>
      </c>
      <c r="G398" s="124" t="s">
        <v>184</v>
      </c>
      <c r="H398" s="124">
        <v>2691.93</v>
      </c>
      <c r="I398" s="124">
        <v>1</v>
      </c>
      <c r="J398" s="124">
        <v>2691.93</v>
      </c>
      <c r="K398" s="124">
        <v>2691.93</v>
      </c>
      <c r="L398" s="124">
        <v>1</v>
      </c>
      <c r="M398" s="124">
        <v>2691.93</v>
      </c>
      <c r="N398" s="6" t="s">
        <v>863</v>
      </c>
      <c r="O398" s="123">
        <v>45324</v>
      </c>
      <c r="P398" s="33" t="str">
        <f>HYPERLINK("https://my.zakupivli.pro/remote/dispatcher/state_purchase_view/48907725", "UA-2024-02-02-013148-a")</f>
        <v>UA-2024-02-02-013148-a</v>
      </c>
      <c r="Q398" s="124">
        <v>2691.7078499999998</v>
      </c>
      <c r="R398" s="124">
        <v>1</v>
      </c>
      <c r="S398" s="146">
        <v>2691.7078499999998</v>
      </c>
      <c r="T398" s="147">
        <v>45345</v>
      </c>
      <c r="U398" s="124"/>
      <c r="V398" s="124"/>
    </row>
    <row r="399" spans="1:22" ht="187.2" x14ac:dyDescent="0.3">
      <c r="A399" s="124">
        <v>396</v>
      </c>
      <c r="B399" s="124" t="s">
        <v>40</v>
      </c>
      <c r="C399" s="44" t="s">
        <v>41</v>
      </c>
      <c r="D399" s="124" t="s">
        <v>58</v>
      </c>
      <c r="E399" s="124" t="s">
        <v>88</v>
      </c>
      <c r="F399" s="44" t="s">
        <v>808</v>
      </c>
      <c r="G399" s="124" t="s">
        <v>184</v>
      </c>
      <c r="H399" s="124"/>
      <c r="I399" s="124">
        <v>2</v>
      </c>
      <c r="J399" s="124">
        <v>4542.46</v>
      </c>
      <c r="K399" s="124"/>
      <c r="L399" s="124">
        <v>2</v>
      </c>
      <c r="M399" s="124">
        <v>4542.46</v>
      </c>
      <c r="N399" s="6" t="s">
        <v>809</v>
      </c>
      <c r="O399" s="123">
        <v>45324</v>
      </c>
      <c r="P399" s="33" t="str">
        <f>HYPERLINK("https://my.zakupivli.pro/remote/dispatcher/state_purchase_view/48907510", "UA-2024-02-02-013046-a")</f>
        <v>UA-2024-02-02-013046-a</v>
      </c>
      <c r="Q399" s="124"/>
      <c r="R399" s="124">
        <v>2</v>
      </c>
      <c r="S399" s="168">
        <v>4498.66536</v>
      </c>
      <c r="T399" s="123">
        <v>45359</v>
      </c>
      <c r="U399" s="124"/>
      <c r="V399" s="124"/>
    </row>
    <row r="400" spans="1:22" ht="124.8" x14ac:dyDescent="0.3">
      <c r="A400" s="124">
        <v>397</v>
      </c>
      <c r="B400" s="125" t="s">
        <v>40</v>
      </c>
      <c r="C400" s="44" t="s">
        <v>41</v>
      </c>
      <c r="D400" s="125" t="s">
        <v>58</v>
      </c>
      <c r="E400" s="125" t="s">
        <v>88</v>
      </c>
      <c r="F400" s="41" t="s">
        <v>864</v>
      </c>
      <c r="G400" s="125" t="s">
        <v>184</v>
      </c>
      <c r="H400" s="124">
        <v>1887.36</v>
      </c>
      <c r="I400" s="124">
        <v>1</v>
      </c>
      <c r="J400" s="125">
        <v>1887.36</v>
      </c>
      <c r="K400" s="125">
        <v>1887.36</v>
      </c>
      <c r="L400" s="125">
        <v>1</v>
      </c>
      <c r="M400" s="125">
        <v>1887.36</v>
      </c>
      <c r="N400" s="6" t="s">
        <v>865</v>
      </c>
      <c r="O400" s="123">
        <v>45328</v>
      </c>
      <c r="P400" s="33" t="str">
        <f>HYPERLINK("https://my.zakupivli.pro/remote/dispatcher/state_purchase_view/48969987", "UA-2024-02-06-008339-a")</f>
        <v>UA-2024-02-06-008339-a</v>
      </c>
      <c r="Q400" s="119">
        <v>1875</v>
      </c>
      <c r="R400" s="124">
        <v>1</v>
      </c>
      <c r="S400" s="119">
        <v>1875</v>
      </c>
      <c r="T400" s="123">
        <v>45351</v>
      </c>
      <c r="U400" s="124"/>
      <c r="V400" s="124"/>
    </row>
    <row r="401" spans="1:22" ht="62.4" x14ac:dyDescent="0.3">
      <c r="A401" s="124">
        <v>398</v>
      </c>
      <c r="B401" s="125" t="s">
        <v>21</v>
      </c>
      <c r="C401" s="44" t="s">
        <v>406</v>
      </c>
      <c r="D401" s="125" t="s">
        <v>58</v>
      </c>
      <c r="E401" s="125" t="s">
        <v>75</v>
      </c>
      <c r="F401" s="44" t="s">
        <v>866</v>
      </c>
      <c r="G401" s="107" t="s">
        <v>186</v>
      </c>
      <c r="H401" s="124"/>
      <c r="I401" s="124">
        <v>2</v>
      </c>
      <c r="J401" s="124">
        <v>1993.104</v>
      </c>
      <c r="K401" s="124"/>
      <c r="L401" s="125">
        <v>2</v>
      </c>
      <c r="M401" s="125">
        <v>1993.104</v>
      </c>
      <c r="N401" s="6" t="s">
        <v>872</v>
      </c>
      <c r="O401" s="126">
        <v>45328</v>
      </c>
      <c r="P401" s="33" t="str">
        <f t="shared" ref="P401:P406" si="0">HYPERLINK("https://my.zakupivli.pro/remote/dispatcher/state_purchase_view/48971877", "UA-2024-02-06-009098-a")</f>
        <v>UA-2024-02-06-009098-a</v>
      </c>
      <c r="Q401" s="119"/>
      <c r="R401" s="124">
        <v>2</v>
      </c>
      <c r="S401" s="119">
        <v>1785</v>
      </c>
      <c r="T401" s="123">
        <v>45352</v>
      </c>
      <c r="U401" s="124"/>
      <c r="V401" s="124"/>
    </row>
    <row r="402" spans="1:22" ht="62.4" x14ac:dyDescent="0.3">
      <c r="A402" s="125">
        <v>399</v>
      </c>
      <c r="B402" s="125" t="s">
        <v>21</v>
      </c>
      <c r="C402" s="44" t="s">
        <v>406</v>
      </c>
      <c r="D402" s="125" t="s">
        <v>58</v>
      </c>
      <c r="E402" s="125" t="s">
        <v>75</v>
      </c>
      <c r="F402" s="44" t="s">
        <v>867</v>
      </c>
      <c r="G402" s="107" t="s">
        <v>186</v>
      </c>
      <c r="H402" s="125">
        <v>2518.9011500000001</v>
      </c>
      <c r="I402" s="125">
        <v>1</v>
      </c>
      <c r="J402" s="125">
        <v>2518.9011500000001</v>
      </c>
      <c r="K402" s="125">
        <v>2518.9011500000001</v>
      </c>
      <c r="L402" s="125">
        <v>1</v>
      </c>
      <c r="M402" s="125">
        <v>2518.9011500000001</v>
      </c>
      <c r="N402" s="6" t="s">
        <v>872</v>
      </c>
      <c r="O402" s="126">
        <v>45328</v>
      </c>
      <c r="P402" s="33" t="str">
        <f t="shared" si="0"/>
        <v>UA-2024-02-06-009098-a</v>
      </c>
      <c r="Q402" s="125">
        <v>2517.8620500000002</v>
      </c>
      <c r="R402" s="125">
        <v>1</v>
      </c>
      <c r="S402" s="164">
        <v>2517.8620500000002</v>
      </c>
      <c r="T402" s="126">
        <v>45352</v>
      </c>
      <c r="U402" s="125"/>
      <c r="V402" s="125"/>
    </row>
    <row r="403" spans="1:22" ht="78" x14ac:dyDescent="0.3">
      <c r="A403" s="125">
        <v>400</v>
      </c>
      <c r="B403" s="125" t="s">
        <v>21</v>
      </c>
      <c r="C403" s="44" t="s">
        <v>406</v>
      </c>
      <c r="D403" s="125" t="s">
        <v>58</v>
      </c>
      <c r="E403" s="125" t="s">
        <v>75</v>
      </c>
      <c r="F403" s="44" t="s">
        <v>868</v>
      </c>
      <c r="G403" s="107" t="s">
        <v>186</v>
      </c>
      <c r="H403" s="125"/>
      <c r="I403" s="125">
        <v>24</v>
      </c>
      <c r="J403" s="125">
        <v>2219.8198900000002</v>
      </c>
      <c r="K403" s="125"/>
      <c r="L403" s="125">
        <v>24</v>
      </c>
      <c r="M403" s="125">
        <v>2219.8198900000002</v>
      </c>
      <c r="N403" s="6" t="s">
        <v>872</v>
      </c>
      <c r="O403" s="126">
        <v>45328</v>
      </c>
      <c r="P403" s="33" t="str">
        <f t="shared" si="0"/>
        <v>UA-2024-02-06-009098-a</v>
      </c>
      <c r="Q403" s="125"/>
      <c r="R403" s="125"/>
      <c r="S403" s="125"/>
      <c r="T403" s="126"/>
      <c r="U403" s="164" t="s">
        <v>93</v>
      </c>
      <c r="V403" s="125"/>
    </row>
    <row r="404" spans="1:22" ht="62.4" x14ac:dyDescent="0.3">
      <c r="A404" s="125">
        <v>401</v>
      </c>
      <c r="B404" s="125" t="s">
        <v>21</v>
      </c>
      <c r="C404" s="44" t="s">
        <v>406</v>
      </c>
      <c r="D404" s="125" t="s">
        <v>58</v>
      </c>
      <c r="E404" s="125" t="s">
        <v>75</v>
      </c>
      <c r="F404" s="44" t="s">
        <v>869</v>
      </c>
      <c r="G404" s="107" t="s">
        <v>186</v>
      </c>
      <c r="H404" s="125"/>
      <c r="I404" s="125">
        <v>122</v>
      </c>
      <c r="J404" s="125">
        <v>9412.7220400000006</v>
      </c>
      <c r="K404" s="125"/>
      <c r="L404" s="125">
        <v>122</v>
      </c>
      <c r="M404" s="125">
        <v>9412.7220400000006</v>
      </c>
      <c r="N404" s="6" t="s">
        <v>872</v>
      </c>
      <c r="O404" s="126">
        <v>45328</v>
      </c>
      <c r="P404" s="33" t="str">
        <f t="shared" si="0"/>
        <v>UA-2024-02-06-009098-a</v>
      </c>
      <c r="Q404" s="125"/>
      <c r="R404" s="125">
        <v>122</v>
      </c>
      <c r="S404" s="125">
        <v>8897.5373999999993</v>
      </c>
      <c r="T404" s="165">
        <v>45352</v>
      </c>
      <c r="U404" s="125"/>
      <c r="V404" s="125"/>
    </row>
    <row r="405" spans="1:22" ht="62.4" x14ac:dyDescent="0.3">
      <c r="A405" s="125">
        <v>402</v>
      </c>
      <c r="B405" s="125" t="s">
        <v>21</v>
      </c>
      <c r="C405" s="44" t="s">
        <v>406</v>
      </c>
      <c r="D405" s="125" t="s">
        <v>58</v>
      </c>
      <c r="E405" s="125" t="s">
        <v>75</v>
      </c>
      <c r="F405" s="44" t="s">
        <v>870</v>
      </c>
      <c r="G405" s="107" t="s">
        <v>186</v>
      </c>
      <c r="H405" s="125"/>
      <c r="I405" s="125">
        <v>2</v>
      </c>
      <c r="J405" s="125">
        <v>3825.5</v>
      </c>
      <c r="K405" s="125"/>
      <c r="L405" s="125">
        <v>2</v>
      </c>
      <c r="M405" s="125">
        <v>3825.5</v>
      </c>
      <c r="N405" s="6" t="s">
        <v>872</v>
      </c>
      <c r="O405" s="126">
        <v>45328</v>
      </c>
      <c r="P405" s="33" t="str">
        <f t="shared" si="0"/>
        <v>UA-2024-02-06-009098-a</v>
      </c>
      <c r="Q405" s="125"/>
      <c r="R405" s="125">
        <v>2</v>
      </c>
      <c r="S405" s="125">
        <v>3824.85</v>
      </c>
      <c r="T405" s="126">
        <v>45355</v>
      </c>
      <c r="U405" s="125"/>
      <c r="V405" s="125"/>
    </row>
    <row r="406" spans="1:22" ht="62.4" x14ac:dyDescent="0.3">
      <c r="A406" s="125">
        <v>403</v>
      </c>
      <c r="B406" s="125" t="s">
        <v>21</v>
      </c>
      <c r="C406" s="44" t="s">
        <v>406</v>
      </c>
      <c r="D406" s="125" t="s">
        <v>58</v>
      </c>
      <c r="E406" s="125" t="s">
        <v>75</v>
      </c>
      <c r="F406" s="44" t="s">
        <v>871</v>
      </c>
      <c r="G406" s="107" t="s">
        <v>186</v>
      </c>
      <c r="H406" s="125"/>
      <c r="I406" s="125">
        <v>13</v>
      </c>
      <c r="J406" s="125">
        <v>1441.9291599999999</v>
      </c>
      <c r="K406" s="125"/>
      <c r="L406" s="125">
        <v>13</v>
      </c>
      <c r="M406" s="125">
        <v>1441.9291599999999</v>
      </c>
      <c r="N406" s="6" t="s">
        <v>872</v>
      </c>
      <c r="O406" s="126">
        <v>45328</v>
      </c>
      <c r="P406" s="33" t="str">
        <f t="shared" si="0"/>
        <v>UA-2024-02-06-009098-a</v>
      </c>
      <c r="Q406" s="125"/>
      <c r="R406" s="125">
        <v>13</v>
      </c>
      <c r="S406" s="125">
        <v>1373.9870000000001</v>
      </c>
      <c r="T406" s="126">
        <v>45352</v>
      </c>
      <c r="U406" s="125"/>
      <c r="V406" s="125"/>
    </row>
    <row r="407" spans="1:22" ht="46.8" x14ac:dyDescent="0.3">
      <c r="A407" s="127">
        <v>404</v>
      </c>
      <c r="B407" s="127" t="s">
        <v>21</v>
      </c>
      <c r="C407" s="41" t="s">
        <v>874</v>
      </c>
      <c r="D407" s="127" t="s">
        <v>58</v>
      </c>
      <c r="E407" s="127" t="s">
        <v>75</v>
      </c>
      <c r="F407" s="41" t="s">
        <v>873</v>
      </c>
      <c r="G407" s="127" t="s">
        <v>186</v>
      </c>
      <c r="H407" s="127"/>
      <c r="I407" s="127">
        <v>34</v>
      </c>
      <c r="J407" s="127">
        <v>727.5</v>
      </c>
      <c r="K407" s="127"/>
      <c r="L407" s="127">
        <v>34</v>
      </c>
      <c r="M407" s="127">
        <v>727.5</v>
      </c>
      <c r="N407" s="6" t="s">
        <v>875</v>
      </c>
      <c r="O407" s="128">
        <v>45329</v>
      </c>
      <c r="P407" s="42" t="str">
        <f>HYPERLINK("https://my.zakupivli.pro/remote/dispatcher/state_purchase_view/49007933", "UA-2024-02-07-009090-a")</f>
        <v>UA-2024-02-07-009090-a</v>
      </c>
      <c r="Q407" s="127"/>
      <c r="R407" s="127">
        <v>34</v>
      </c>
      <c r="S407" s="127">
        <v>574.99167</v>
      </c>
      <c r="T407" s="128">
        <v>45350</v>
      </c>
      <c r="U407" s="127"/>
      <c r="V407" s="127"/>
    </row>
    <row r="408" spans="1:22" ht="93.6" x14ac:dyDescent="0.3">
      <c r="A408" s="127">
        <v>405</v>
      </c>
      <c r="B408" s="127" t="s">
        <v>21</v>
      </c>
      <c r="C408" s="44" t="s">
        <v>183</v>
      </c>
      <c r="D408" s="127" t="s">
        <v>58</v>
      </c>
      <c r="E408" s="127" t="s">
        <v>88</v>
      </c>
      <c r="F408" s="44" t="s">
        <v>876</v>
      </c>
      <c r="G408" s="127" t="s">
        <v>185</v>
      </c>
      <c r="H408" s="127">
        <v>589.88333</v>
      </c>
      <c r="I408" s="127">
        <v>1</v>
      </c>
      <c r="J408" s="127">
        <v>589.88333</v>
      </c>
      <c r="K408" s="127">
        <v>589.88333</v>
      </c>
      <c r="L408" s="127">
        <v>1</v>
      </c>
      <c r="M408" s="127">
        <v>589.88333</v>
      </c>
      <c r="N408" s="6" t="s">
        <v>878</v>
      </c>
      <c r="O408" s="128">
        <v>45329</v>
      </c>
      <c r="P408" s="33" t="str">
        <f>HYPERLINK("https://my.zakupivli.pro/remote/dispatcher/state_purchase_view/49014231", "UA-2024-02-07-011926-a")</f>
        <v>UA-2024-02-07-011926-a</v>
      </c>
      <c r="Q408" s="119">
        <v>536.25</v>
      </c>
      <c r="R408" s="127">
        <v>1</v>
      </c>
      <c r="S408" s="119">
        <v>536.25</v>
      </c>
      <c r="T408" s="128">
        <v>45349</v>
      </c>
      <c r="U408" s="127"/>
      <c r="V408" s="127"/>
    </row>
    <row r="409" spans="1:22" ht="93.6" x14ac:dyDescent="0.3">
      <c r="A409" s="127">
        <v>406</v>
      </c>
      <c r="B409" s="127" t="s">
        <v>21</v>
      </c>
      <c r="C409" s="44" t="s">
        <v>183</v>
      </c>
      <c r="D409" s="127" t="s">
        <v>58</v>
      </c>
      <c r="E409" s="127" t="s">
        <v>88</v>
      </c>
      <c r="F409" s="44" t="s">
        <v>877</v>
      </c>
      <c r="G409" s="127" t="s">
        <v>185</v>
      </c>
      <c r="H409" s="119">
        <v>8716.2000000000007</v>
      </c>
      <c r="I409" s="127">
        <v>1</v>
      </c>
      <c r="J409" s="119">
        <v>8716.2000000000007</v>
      </c>
      <c r="K409" s="119">
        <v>8716.2000000000007</v>
      </c>
      <c r="L409" s="127">
        <v>1</v>
      </c>
      <c r="M409" s="119">
        <v>8716.2000000000007</v>
      </c>
      <c r="N409" s="6" t="s">
        <v>879</v>
      </c>
      <c r="O409" s="128">
        <v>45329</v>
      </c>
      <c r="P409" s="33" t="str">
        <f>HYPERLINK("https://my.zakupivli.pro/remote/dispatcher/state_purchase_view/49012404", "UA-2024-02-07-011182-a")</f>
        <v>UA-2024-02-07-011182-a</v>
      </c>
      <c r="Q409" s="127">
        <v>5792.5637399999996</v>
      </c>
      <c r="R409" s="127">
        <v>1</v>
      </c>
      <c r="S409" s="154">
        <v>5792.5637399999996</v>
      </c>
      <c r="T409" s="128">
        <v>45350</v>
      </c>
      <c r="U409" s="127"/>
      <c r="V409" s="127"/>
    </row>
    <row r="410" spans="1:22" ht="78" x14ac:dyDescent="0.3">
      <c r="A410" s="129">
        <v>407</v>
      </c>
      <c r="B410" s="129" t="s">
        <v>40</v>
      </c>
      <c r="C410" s="44" t="s">
        <v>885</v>
      </c>
      <c r="D410" s="129"/>
      <c r="E410" s="129" t="s">
        <v>88</v>
      </c>
      <c r="F410" s="44" t="s">
        <v>880</v>
      </c>
      <c r="G410" s="129" t="s">
        <v>40</v>
      </c>
      <c r="H410" s="129">
        <v>327.6798</v>
      </c>
      <c r="I410" s="129">
        <v>1</v>
      </c>
      <c r="J410" s="129">
        <v>327.6798</v>
      </c>
      <c r="K410" s="129">
        <v>327.6798</v>
      </c>
      <c r="L410" s="129">
        <v>1</v>
      </c>
      <c r="M410" s="129">
        <v>327.6798</v>
      </c>
      <c r="N410" s="6" t="s">
        <v>886</v>
      </c>
      <c r="O410" s="130">
        <v>45330</v>
      </c>
      <c r="P410" s="33" t="str">
        <f>HYPERLINK("https://my.zakupivli.pro/remote/dispatcher/state_purchase_view/49027603", "UA-2024-02-08-002419-a")</f>
        <v>UA-2024-02-08-002419-a</v>
      </c>
      <c r="Q410" s="129">
        <v>327.6798</v>
      </c>
      <c r="R410" s="129">
        <v>1</v>
      </c>
      <c r="S410" s="129">
        <v>327.6798</v>
      </c>
      <c r="T410" s="130">
        <v>45330</v>
      </c>
      <c r="U410" s="129"/>
      <c r="V410" s="129" t="s">
        <v>59</v>
      </c>
    </row>
    <row r="411" spans="1:22" ht="78" x14ac:dyDescent="0.3">
      <c r="A411" s="129">
        <v>408</v>
      </c>
      <c r="B411" s="129" t="s">
        <v>40</v>
      </c>
      <c r="C411" s="44" t="s">
        <v>885</v>
      </c>
      <c r="D411" s="129"/>
      <c r="E411" s="129" t="s">
        <v>88</v>
      </c>
      <c r="F411" s="44" t="s">
        <v>881</v>
      </c>
      <c r="G411" s="129" t="s">
        <v>40</v>
      </c>
      <c r="H411" s="129">
        <v>466.44868000000002</v>
      </c>
      <c r="I411" s="129">
        <v>1</v>
      </c>
      <c r="J411" s="129">
        <v>466.44868000000002</v>
      </c>
      <c r="K411" s="129">
        <v>466.44868000000002</v>
      </c>
      <c r="L411" s="129">
        <v>1</v>
      </c>
      <c r="M411" s="129">
        <v>466.44868000000002</v>
      </c>
      <c r="N411" s="6" t="s">
        <v>887</v>
      </c>
      <c r="O411" s="130">
        <v>45330</v>
      </c>
      <c r="P411" s="33" t="str">
        <f>HYPERLINK("https://my.zakupivli.pro/remote/dispatcher/state_purchase_view/49027323", "UA-2024-02-08-002241-a")</f>
        <v>UA-2024-02-08-002241-a</v>
      </c>
      <c r="Q411" s="129">
        <v>466.44868000000002</v>
      </c>
      <c r="R411" s="129">
        <v>1</v>
      </c>
      <c r="S411" s="129">
        <v>466.44868000000002</v>
      </c>
      <c r="T411" s="130">
        <v>45330</v>
      </c>
      <c r="U411" s="129"/>
      <c r="V411" s="129" t="s">
        <v>59</v>
      </c>
    </row>
    <row r="412" spans="1:22" ht="78" x14ac:dyDescent="0.3">
      <c r="A412" s="129">
        <v>409</v>
      </c>
      <c r="B412" s="129" t="s">
        <v>40</v>
      </c>
      <c r="C412" s="44" t="s">
        <v>885</v>
      </c>
      <c r="D412" s="129"/>
      <c r="E412" s="129" t="s">
        <v>88</v>
      </c>
      <c r="F412" s="44" t="s">
        <v>882</v>
      </c>
      <c r="G412" s="129" t="s">
        <v>40</v>
      </c>
      <c r="H412" s="129">
        <v>384.70436999999998</v>
      </c>
      <c r="I412" s="129">
        <v>1</v>
      </c>
      <c r="J412" s="129">
        <v>384.70436999999998</v>
      </c>
      <c r="K412" s="129">
        <v>384.70436999999998</v>
      </c>
      <c r="L412" s="129">
        <v>1</v>
      </c>
      <c r="M412" s="129">
        <v>384.70436999999998</v>
      </c>
      <c r="N412" s="6" t="s">
        <v>888</v>
      </c>
      <c r="O412" s="130">
        <v>45330</v>
      </c>
      <c r="P412" s="33" t="str">
        <f>HYPERLINK("https://my.zakupivli.pro/remote/dispatcher/state_purchase_view/49026827", "UA-2024-02-08-002073-a")</f>
        <v>UA-2024-02-08-002073-a</v>
      </c>
      <c r="Q412" s="129">
        <v>384.70436999999998</v>
      </c>
      <c r="R412" s="129">
        <v>1</v>
      </c>
      <c r="S412" s="129">
        <v>384.70436999999998</v>
      </c>
      <c r="T412" s="130">
        <v>45330</v>
      </c>
      <c r="U412" s="129"/>
      <c r="V412" s="129" t="s">
        <v>59</v>
      </c>
    </row>
    <row r="413" spans="1:22" ht="62.4" x14ac:dyDescent="0.3">
      <c r="A413" s="129">
        <v>410</v>
      </c>
      <c r="B413" s="129" t="s">
        <v>40</v>
      </c>
      <c r="C413" s="44" t="s">
        <v>885</v>
      </c>
      <c r="D413" s="129"/>
      <c r="E413" s="129" t="s">
        <v>88</v>
      </c>
      <c r="F413" s="44" t="s">
        <v>883</v>
      </c>
      <c r="G413" s="129" t="s">
        <v>40</v>
      </c>
      <c r="H413" s="129">
        <v>308.60937000000001</v>
      </c>
      <c r="I413" s="129">
        <v>1</v>
      </c>
      <c r="J413" s="129">
        <v>308.60937000000001</v>
      </c>
      <c r="K413" s="129">
        <v>308.60937000000001</v>
      </c>
      <c r="L413" s="129">
        <v>1</v>
      </c>
      <c r="M413" s="129">
        <v>308.60937000000001</v>
      </c>
      <c r="N413" s="6" t="s">
        <v>889</v>
      </c>
      <c r="O413" s="130">
        <v>45330</v>
      </c>
      <c r="P413" s="33" t="str">
        <f>HYPERLINK("https://my.zakupivli.pro/remote/dispatcher/state_purchase_view/49026308", "UA-2024-02-08-001861-a")</f>
        <v>UA-2024-02-08-001861-a</v>
      </c>
      <c r="Q413" s="129">
        <v>308.60937000000001</v>
      </c>
      <c r="R413" s="129">
        <v>1</v>
      </c>
      <c r="S413" s="129">
        <v>308.60937000000001</v>
      </c>
      <c r="T413" s="130">
        <v>45330</v>
      </c>
      <c r="U413" s="129"/>
      <c r="V413" s="129" t="s">
        <v>59</v>
      </c>
    </row>
    <row r="414" spans="1:22" ht="62.4" x14ac:dyDescent="0.3">
      <c r="A414" s="129">
        <v>411</v>
      </c>
      <c r="B414" s="129" t="s">
        <v>40</v>
      </c>
      <c r="C414" s="44" t="s">
        <v>885</v>
      </c>
      <c r="D414" s="129"/>
      <c r="E414" s="129" t="s">
        <v>88</v>
      </c>
      <c r="F414" s="44" t="s">
        <v>884</v>
      </c>
      <c r="G414" s="129" t="s">
        <v>40</v>
      </c>
      <c r="H414" s="129">
        <v>338.75234999999998</v>
      </c>
      <c r="I414" s="129">
        <v>1</v>
      </c>
      <c r="J414" s="129">
        <v>338.75234999999998</v>
      </c>
      <c r="K414" s="129">
        <v>338.75234999999998</v>
      </c>
      <c r="L414" s="129">
        <v>1</v>
      </c>
      <c r="M414" s="129">
        <v>338.75234999999998</v>
      </c>
      <c r="N414" s="6" t="s">
        <v>890</v>
      </c>
      <c r="O414" s="130">
        <v>45330</v>
      </c>
      <c r="P414" s="33" t="str">
        <f>HYPERLINK("https://my.zakupivli.pro/remote/dispatcher/state_purchase_view/49025987", "UA-2024-02-08-001670-a")</f>
        <v>UA-2024-02-08-001670-a</v>
      </c>
      <c r="Q414" s="129">
        <v>338.75234999999998</v>
      </c>
      <c r="R414" s="129">
        <v>1</v>
      </c>
      <c r="S414" s="129">
        <v>338.75234999999998</v>
      </c>
      <c r="T414" s="130">
        <v>45330</v>
      </c>
      <c r="U414" s="129"/>
      <c r="V414" s="129" t="s">
        <v>59</v>
      </c>
    </row>
    <row r="415" spans="1:22" ht="46.8" x14ac:dyDescent="0.3">
      <c r="A415" s="129">
        <v>412</v>
      </c>
      <c r="B415" s="129" t="s">
        <v>21</v>
      </c>
      <c r="C415" s="44" t="s">
        <v>170</v>
      </c>
      <c r="D415" s="129" t="s">
        <v>58</v>
      </c>
      <c r="E415" s="129" t="s">
        <v>88</v>
      </c>
      <c r="F415" s="44" t="s">
        <v>891</v>
      </c>
      <c r="G415" s="129" t="s">
        <v>185</v>
      </c>
      <c r="H415" s="129"/>
      <c r="I415" s="129">
        <v>36</v>
      </c>
      <c r="J415" s="129">
        <v>189.28800000000001</v>
      </c>
      <c r="K415" s="129"/>
      <c r="L415" s="129">
        <v>36</v>
      </c>
      <c r="M415" s="129">
        <v>189.28800000000001</v>
      </c>
      <c r="N415" s="6" t="s">
        <v>896</v>
      </c>
      <c r="O415" s="130">
        <v>45330</v>
      </c>
      <c r="P415" s="33" t="str">
        <f>HYPERLINK("https://my.zakupivli.pro/remote/dispatcher/state_purchase_view/49051879", "UA-2024-02-08-012979-a")</f>
        <v>UA-2024-02-08-012979-a</v>
      </c>
      <c r="Q415" s="129"/>
      <c r="R415" s="129">
        <v>36</v>
      </c>
      <c r="S415" s="119">
        <v>189.27</v>
      </c>
      <c r="T415" s="130">
        <v>45344</v>
      </c>
      <c r="U415" s="129"/>
      <c r="V415" s="129"/>
    </row>
    <row r="416" spans="1:22" ht="78" x14ac:dyDescent="0.3">
      <c r="A416" s="129">
        <v>413</v>
      </c>
      <c r="B416" s="129" t="s">
        <v>21</v>
      </c>
      <c r="C416" s="44" t="s">
        <v>894</v>
      </c>
      <c r="D416" s="129" t="s">
        <v>58</v>
      </c>
      <c r="E416" s="129" t="s">
        <v>88</v>
      </c>
      <c r="F416" s="44" t="s">
        <v>892</v>
      </c>
      <c r="G416" s="129" t="s">
        <v>185</v>
      </c>
      <c r="H416" s="129"/>
      <c r="I416" s="129">
        <v>70</v>
      </c>
      <c r="J416" s="119">
        <v>2250</v>
      </c>
      <c r="K416" s="129"/>
      <c r="L416" s="129">
        <v>70</v>
      </c>
      <c r="M416" s="119">
        <v>2250</v>
      </c>
      <c r="N416" s="6" t="s">
        <v>897</v>
      </c>
      <c r="O416" s="130">
        <v>45330</v>
      </c>
      <c r="P416" s="33" t="str">
        <f>HYPERLINK("https://my.zakupivli.pro/remote/dispatcher/state_purchase_view/49051488", "UA-2024-02-08-012868-a")</f>
        <v>UA-2024-02-08-012868-a</v>
      </c>
      <c r="Q416" s="129"/>
      <c r="R416" s="129">
        <v>70</v>
      </c>
      <c r="S416" s="157">
        <v>2160.1999999999998</v>
      </c>
      <c r="T416" s="130">
        <v>45350</v>
      </c>
      <c r="U416" s="129"/>
      <c r="V416" s="129"/>
    </row>
    <row r="417" spans="1:22" ht="62.4" x14ac:dyDescent="0.3">
      <c r="A417" s="129">
        <v>414</v>
      </c>
      <c r="B417" s="129" t="s">
        <v>21</v>
      </c>
      <c r="C417" s="44" t="s">
        <v>895</v>
      </c>
      <c r="D417" s="129" t="s">
        <v>58</v>
      </c>
      <c r="E417" s="129" t="s">
        <v>88</v>
      </c>
      <c r="F417" s="44" t="s">
        <v>893</v>
      </c>
      <c r="G417" s="129" t="s">
        <v>186</v>
      </c>
      <c r="H417" s="129"/>
      <c r="I417" s="129">
        <v>16</v>
      </c>
      <c r="J417" s="119">
        <v>216.47</v>
      </c>
      <c r="K417" s="129"/>
      <c r="L417" s="129">
        <v>16</v>
      </c>
      <c r="M417" s="119">
        <v>216.47</v>
      </c>
      <c r="N417" s="6" t="s">
        <v>898</v>
      </c>
      <c r="O417" s="130">
        <v>45330</v>
      </c>
      <c r="P417" s="33" t="str">
        <f>HYPERLINK("https://my.zakupivli.pro/remote/dispatcher/state_purchase_view/49049714", "UA-2024-02-08-012050-a")</f>
        <v>UA-2024-02-08-012050-a</v>
      </c>
      <c r="Q417" s="129"/>
      <c r="R417" s="129">
        <v>16</v>
      </c>
      <c r="S417" s="129">
        <v>211.97399999999999</v>
      </c>
      <c r="T417" s="130">
        <v>45352</v>
      </c>
      <c r="U417" s="129"/>
      <c r="V417" s="129"/>
    </row>
    <row r="418" spans="1:22" ht="140.4" x14ac:dyDescent="0.3">
      <c r="A418" s="129">
        <v>415</v>
      </c>
      <c r="B418" s="129" t="s">
        <v>21</v>
      </c>
      <c r="C418" s="44" t="s">
        <v>173</v>
      </c>
      <c r="D418" s="129" t="s">
        <v>58</v>
      </c>
      <c r="E418" s="129" t="s">
        <v>88</v>
      </c>
      <c r="F418" s="44" t="s">
        <v>899</v>
      </c>
      <c r="G418" s="129" t="s">
        <v>185</v>
      </c>
      <c r="H418" s="129"/>
      <c r="I418" s="129">
        <v>23</v>
      </c>
      <c r="J418" s="119">
        <v>2507</v>
      </c>
      <c r="K418" s="129"/>
      <c r="L418" s="129">
        <v>23</v>
      </c>
      <c r="M418" s="119">
        <v>2507</v>
      </c>
      <c r="N418" s="6" t="s">
        <v>900</v>
      </c>
      <c r="O418" s="130">
        <v>45330</v>
      </c>
      <c r="P418" s="33" t="str">
        <f>HYPERLINK("https://my.zakupivli.pro/remote/dispatcher/state_purchase_view/49052400", "UA-2024-02-08-013211-a")</f>
        <v>UA-2024-02-08-013211-a</v>
      </c>
      <c r="Q418" s="129"/>
      <c r="R418" s="129">
        <v>23</v>
      </c>
      <c r="S418" s="119">
        <v>2507</v>
      </c>
      <c r="T418" s="165">
        <v>45352</v>
      </c>
      <c r="U418" s="129"/>
      <c r="V418" s="129"/>
    </row>
    <row r="419" spans="1:22" ht="62.4" x14ac:dyDescent="0.3">
      <c r="A419" s="132">
        <v>416</v>
      </c>
      <c r="B419" s="132" t="s">
        <v>40</v>
      </c>
      <c r="C419" s="44" t="s">
        <v>885</v>
      </c>
      <c r="D419" s="132"/>
      <c r="E419" s="132" t="s">
        <v>88</v>
      </c>
      <c r="F419" s="44" t="s">
        <v>901</v>
      </c>
      <c r="G419" s="132" t="s">
        <v>184</v>
      </c>
      <c r="H419" s="132">
        <v>462.97890000000001</v>
      </c>
      <c r="I419" s="132">
        <v>1</v>
      </c>
      <c r="J419" s="132">
        <v>462.97890000000001</v>
      </c>
      <c r="K419" s="132">
        <v>462.97890000000001</v>
      </c>
      <c r="L419" s="132">
        <v>1</v>
      </c>
      <c r="M419" s="132">
        <v>462.97890000000001</v>
      </c>
      <c r="N419" s="6" t="s">
        <v>905</v>
      </c>
      <c r="O419" s="133">
        <v>45336</v>
      </c>
      <c r="P419" s="33" t="str">
        <f>HYPERLINK("https://my.zakupivli.pro/remote/dispatcher/state_purchase_view/49159801", "UA-2024-02-14-000570-a")</f>
        <v>UA-2024-02-14-000570-a</v>
      </c>
      <c r="Q419" s="132">
        <v>462.97890000000001</v>
      </c>
      <c r="R419" s="132">
        <v>1</v>
      </c>
      <c r="S419" s="132">
        <v>462.97890000000001</v>
      </c>
      <c r="T419" s="151">
        <v>45336</v>
      </c>
      <c r="U419" s="132"/>
      <c r="V419" s="132" t="s">
        <v>59</v>
      </c>
    </row>
    <row r="420" spans="1:22" ht="62.4" x14ac:dyDescent="0.3">
      <c r="A420" s="132">
        <v>417</v>
      </c>
      <c r="B420" s="132" t="s">
        <v>40</v>
      </c>
      <c r="C420" s="44" t="s">
        <v>885</v>
      </c>
      <c r="D420" s="132"/>
      <c r="E420" s="132" t="s">
        <v>88</v>
      </c>
      <c r="F420" s="44" t="s">
        <v>902</v>
      </c>
      <c r="G420" s="132" t="s">
        <v>184</v>
      </c>
      <c r="H420" s="132">
        <v>487.69560999999999</v>
      </c>
      <c r="I420" s="132">
        <v>1</v>
      </c>
      <c r="J420" s="132">
        <v>487.69560999999999</v>
      </c>
      <c r="K420" s="132">
        <v>487.69560999999999</v>
      </c>
      <c r="L420" s="132">
        <v>1</v>
      </c>
      <c r="M420" s="132">
        <v>487.69560999999999</v>
      </c>
      <c r="N420" s="6" t="s">
        <v>906</v>
      </c>
      <c r="O420" s="133">
        <v>45336</v>
      </c>
      <c r="P420" s="33" t="str">
        <f>HYPERLINK("https://my.zakupivli.pro/remote/dispatcher/state_purchase_view/49159395", "UA-2024-02-14-000440-a")</f>
        <v>UA-2024-02-14-000440-a</v>
      </c>
      <c r="Q420" s="132">
        <v>487.69560999999999</v>
      </c>
      <c r="R420" s="132">
        <v>1</v>
      </c>
      <c r="S420" s="132">
        <v>487.69560999999999</v>
      </c>
      <c r="T420" s="151">
        <v>45336</v>
      </c>
      <c r="U420" s="132"/>
      <c r="V420" s="132" t="s">
        <v>59</v>
      </c>
    </row>
    <row r="421" spans="1:22" ht="62.4" x14ac:dyDescent="0.3">
      <c r="A421" s="132">
        <v>418</v>
      </c>
      <c r="B421" s="132" t="s">
        <v>40</v>
      </c>
      <c r="C421" s="44" t="s">
        <v>885</v>
      </c>
      <c r="D421" s="132"/>
      <c r="E421" s="132" t="s">
        <v>88</v>
      </c>
      <c r="F421" s="44" t="s">
        <v>903</v>
      </c>
      <c r="G421" s="132" t="s">
        <v>184</v>
      </c>
      <c r="H421" s="132">
        <v>369.64204999999998</v>
      </c>
      <c r="I421" s="132">
        <v>1</v>
      </c>
      <c r="J421" s="132">
        <v>369.64204999999998</v>
      </c>
      <c r="K421" s="132">
        <v>369.64204999999998</v>
      </c>
      <c r="L421" s="132">
        <v>1</v>
      </c>
      <c r="M421" s="132">
        <v>369.64204999999998</v>
      </c>
      <c r="N421" s="6" t="s">
        <v>907</v>
      </c>
      <c r="O421" s="133">
        <v>45336</v>
      </c>
      <c r="P421" s="33" t="str">
        <f>HYPERLINK("https://my.zakupivli.pro/remote/dispatcher/state_purchase_view/49159293", "UA-2024-02-14-000408-a")</f>
        <v>UA-2024-02-14-000408-a</v>
      </c>
      <c r="Q421" s="132">
        <v>369.64204999999998</v>
      </c>
      <c r="R421" s="132">
        <v>1</v>
      </c>
      <c r="S421" s="132">
        <v>369.64204999999998</v>
      </c>
      <c r="T421" s="151">
        <v>45336</v>
      </c>
      <c r="U421" s="132"/>
      <c r="V421" s="132" t="s">
        <v>59</v>
      </c>
    </row>
    <row r="422" spans="1:22" ht="62.4" x14ac:dyDescent="0.3">
      <c r="A422" s="132">
        <v>419</v>
      </c>
      <c r="B422" s="132" t="s">
        <v>40</v>
      </c>
      <c r="C422" s="44" t="s">
        <v>885</v>
      </c>
      <c r="D422" s="132"/>
      <c r="E422" s="132" t="s">
        <v>88</v>
      </c>
      <c r="F422" s="44" t="s">
        <v>904</v>
      </c>
      <c r="G422" s="132" t="s">
        <v>184</v>
      </c>
      <c r="H422" s="132">
        <v>415.62329</v>
      </c>
      <c r="I422" s="132">
        <v>1</v>
      </c>
      <c r="J422" s="132">
        <v>415.62329</v>
      </c>
      <c r="K422" s="132">
        <v>415.62329</v>
      </c>
      <c r="L422" s="132">
        <v>1</v>
      </c>
      <c r="M422" s="132">
        <v>415.62329</v>
      </c>
      <c r="N422" s="6" t="s">
        <v>908</v>
      </c>
      <c r="O422" s="133">
        <v>45336</v>
      </c>
      <c r="P422" s="33" t="str">
        <f>HYPERLINK("https://my.zakupivli.pro/remote/dispatcher/state_purchase_view/49158931", "UA-2024-02-14-000270-a")</f>
        <v>UA-2024-02-14-000270-a</v>
      </c>
      <c r="Q422" s="132">
        <v>415.62329</v>
      </c>
      <c r="R422" s="132">
        <v>1</v>
      </c>
      <c r="S422" s="132">
        <v>415.62329</v>
      </c>
      <c r="T422" s="151">
        <v>45336</v>
      </c>
      <c r="U422" s="132"/>
      <c r="V422" s="132" t="s">
        <v>59</v>
      </c>
    </row>
    <row r="423" spans="1:22" ht="78" x14ac:dyDescent="0.3">
      <c r="A423" s="132">
        <v>420</v>
      </c>
      <c r="B423" s="134" t="s">
        <v>21</v>
      </c>
      <c r="C423" s="44" t="s">
        <v>174</v>
      </c>
      <c r="D423" s="134" t="s">
        <v>58</v>
      </c>
      <c r="E423" s="134" t="s">
        <v>88</v>
      </c>
      <c r="F423" s="44" t="s">
        <v>911</v>
      </c>
      <c r="G423" s="132" t="s">
        <v>187</v>
      </c>
      <c r="H423" s="132"/>
      <c r="I423" s="132">
        <v>2</v>
      </c>
      <c r="J423" s="119">
        <v>141</v>
      </c>
      <c r="K423" s="132"/>
      <c r="L423" s="134">
        <v>2</v>
      </c>
      <c r="M423" s="119">
        <v>141</v>
      </c>
      <c r="N423" s="6" t="s">
        <v>912</v>
      </c>
      <c r="O423" s="133">
        <v>45337</v>
      </c>
      <c r="P423" s="33" t="str">
        <f>HYPERLINK("https://my.zakupivli.pro/remote/dispatcher/state_purchase_view/49215079", "UA-2024-02-15-012214-a")</f>
        <v>UA-2024-02-15-012214-a</v>
      </c>
      <c r="Q423" s="132"/>
      <c r="R423" s="216">
        <v>2</v>
      </c>
      <c r="S423" s="119">
        <v>141</v>
      </c>
      <c r="T423" s="133">
        <v>45373</v>
      </c>
      <c r="U423" s="132"/>
      <c r="V423" s="132"/>
    </row>
    <row r="424" spans="1:22" ht="93.6" x14ac:dyDescent="0.3">
      <c r="A424" s="132">
        <v>421</v>
      </c>
      <c r="B424" s="134" t="s">
        <v>21</v>
      </c>
      <c r="C424" s="44" t="s">
        <v>174</v>
      </c>
      <c r="D424" s="134" t="s">
        <v>58</v>
      </c>
      <c r="E424" s="134" t="s">
        <v>88</v>
      </c>
      <c r="F424" s="44" t="s">
        <v>910</v>
      </c>
      <c r="G424" s="132" t="s">
        <v>187</v>
      </c>
      <c r="H424" s="132"/>
      <c r="I424" s="132">
        <v>33</v>
      </c>
      <c r="J424" s="132">
        <v>804.54</v>
      </c>
      <c r="K424" s="132"/>
      <c r="L424" s="134">
        <v>33</v>
      </c>
      <c r="M424" s="134">
        <v>804.54</v>
      </c>
      <c r="N424" s="6" t="s">
        <v>913</v>
      </c>
      <c r="O424" s="135">
        <v>45337</v>
      </c>
      <c r="P424" s="33" t="str">
        <f>HYPERLINK("https://my.zakupivli.pro/remote/dispatcher/state_purchase_view/49215079", "UA-2024-02-15-012214-a")</f>
        <v>UA-2024-02-15-012214-a</v>
      </c>
      <c r="Q424" s="132"/>
      <c r="R424" s="132"/>
      <c r="S424" s="132"/>
      <c r="T424" s="133"/>
      <c r="U424" s="216" t="s">
        <v>556</v>
      </c>
      <c r="V424" s="132"/>
    </row>
    <row r="425" spans="1:22" ht="62.4" x14ac:dyDescent="0.3">
      <c r="A425" s="132">
        <v>422</v>
      </c>
      <c r="B425" s="134" t="s">
        <v>21</v>
      </c>
      <c r="C425" s="44" t="s">
        <v>30</v>
      </c>
      <c r="D425" s="132"/>
      <c r="E425" s="134" t="s">
        <v>75</v>
      </c>
      <c r="F425" s="44" t="s">
        <v>909</v>
      </c>
      <c r="G425" s="132" t="s">
        <v>186</v>
      </c>
      <c r="H425" s="132"/>
      <c r="I425" s="132">
        <v>4</v>
      </c>
      <c r="J425" s="132">
        <v>81.664599999999993</v>
      </c>
      <c r="K425" s="132"/>
      <c r="L425" s="134">
        <v>4</v>
      </c>
      <c r="M425" s="134">
        <v>81.664599999999993</v>
      </c>
      <c r="N425" s="6" t="s">
        <v>914</v>
      </c>
      <c r="O425" s="135">
        <v>45337</v>
      </c>
      <c r="P425" s="33" t="str">
        <f>HYPERLINK("https://my.zakupivli.pro/remote/dispatcher/state_purchase_view/49193482", "UA-2024-02-15-002556-a")</f>
        <v>UA-2024-02-15-002556-a</v>
      </c>
      <c r="Q425" s="132"/>
      <c r="R425" s="134">
        <v>4</v>
      </c>
      <c r="S425" s="134">
        <v>81.664599999999993</v>
      </c>
      <c r="T425" s="133"/>
      <c r="U425" s="132"/>
      <c r="V425" s="134" t="s">
        <v>59</v>
      </c>
    </row>
    <row r="426" spans="1:22" ht="93.6" x14ac:dyDescent="0.3">
      <c r="A426" s="132">
        <v>423</v>
      </c>
      <c r="B426" s="137" t="s">
        <v>40</v>
      </c>
      <c r="C426" s="44" t="s">
        <v>518</v>
      </c>
      <c r="D426" s="132"/>
      <c r="E426" s="137" t="s">
        <v>75</v>
      </c>
      <c r="F426" s="44" t="s">
        <v>915</v>
      </c>
      <c r="G426" s="132" t="s">
        <v>184</v>
      </c>
      <c r="H426" s="137">
        <v>150.31800000000001</v>
      </c>
      <c r="I426" s="132">
        <v>1</v>
      </c>
      <c r="J426" s="132">
        <v>150.31800000000001</v>
      </c>
      <c r="K426" s="137">
        <v>150.31800000000001</v>
      </c>
      <c r="L426" s="137">
        <v>1</v>
      </c>
      <c r="M426" s="137">
        <v>150.31800000000001</v>
      </c>
      <c r="N426" s="6" t="s">
        <v>916</v>
      </c>
      <c r="O426" s="133">
        <v>45341</v>
      </c>
      <c r="P426" s="33" t="str">
        <f>HYPERLINK("https://my.zakupivli.pro/remote/dispatcher/state_purchase_view/49262531", "UA-2024-02-19-006735-a")</f>
        <v>UA-2024-02-19-006735-a</v>
      </c>
      <c r="Q426" s="137">
        <v>150.31800000000001</v>
      </c>
      <c r="R426" s="137">
        <v>1</v>
      </c>
      <c r="S426" s="137">
        <v>150.31800000000001</v>
      </c>
      <c r="T426" s="133"/>
      <c r="U426" s="132"/>
      <c r="V426" s="137" t="s">
        <v>59</v>
      </c>
    </row>
    <row r="427" spans="1:22" ht="62.4" x14ac:dyDescent="0.3">
      <c r="A427" s="132">
        <v>424</v>
      </c>
      <c r="B427" s="138" t="s">
        <v>40</v>
      </c>
      <c r="C427" s="44" t="s">
        <v>41</v>
      </c>
      <c r="D427" s="132"/>
      <c r="E427" s="138" t="s">
        <v>88</v>
      </c>
      <c r="F427" s="44" t="s">
        <v>917</v>
      </c>
      <c r="G427" s="138" t="s">
        <v>184</v>
      </c>
      <c r="H427" s="132">
        <v>634.35749999999996</v>
      </c>
      <c r="I427" s="132">
        <v>1</v>
      </c>
      <c r="J427" s="138">
        <v>634.35749999999996</v>
      </c>
      <c r="K427" s="138">
        <v>634.35749999999996</v>
      </c>
      <c r="L427" s="138">
        <v>1</v>
      </c>
      <c r="M427" s="138">
        <v>634.35749999999996</v>
      </c>
      <c r="N427" s="6" t="s">
        <v>933</v>
      </c>
      <c r="O427" s="133">
        <v>45342</v>
      </c>
      <c r="P427" s="33" t="str">
        <f>HYPERLINK("https://my.zakupivli.pro/remote/dispatcher/state_purchase_view/49305636", "UA-2024-02-20-011652-a")</f>
        <v>UA-2024-02-20-011652-a</v>
      </c>
      <c r="Q427" s="138">
        <v>634.35749999999996</v>
      </c>
      <c r="R427" s="138">
        <v>1</v>
      </c>
      <c r="S427" s="138">
        <v>634.35749999999996</v>
      </c>
      <c r="T427" s="139">
        <v>45342</v>
      </c>
      <c r="U427" s="132"/>
      <c r="V427" s="138" t="s">
        <v>59</v>
      </c>
    </row>
    <row r="428" spans="1:22" ht="62.4" x14ac:dyDescent="0.3">
      <c r="A428" s="132">
        <v>425</v>
      </c>
      <c r="B428" s="138" t="s">
        <v>40</v>
      </c>
      <c r="C428" s="44" t="s">
        <v>41</v>
      </c>
      <c r="D428" s="132"/>
      <c r="E428" s="138" t="s">
        <v>88</v>
      </c>
      <c r="F428" s="44" t="s">
        <v>918</v>
      </c>
      <c r="G428" s="138" t="s">
        <v>184</v>
      </c>
      <c r="H428" s="132">
        <v>496.01035000000002</v>
      </c>
      <c r="I428" s="132">
        <v>1</v>
      </c>
      <c r="J428" s="138">
        <v>496.01035000000002</v>
      </c>
      <c r="K428" s="138">
        <v>496.01035000000002</v>
      </c>
      <c r="L428" s="138">
        <v>1</v>
      </c>
      <c r="M428" s="138">
        <v>496.01035000000002</v>
      </c>
      <c r="N428" s="6" t="s">
        <v>934</v>
      </c>
      <c r="O428" s="139">
        <v>45342</v>
      </c>
      <c r="P428" s="33" t="str">
        <f>HYPERLINK("https://my.zakupivli.pro/remote/dispatcher/state_purchase_view/49305242", "UA-2024-02-20-011455-a")</f>
        <v>UA-2024-02-20-011455-a</v>
      </c>
      <c r="Q428" s="138">
        <v>496.01035000000002</v>
      </c>
      <c r="R428" s="138">
        <v>1</v>
      </c>
      <c r="S428" s="138">
        <v>496.01035000000002</v>
      </c>
      <c r="T428" s="139">
        <v>45342</v>
      </c>
      <c r="U428" s="132"/>
      <c r="V428" s="138" t="s">
        <v>59</v>
      </c>
    </row>
    <row r="429" spans="1:22" ht="78" x14ac:dyDescent="0.3">
      <c r="A429" s="132">
        <v>426</v>
      </c>
      <c r="B429" s="138" t="s">
        <v>40</v>
      </c>
      <c r="C429" s="44" t="s">
        <v>41</v>
      </c>
      <c r="D429" s="132"/>
      <c r="E429" s="138" t="s">
        <v>88</v>
      </c>
      <c r="F429" s="44" t="s">
        <v>919</v>
      </c>
      <c r="G429" s="138" t="s">
        <v>184</v>
      </c>
      <c r="H429" s="132">
        <v>286.69382000000002</v>
      </c>
      <c r="I429" s="132">
        <v>1</v>
      </c>
      <c r="J429" s="138">
        <v>286.69382000000002</v>
      </c>
      <c r="K429" s="138">
        <v>286.69382000000002</v>
      </c>
      <c r="L429" s="138">
        <v>1</v>
      </c>
      <c r="M429" s="138">
        <v>286.69382000000002</v>
      </c>
      <c r="N429" s="6" t="s">
        <v>935</v>
      </c>
      <c r="O429" s="139">
        <v>45342</v>
      </c>
      <c r="P429" s="33" t="str">
        <f>HYPERLINK("https://my.zakupivli.pro/remote/dispatcher/state_purchase_view/49304806", "UA-2024-02-20-011273-a")</f>
        <v>UA-2024-02-20-011273-a</v>
      </c>
      <c r="Q429" s="138">
        <v>286.69382000000002</v>
      </c>
      <c r="R429" s="138">
        <v>1</v>
      </c>
      <c r="S429" s="138">
        <v>286.69382000000002</v>
      </c>
      <c r="T429" s="139">
        <v>45342</v>
      </c>
      <c r="U429" s="132"/>
      <c r="V429" s="138" t="s">
        <v>59</v>
      </c>
    </row>
    <row r="430" spans="1:22" ht="62.4" x14ac:dyDescent="0.3">
      <c r="A430" s="132">
        <v>427</v>
      </c>
      <c r="B430" s="138" t="s">
        <v>40</v>
      </c>
      <c r="C430" s="44" t="s">
        <v>73</v>
      </c>
      <c r="D430" s="132"/>
      <c r="E430" s="138" t="s">
        <v>75</v>
      </c>
      <c r="F430" s="44" t="s">
        <v>920</v>
      </c>
      <c r="G430" s="138" t="s">
        <v>184</v>
      </c>
      <c r="H430" s="132">
        <v>1249.1666700000001</v>
      </c>
      <c r="I430" s="132">
        <v>1</v>
      </c>
      <c r="J430" s="138">
        <v>1249.1666700000001</v>
      </c>
      <c r="K430" s="138">
        <v>1249.1666700000001</v>
      </c>
      <c r="L430" s="138">
        <v>1</v>
      </c>
      <c r="M430" s="138">
        <v>1249.1666700000001</v>
      </c>
      <c r="N430" s="6" t="s">
        <v>936</v>
      </c>
      <c r="O430" s="139">
        <v>45342</v>
      </c>
      <c r="P430" s="33" t="str">
        <f>HYPERLINK("https://my.zakupivli.pro/remote/dispatcher/state_purchase_view/49304261", "UA-2024-02-20-011051-a")</f>
        <v>UA-2024-02-20-011051-a</v>
      </c>
      <c r="Q430" s="138">
        <v>1249.1666700000001</v>
      </c>
      <c r="R430" s="138">
        <v>1</v>
      </c>
      <c r="S430" s="138">
        <v>1249.1666700000001</v>
      </c>
      <c r="T430" s="139">
        <v>45342</v>
      </c>
      <c r="U430" s="132"/>
      <c r="V430" s="138" t="s">
        <v>59</v>
      </c>
    </row>
    <row r="431" spans="1:22" ht="78" x14ac:dyDescent="0.3">
      <c r="A431" s="132">
        <v>428</v>
      </c>
      <c r="B431" s="138" t="s">
        <v>40</v>
      </c>
      <c r="C431" s="44" t="s">
        <v>41</v>
      </c>
      <c r="D431" s="132"/>
      <c r="E431" s="138" t="s">
        <v>88</v>
      </c>
      <c r="F431" s="44" t="s">
        <v>921</v>
      </c>
      <c r="G431" s="138" t="s">
        <v>184</v>
      </c>
      <c r="H431" s="132">
        <v>175.18467000000001</v>
      </c>
      <c r="I431" s="132">
        <v>1</v>
      </c>
      <c r="J431" s="138">
        <v>175.18467000000001</v>
      </c>
      <c r="K431" s="138">
        <v>175.18467000000001</v>
      </c>
      <c r="L431" s="138">
        <v>1</v>
      </c>
      <c r="M431" s="138">
        <v>175.18467000000001</v>
      </c>
      <c r="N431" s="6" t="s">
        <v>937</v>
      </c>
      <c r="O431" s="139">
        <v>45342</v>
      </c>
      <c r="P431" s="33" t="str">
        <f>HYPERLINK("https://my.zakupivli.pro/remote/dispatcher/state_purchase_view/49303437", "UA-2024-02-20-010626-a")</f>
        <v>UA-2024-02-20-010626-a</v>
      </c>
      <c r="Q431" s="138">
        <v>175.18467000000001</v>
      </c>
      <c r="R431" s="138">
        <v>1</v>
      </c>
      <c r="S431" s="138">
        <v>175.18467000000001</v>
      </c>
      <c r="T431" s="139">
        <v>45342</v>
      </c>
      <c r="U431" s="132"/>
      <c r="V431" s="138" t="s">
        <v>59</v>
      </c>
    </row>
    <row r="432" spans="1:22" ht="62.4" x14ac:dyDescent="0.3">
      <c r="A432" s="132">
        <v>429</v>
      </c>
      <c r="B432" s="138" t="s">
        <v>40</v>
      </c>
      <c r="C432" s="44" t="s">
        <v>73</v>
      </c>
      <c r="D432" s="132"/>
      <c r="E432" s="138" t="s">
        <v>75</v>
      </c>
      <c r="F432" s="44" t="s">
        <v>922</v>
      </c>
      <c r="G432" s="138" t="s">
        <v>184</v>
      </c>
      <c r="H432" s="132">
        <v>1249.1666600000001</v>
      </c>
      <c r="I432" s="132">
        <v>1</v>
      </c>
      <c r="J432" s="138">
        <v>1249.1666600000001</v>
      </c>
      <c r="K432" s="138">
        <v>1249.1666600000001</v>
      </c>
      <c r="L432" s="138">
        <v>1</v>
      </c>
      <c r="M432" s="138">
        <v>1249.1666600000001</v>
      </c>
      <c r="N432" s="6" t="s">
        <v>938</v>
      </c>
      <c r="O432" s="139">
        <v>45342</v>
      </c>
      <c r="P432" s="33" t="str">
        <f>HYPERLINK("https://my.zakupivli.pro/remote/dispatcher/state_purchase_view/49303427", "UA-2024-02-20-010616-a")</f>
        <v>UA-2024-02-20-010616-a</v>
      </c>
      <c r="Q432" s="138">
        <v>1249.1666600000001</v>
      </c>
      <c r="R432" s="138">
        <v>1</v>
      </c>
      <c r="S432" s="138">
        <v>1249.1666600000001</v>
      </c>
      <c r="T432" s="139">
        <v>45342</v>
      </c>
      <c r="U432" s="132"/>
      <c r="V432" s="138" t="s">
        <v>59</v>
      </c>
    </row>
    <row r="433" spans="1:22" ht="78" x14ac:dyDescent="0.3">
      <c r="A433" s="132">
        <v>430</v>
      </c>
      <c r="B433" s="138" t="s">
        <v>40</v>
      </c>
      <c r="C433" s="44" t="s">
        <v>41</v>
      </c>
      <c r="D433" s="132"/>
      <c r="E433" s="138" t="s">
        <v>88</v>
      </c>
      <c r="F433" s="44" t="s">
        <v>923</v>
      </c>
      <c r="G433" s="138" t="s">
        <v>184</v>
      </c>
      <c r="H433" s="132">
        <v>95.543689999999998</v>
      </c>
      <c r="I433" s="132">
        <v>1</v>
      </c>
      <c r="J433" s="138">
        <v>95.543689999999998</v>
      </c>
      <c r="K433" s="138">
        <v>95.543689999999998</v>
      </c>
      <c r="L433" s="138">
        <v>1</v>
      </c>
      <c r="M433" s="138">
        <v>95.543689999999998</v>
      </c>
      <c r="N433" s="6" t="s">
        <v>939</v>
      </c>
      <c r="O433" s="139">
        <v>45342</v>
      </c>
      <c r="P433" s="33" t="str">
        <f>HYPERLINK("https://my.zakupivli.pro/remote/dispatcher/state_purchase_view/49302519", "UA-2024-02-20-010187-a")</f>
        <v>UA-2024-02-20-010187-a</v>
      </c>
      <c r="Q433" s="138">
        <v>95.543689999999998</v>
      </c>
      <c r="R433" s="138">
        <v>1</v>
      </c>
      <c r="S433" s="138">
        <v>95.543689999999998</v>
      </c>
      <c r="T433" s="139">
        <v>45342</v>
      </c>
      <c r="U433" s="132"/>
      <c r="V433" s="138" t="s">
        <v>59</v>
      </c>
    </row>
    <row r="434" spans="1:22" ht="78" x14ac:dyDescent="0.3">
      <c r="A434" s="132">
        <v>431</v>
      </c>
      <c r="B434" s="138" t="s">
        <v>40</v>
      </c>
      <c r="C434" s="44" t="s">
        <v>41</v>
      </c>
      <c r="D434" s="132"/>
      <c r="E434" s="138" t="s">
        <v>88</v>
      </c>
      <c r="F434" s="44" t="s">
        <v>924</v>
      </c>
      <c r="G434" s="138" t="s">
        <v>184</v>
      </c>
      <c r="H434" s="132">
        <v>43.800289999999997</v>
      </c>
      <c r="I434" s="132">
        <v>1</v>
      </c>
      <c r="J434" s="138">
        <v>43.800289999999997</v>
      </c>
      <c r="K434" s="138">
        <v>43.800289999999997</v>
      </c>
      <c r="L434" s="138">
        <v>1</v>
      </c>
      <c r="M434" s="138">
        <v>43.800289999999997</v>
      </c>
      <c r="N434" s="6" t="s">
        <v>940</v>
      </c>
      <c r="O434" s="139">
        <v>45342</v>
      </c>
      <c r="P434" s="33" t="str">
        <f>HYPERLINK("https://my.zakupivli.pro/remote/dispatcher/state_purchase_view/49302173", "UA-2024-02-20-010113-a")</f>
        <v>UA-2024-02-20-010113-a</v>
      </c>
      <c r="Q434" s="138">
        <v>43.800289999999997</v>
      </c>
      <c r="R434" s="138">
        <v>1</v>
      </c>
      <c r="S434" s="138">
        <v>43.800289999999997</v>
      </c>
      <c r="T434" s="139">
        <v>45342</v>
      </c>
      <c r="U434" s="132"/>
      <c r="V434" s="138" t="s">
        <v>59</v>
      </c>
    </row>
    <row r="435" spans="1:22" ht="78" x14ac:dyDescent="0.3">
      <c r="A435" s="132">
        <v>432</v>
      </c>
      <c r="B435" s="138" t="s">
        <v>40</v>
      </c>
      <c r="C435" s="44" t="s">
        <v>41</v>
      </c>
      <c r="D435" s="132"/>
      <c r="E435" s="138" t="s">
        <v>88</v>
      </c>
      <c r="F435" s="44" t="s">
        <v>925</v>
      </c>
      <c r="G435" s="138" t="s">
        <v>184</v>
      </c>
      <c r="H435" s="132">
        <v>402.14404999999999</v>
      </c>
      <c r="I435" s="132">
        <v>1</v>
      </c>
      <c r="J435" s="138">
        <v>402.14404999999999</v>
      </c>
      <c r="K435" s="138">
        <v>402.14404999999999</v>
      </c>
      <c r="L435" s="138">
        <v>1</v>
      </c>
      <c r="M435" s="138">
        <v>402.14404999999999</v>
      </c>
      <c r="N435" s="6" t="s">
        <v>941</v>
      </c>
      <c r="O435" s="139">
        <v>45342</v>
      </c>
      <c r="P435" s="33" t="str">
        <f>HYPERLINK("https://my.zakupivli.pro/remote/dispatcher/state_purchase_view/49301958", "UA-2024-02-20-010042-a")</f>
        <v>UA-2024-02-20-010042-a</v>
      </c>
      <c r="Q435" s="138">
        <v>402.14404999999999</v>
      </c>
      <c r="R435" s="138">
        <v>1</v>
      </c>
      <c r="S435" s="138">
        <v>402.14404999999999</v>
      </c>
      <c r="T435" s="139">
        <v>45342</v>
      </c>
      <c r="U435" s="132"/>
      <c r="V435" s="138" t="s">
        <v>59</v>
      </c>
    </row>
    <row r="436" spans="1:22" ht="78" x14ac:dyDescent="0.3">
      <c r="A436" s="132">
        <v>433</v>
      </c>
      <c r="B436" s="138" t="s">
        <v>40</v>
      </c>
      <c r="C436" s="44" t="s">
        <v>41</v>
      </c>
      <c r="D436" s="132"/>
      <c r="E436" s="138" t="s">
        <v>88</v>
      </c>
      <c r="F436" s="44" t="s">
        <v>926</v>
      </c>
      <c r="G436" s="138" t="s">
        <v>184</v>
      </c>
      <c r="H436" s="132">
        <v>218.98410000000001</v>
      </c>
      <c r="I436" s="132">
        <v>1</v>
      </c>
      <c r="J436" s="138">
        <v>218.98410000000001</v>
      </c>
      <c r="K436" s="138">
        <v>218.98410000000001</v>
      </c>
      <c r="L436" s="138">
        <v>1</v>
      </c>
      <c r="M436" s="138">
        <v>218.98410000000001</v>
      </c>
      <c r="N436" s="6" t="s">
        <v>942</v>
      </c>
      <c r="O436" s="139">
        <v>45342</v>
      </c>
      <c r="P436" s="33" t="str">
        <f>HYPERLINK("https://my.zakupivli.pro/remote/dispatcher/state_purchase_view/49301487", "UA-2024-02-20-009792-a")</f>
        <v>UA-2024-02-20-009792-a</v>
      </c>
      <c r="Q436" s="138">
        <v>218.98410000000001</v>
      </c>
      <c r="R436" s="138">
        <v>1</v>
      </c>
      <c r="S436" s="138">
        <v>218.98410000000001</v>
      </c>
      <c r="T436" s="139">
        <v>45342</v>
      </c>
      <c r="U436" s="132"/>
      <c r="V436" s="138" t="s">
        <v>59</v>
      </c>
    </row>
    <row r="437" spans="1:22" ht="78" x14ac:dyDescent="0.3">
      <c r="A437" s="132">
        <v>434</v>
      </c>
      <c r="B437" s="138" t="s">
        <v>40</v>
      </c>
      <c r="C437" s="44" t="s">
        <v>41</v>
      </c>
      <c r="D437" s="132"/>
      <c r="E437" s="138" t="s">
        <v>88</v>
      </c>
      <c r="F437" s="44" t="s">
        <v>927</v>
      </c>
      <c r="G437" s="138" t="s">
        <v>184</v>
      </c>
      <c r="H437" s="132">
        <v>676.91264000000001</v>
      </c>
      <c r="I437" s="132">
        <v>1</v>
      </c>
      <c r="J437" s="138">
        <v>676.91264000000001</v>
      </c>
      <c r="K437" s="138">
        <v>676.91264000000001</v>
      </c>
      <c r="L437" s="138">
        <v>1</v>
      </c>
      <c r="M437" s="138">
        <v>676.91264000000001</v>
      </c>
      <c r="N437" s="6" t="s">
        <v>943</v>
      </c>
      <c r="O437" s="139">
        <v>45342</v>
      </c>
      <c r="P437" s="33" t="str">
        <f>HYPERLINK("https://my.zakupivli.pro/remote/dispatcher/state_purchase_view/49300786", "UA-2024-02-20-009499-a")</f>
        <v>UA-2024-02-20-009499-a</v>
      </c>
      <c r="Q437" s="138">
        <v>676.91264000000001</v>
      </c>
      <c r="R437" s="138">
        <v>1</v>
      </c>
      <c r="S437" s="138">
        <v>676.91264000000001</v>
      </c>
      <c r="T437" s="139">
        <v>45342</v>
      </c>
      <c r="U437" s="132"/>
      <c r="V437" s="138" t="s">
        <v>59</v>
      </c>
    </row>
    <row r="438" spans="1:22" ht="78" x14ac:dyDescent="0.3">
      <c r="A438" s="132">
        <v>435</v>
      </c>
      <c r="B438" s="138" t="s">
        <v>40</v>
      </c>
      <c r="C438" s="44" t="s">
        <v>41</v>
      </c>
      <c r="D438" s="132"/>
      <c r="E438" s="138" t="s">
        <v>88</v>
      </c>
      <c r="F438" s="44" t="s">
        <v>928</v>
      </c>
      <c r="G438" s="138" t="s">
        <v>184</v>
      </c>
      <c r="H438" s="132">
        <v>48.8902</v>
      </c>
      <c r="I438" s="132">
        <v>1</v>
      </c>
      <c r="J438" s="138">
        <v>48.8902</v>
      </c>
      <c r="K438" s="138">
        <v>48.8902</v>
      </c>
      <c r="L438" s="138">
        <v>1</v>
      </c>
      <c r="M438" s="138">
        <v>48.8902</v>
      </c>
      <c r="N438" s="6" t="s">
        <v>944</v>
      </c>
      <c r="O438" s="139">
        <v>45342</v>
      </c>
      <c r="P438" s="33" t="str">
        <f>HYPERLINK("https://my.zakupivli.pro/remote/dispatcher/state_purchase_view/49300201", "UA-2024-02-20-009222-a")</f>
        <v>UA-2024-02-20-009222-a</v>
      </c>
      <c r="Q438" s="138">
        <v>48.8902</v>
      </c>
      <c r="R438" s="138">
        <v>1</v>
      </c>
      <c r="S438" s="138">
        <v>48.8902</v>
      </c>
      <c r="T438" s="139">
        <v>45342</v>
      </c>
      <c r="U438" s="132"/>
      <c r="V438" s="138" t="s">
        <v>59</v>
      </c>
    </row>
    <row r="439" spans="1:22" ht="78" x14ac:dyDescent="0.3">
      <c r="A439" s="132">
        <v>436</v>
      </c>
      <c r="B439" s="138" t="s">
        <v>40</v>
      </c>
      <c r="C439" s="44" t="s">
        <v>41</v>
      </c>
      <c r="D439" s="132"/>
      <c r="E439" s="138" t="s">
        <v>88</v>
      </c>
      <c r="F439" s="44" t="s">
        <v>929</v>
      </c>
      <c r="G439" s="138" t="s">
        <v>184</v>
      </c>
      <c r="H439" s="132">
        <v>87.01397</v>
      </c>
      <c r="I439" s="132">
        <v>1</v>
      </c>
      <c r="J439" s="138">
        <v>87.01397</v>
      </c>
      <c r="K439" s="138">
        <v>87.01397</v>
      </c>
      <c r="L439" s="138">
        <v>1</v>
      </c>
      <c r="M439" s="138">
        <v>87.01397</v>
      </c>
      <c r="N439" s="6" t="s">
        <v>945</v>
      </c>
      <c r="O439" s="139">
        <v>45342</v>
      </c>
      <c r="P439" s="33" t="str">
        <f>HYPERLINK("https://my.zakupivli.pro/remote/dispatcher/state_purchase_view/49299714", "UA-2024-02-20-008982-a")</f>
        <v>UA-2024-02-20-008982-a</v>
      </c>
      <c r="Q439" s="138">
        <v>87.01397</v>
      </c>
      <c r="R439" s="138">
        <v>1</v>
      </c>
      <c r="S439" s="138">
        <v>87.01397</v>
      </c>
      <c r="T439" s="139">
        <v>45342</v>
      </c>
      <c r="U439" s="132"/>
      <c r="V439" s="138" t="s">
        <v>59</v>
      </c>
    </row>
    <row r="440" spans="1:22" ht="78" x14ac:dyDescent="0.3">
      <c r="A440" s="132">
        <v>437</v>
      </c>
      <c r="B440" s="138" t="s">
        <v>40</v>
      </c>
      <c r="C440" s="44" t="s">
        <v>41</v>
      </c>
      <c r="D440" s="132"/>
      <c r="E440" s="138" t="s">
        <v>88</v>
      </c>
      <c r="F440" s="44" t="s">
        <v>930</v>
      </c>
      <c r="G440" s="138" t="s">
        <v>184</v>
      </c>
      <c r="H440" s="132">
        <v>81.598889999999997</v>
      </c>
      <c r="I440" s="132">
        <v>1</v>
      </c>
      <c r="J440" s="138">
        <v>81.598889999999997</v>
      </c>
      <c r="K440" s="138">
        <v>81.598889999999997</v>
      </c>
      <c r="L440" s="138">
        <v>1</v>
      </c>
      <c r="M440" s="138">
        <v>81.598889999999997</v>
      </c>
      <c r="N440" s="6" t="s">
        <v>946</v>
      </c>
      <c r="O440" s="139">
        <v>45342</v>
      </c>
      <c r="P440" s="33" t="str">
        <f>HYPERLINK("https://my.zakupivli.pro/remote/dispatcher/state_purchase_view/49299258", "UA-2024-02-20-008891-a")</f>
        <v>UA-2024-02-20-008891-a</v>
      </c>
      <c r="Q440" s="138">
        <v>81.598889999999997</v>
      </c>
      <c r="R440" s="138">
        <v>1</v>
      </c>
      <c r="S440" s="138">
        <v>81.598889999999997</v>
      </c>
      <c r="T440" s="139">
        <v>45342</v>
      </c>
      <c r="U440" s="132"/>
      <c r="V440" s="138" t="s">
        <v>59</v>
      </c>
    </row>
    <row r="441" spans="1:22" ht="78" x14ac:dyDescent="0.3">
      <c r="A441" s="132">
        <v>438</v>
      </c>
      <c r="B441" s="138" t="s">
        <v>40</v>
      </c>
      <c r="C441" s="44" t="s">
        <v>41</v>
      </c>
      <c r="D441" s="132"/>
      <c r="E441" s="138" t="s">
        <v>88</v>
      </c>
      <c r="F441" s="44" t="s">
        <v>931</v>
      </c>
      <c r="G441" s="138" t="s">
        <v>184</v>
      </c>
      <c r="H441" s="132">
        <v>141.41246000000001</v>
      </c>
      <c r="I441" s="132">
        <v>1</v>
      </c>
      <c r="J441" s="138">
        <v>141.41246000000001</v>
      </c>
      <c r="K441" s="138">
        <v>141.41246000000001</v>
      </c>
      <c r="L441" s="138">
        <v>1</v>
      </c>
      <c r="M441" s="138">
        <v>141.41246000000001</v>
      </c>
      <c r="N441" s="6" t="s">
        <v>947</v>
      </c>
      <c r="O441" s="139">
        <v>45342</v>
      </c>
      <c r="P441" s="33" t="str">
        <f>HYPERLINK("https://my.zakupivli.pro/remote/dispatcher/state_purchase_view/49298239", "UA-2024-02-20-008382-a")</f>
        <v>UA-2024-02-20-008382-a</v>
      </c>
      <c r="Q441" s="138">
        <v>141.41246000000001</v>
      </c>
      <c r="R441" s="138">
        <v>1</v>
      </c>
      <c r="S441" s="138">
        <v>141.41246000000001</v>
      </c>
      <c r="T441" s="139">
        <v>45342</v>
      </c>
      <c r="U441" s="132"/>
      <c r="V441" s="138" t="s">
        <v>59</v>
      </c>
    </row>
    <row r="442" spans="1:22" ht="46.8" x14ac:dyDescent="0.3">
      <c r="A442" s="132">
        <v>439</v>
      </c>
      <c r="B442" s="138" t="s">
        <v>21</v>
      </c>
      <c r="C442" s="44" t="s">
        <v>36</v>
      </c>
      <c r="D442" s="138" t="s">
        <v>58</v>
      </c>
      <c r="E442" s="138" t="s">
        <v>75</v>
      </c>
      <c r="F442" s="44" t="s">
        <v>932</v>
      </c>
      <c r="G442" s="132" t="s">
        <v>185</v>
      </c>
      <c r="H442" s="132"/>
      <c r="I442" s="132">
        <v>12</v>
      </c>
      <c r="J442" s="132">
        <v>1343.433</v>
      </c>
      <c r="K442" s="132"/>
      <c r="L442" s="138">
        <v>12</v>
      </c>
      <c r="M442" s="138">
        <v>1343.433</v>
      </c>
      <c r="N442" s="6" t="s">
        <v>948</v>
      </c>
      <c r="O442" s="139">
        <v>45342</v>
      </c>
      <c r="P442" s="33" t="str">
        <f>HYPERLINK("https://my.zakupivli.pro/remote/dispatcher/state_purchase_view/49296397", "UA-2024-02-20-007571-a")</f>
        <v>UA-2024-02-20-007571-a</v>
      </c>
      <c r="Q442" s="132"/>
      <c r="R442" s="138">
        <v>12</v>
      </c>
      <c r="S442" s="138">
        <v>1303.8366699999999</v>
      </c>
      <c r="T442" s="133">
        <v>45362</v>
      </c>
      <c r="U442" s="132"/>
      <c r="V442" s="132"/>
    </row>
    <row r="443" spans="1:22" ht="62.4" x14ac:dyDescent="0.3">
      <c r="A443" s="132">
        <v>440</v>
      </c>
      <c r="B443" s="140" t="s">
        <v>40</v>
      </c>
      <c r="C443" s="44" t="s">
        <v>41</v>
      </c>
      <c r="D443" s="132"/>
      <c r="E443" s="132" t="s">
        <v>373</v>
      </c>
      <c r="F443" s="44" t="s">
        <v>949</v>
      </c>
      <c r="G443" s="132" t="s">
        <v>184</v>
      </c>
      <c r="H443" s="132">
        <v>58.664209999999997</v>
      </c>
      <c r="I443" s="132">
        <v>1</v>
      </c>
      <c r="J443" s="140">
        <v>58.664209999999997</v>
      </c>
      <c r="K443" s="140">
        <v>58.664209999999997</v>
      </c>
      <c r="L443" s="140">
        <v>1</v>
      </c>
      <c r="M443" s="140">
        <v>58.664209999999997</v>
      </c>
      <c r="N443" s="6" t="s">
        <v>952</v>
      </c>
      <c r="O443" s="133">
        <v>45343</v>
      </c>
      <c r="P443" s="33" t="str">
        <f>HYPERLINK("https://my.zakupivli.pro/remote/dispatcher/state_purchase_view/49312970", "UA-2024-02-21-000550-a")</f>
        <v>UA-2024-02-21-000550-a</v>
      </c>
      <c r="Q443" s="140">
        <v>58.664209999999997</v>
      </c>
      <c r="R443" s="140">
        <v>1</v>
      </c>
      <c r="S443" s="140">
        <v>58.664209999999997</v>
      </c>
      <c r="T443" s="141">
        <v>45343</v>
      </c>
      <c r="U443" s="132"/>
      <c r="V443" s="140" t="s">
        <v>59</v>
      </c>
    </row>
    <row r="444" spans="1:22" ht="62.4" x14ac:dyDescent="0.3">
      <c r="A444" s="132">
        <v>441</v>
      </c>
      <c r="B444" s="140" t="s">
        <v>40</v>
      </c>
      <c r="C444" s="44" t="s">
        <v>41</v>
      </c>
      <c r="D444" s="132"/>
      <c r="E444" s="132" t="s">
        <v>373</v>
      </c>
      <c r="F444" s="44" t="s">
        <v>950</v>
      </c>
      <c r="G444" s="132" t="s">
        <v>184</v>
      </c>
      <c r="H444" s="132">
        <v>248.74084999999999</v>
      </c>
      <c r="I444" s="132">
        <v>1</v>
      </c>
      <c r="J444" s="140">
        <v>248.74084999999999</v>
      </c>
      <c r="K444" s="140">
        <v>248.74084999999999</v>
      </c>
      <c r="L444" s="140">
        <v>1</v>
      </c>
      <c r="M444" s="140">
        <v>248.74084999999999</v>
      </c>
      <c r="N444" s="6" t="s">
        <v>953</v>
      </c>
      <c r="O444" s="141">
        <v>45343</v>
      </c>
      <c r="P444" s="33" t="str">
        <f>HYPERLINK("https://my.zakupivli.pro/remote/dispatcher/state_purchase_view/49312594", "UA-2024-02-21-000366-a")</f>
        <v>UA-2024-02-21-000366-a</v>
      </c>
      <c r="Q444" s="140">
        <v>248.74084999999999</v>
      </c>
      <c r="R444" s="140">
        <v>1</v>
      </c>
      <c r="S444" s="140">
        <v>248.74084999999999</v>
      </c>
      <c r="T444" s="141">
        <v>45343</v>
      </c>
      <c r="U444" s="132"/>
      <c r="V444" s="140" t="s">
        <v>59</v>
      </c>
    </row>
    <row r="445" spans="1:22" ht="62.4" x14ac:dyDescent="0.3">
      <c r="A445" s="132">
        <v>442</v>
      </c>
      <c r="B445" s="140" t="s">
        <v>40</v>
      </c>
      <c r="C445" s="44" t="s">
        <v>41</v>
      </c>
      <c r="D445" s="132"/>
      <c r="E445" s="132" t="s">
        <v>373</v>
      </c>
      <c r="F445" s="44" t="s">
        <v>951</v>
      </c>
      <c r="G445" s="132" t="s">
        <v>184</v>
      </c>
      <c r="H445" s="132">
        <v>614.07236999999998</v>
      </c>
      <c r="I445" s="132">
        <v>1</v>
      </c>
      <c r="J445" s="140">
        <v>614.07236999999998</v>
      </c>
      <c r="K445" s="140">
        <v>614.07236999999998</v>
      </c>
      <c r="L445" s="140">
        <v>1</v>
      </c>
      <c r="M445" s="140">
        <v>614.07236999999998</v>
      </c>
      <c r="N445" s="6" t="s">
        <v>954</v>
      </c>
      <c r="O445" s="141">
        <v>45343</v>
      </c>
      <c r="P445" s="33" t="str">
        <f>HYPERLINK("https://my.zakupivli.pro/remote/dispatcher/state_purchase_view/49312342", "UA-2024-02-21-000270-a")</f>
        <v>UA-2024-02-21-000270-a</v>
      </c>
      <c r="Q445" s="140">
        <v>614.07236999999998</v>
      </c>
      <c r="R445" s="140">
        <v>1</v>
      </c>
      <c r="S445" s="140">
        <v>614.07236999999998</v>
      </c>
      <c r="T445" s="141">
        <v>45343</v>
      </c>
      <c r="U445" s="132"/>
      <c r="V445" s="140" t="s">
        <v>59</v>
      </c>
    </row>
    <row r="446" spans="1:22" ht="62.4" x14ac:dyDescent="0.3">
      <c r="A446" s="132">
        <v>443</v>
      </c>
      <c r="B446" s="142" t="s">
        <v>40</v>
      </c>
      <c r="C446" s="44" t="s">
        <v>41</v>
      </c>
      <c r="D446" s="132"/>
      <c r="E446" s="142" t="s">
        <v>373</v>
      </c>
      <c r="F446" s="44" t="s">
        <v>955</v>
      </c>
      <c r="G446" s="142" t="s">
        <v>184</v>
      </c>
      <c r="H446" s="132">
        <v>381.84183000000002</v>
      </c>
      <c r="I446" s="142">
        <v>1</v>
      </c>
      <c r="J446" s="142">
        <v>381.84183000000002</v>
      </c>
      <c r="K446" s="142">
        <v>381.84183000000002</v>
      </c>
      <c r="L446" s="142">
        <v>1</v>
      </c>
      <c r="M446" s="142">
        <v>381.84183000000002</v>
      </c>
      <c r="N446" s="6" t="s">
        <v>960</v>
      </c>
      <c r="O446" s="133">
        <v>45344</v>
      </c>
      <c r="P446" s="33" t="str">
        <f>HYPERLINK("https://my.zakupivli.pro/remote/dispatcher/state_purchase_view/49350980", "UA-2024-02-22-002895-a")</f>
        <v>UA-2024-02-22-002895-a</v>
      </c>
      <c r="Q446" s="142">
        <v>381.84183000000002</v>
      </c>
      <c r="R446" s="142">
        <v>1</v>
      </c>
      <c r="S446" s="142">
        <v>381.84183000000002</v>
      </c>
      <c r="T446" s="143">
        <v>45344</v>
      </c>
      <c r="U446" s="132"/>
      <c r="V446" s="142" t="s">
        <v>59</v>
      </c>
    </row>
    <row r="447" spans="1:22" ht="62.4" x14ac:dyDescent="0.3">
      <c r="A447" s="132">
        <v>444</v>
      </c>
      <c r="B447" s="142" t="s">
        <v>40</v>
      </c>
      <c r="C447" s="44" t="s">
        <v>41</v>
      </c>
      <c r="D447" s="132"/>
      <c r="E447" s="142" t="s">
        <v>373</v>
      </c>
      <c r="F447" s="44" t="s">
        <v>956</v>
      </c>
      <c r="G447" s="142" t="s">
        <v>184</v>
      </c>
      <c r="H447" s="132">
        <v>238.40684999999999</v>
      </c>
      <c r="I447" s="142">
        <v>1</v>
      </c>
      <c r="J447" s="142">
        <v>238.40684999999999</v>
      </c>
      <c r="K447" s="142">
        <v>238.40684999999999</v>
      </c>
      <c r="L447" s="142">
        <v>1</v>
      </c>
      <c r="M447" s="142">
        <v>238.40684999999999</v>
      </c>
      <c r="N447" s="6" t="s">
        <v>961</v>
      </c>
      <c r="O447" s="143">
        <v>45344</v>
      </c>
      <c r="P447" s="33" t="str">
        <f>HYPERLINK("https://my.zakupivli.pro/remote/dispatcher/state_purchase_view/49348727", "UA-2024-02-22-001885-a")</f>
        <v>UA-2024-02-22-001885-a</v>
      </c>
      <c r="Q447" s="142">
        <v>238.40684999999999</v>
      </c>
      <c r="R447" s="142">
        <v>1</v>
      </c>
      <c r="S447" s="142">
        <v>238.40684999999999</v>
      </c>
      <c r="T447" s="143">
        <v>45344</v>
      </c>
      <c r="U447" s="132"/>
      <c r="V447" s="142" t="s">
        <v>59</v>
      </c>
    </row>
    <row r="448" spans="1:22" ht="62.4" x14ac:dyDescent="0.3">
      <c r="A448" s="132">
        <v>445</v>
      </c>
      <c r="B448" s="142" t="s">
        <v>40</v>
      </c>
      <c r="C448" s="44" t="s">
        <v>41</v>
      </c>
      <c r="D448" s="132"/>
      <c r="E448" s="142" t="s">
        <v>373</v>
      </c>
      <c r="F448" s="44" t="s">
        <v>957</v>
      </c>
      <c r="G448" s="142" t="s">
        <v>184</v>
      </c>
      <c r="H448" s="132">
        <v>288.66127</v>
      </c>
      <c r="I448" s="142">
        <v>1</v>
      </c>
      <c r="J448" s="142">
        <v>288.66127</v>
      </c>
      <c r="K448" s="142">
        <v>288.66127</v>
      </c>
      <c r="L448" s="142">
        <v>1</v>
      </c>
      <c r="M448" s="142">
        <v>288.66127</v>
      </c>
      <c r="N448" s="6" t="s">
        <v>962</v>
      </c>
      <c r="O448" s="143">
        <v>45344</v>
      </c>
      <c r="P448" s="33" t="str">
        <f>HYPERLINK("https://my.zakupivli.pro/remote/dispatcher/state_purchase_view/49347008", "UA-2024-02-22-001148-a")</f>
        <v>UA-2024-02-22-001148-a</v>
      </c>
      <c r="Q448" s="142">
        <v>288.66127</v>
      </c>
      <c r="R448" s="142">
        <v>1</v>
      </c>
      <c r="S448" s="142">
        <v>288.66127</v>
      </c>
      <c r="T448" s="143">
        <v>45344</v>
      </c>
      <c r="U448" s="132"/>
      <c r="V448" s="142" t="s">
        <v>59</v>
      </c>
    </row>
    <row r="449" spans="1:22" ht="62.4" x14ac:dyDescent="0.3">
      <c r="A449" s="132">
        <v>446</v>
      </c>
      <c r="B449" s="142" t="s">
        <v>40</v>
      </c>
      <c r="C449" s="44" t="s">
        <v>73</v>
      </c>
      <c r="D449" s="132"/>
      <c r="E449" s="142" t="s">
        <v>75</v>
      </c>
      <c r="F449" s="44" t="s">
        <v>958</v>
      </c>
      <c r="G449" s="142" t="s">
        <v>184</v>
      </c>
      <c r="H449" s="132">
        <v>409.11955999999998</v>
      </c>
      <c r="I449" s="142">
        <v>1</v>
      </c>
      <c r="J449" s="142">
        <v>409.11955999999998</v>
      </c>
      <c r="K449" s="142">
        <v>409.11955999999998</v>
      </c>
      <c r="L449" s="142">
        <v>1</v>
      </c>
      <c r="M449" s="142">
        <v>409.11955999999998</v>
      </c>
      <c r="N449" s="6" t="s">
        <v>963</v>
      </c>
      <c r="O449" s="143">
        <v>45344</v>
      </c>
      <c r="P449" s="33" t="str">
        <f>HYPERLINK("https://my.zakupivli.pro/remote/dispatcher/state_purchase_view/49345061", "UA-2024-02-22-000344-a")</f>
        <v>UA-2024-02-22-000344-a</v>
      </c>
      <c r="Q449" s="142">
        <v>409.11955999999998</v>
      </c>
      <c r="R449" s="142">
        <v>1</v>
      </c>
      <c r="S449" s="142">
        <v>409.11955999999998</v>
      </c>
      <c r="T449" s="143">
        <v>45344</v>
      </c>
      <c r="U449" s="132"/>
      <c r="V449" s="142" t="s">
        <v>59</v>
      </c>
    </row>
    <row r="450" spans="1:22" ht="62.4" x14ac:dyDescent="0.3">
      <c r="A450" s="132">
        <v>447</v>
      </c>
      <c r="B450" s="142" t="s">
        <v>40</v>
      </c>
      <c r="C450" s="44" t="s">
        <v>73</v>
      </c>
      <c r="D450" s="132"/>
      <c r="E450" s="142" t="s">
        <v>75</v>
      </c>
      <c r="F450" s="44" t="s">
        <v>959</v>
      </c>
      <c r="G450" s="142" t="s">
        <v>184</v>
      </c>
      <c r="H450" s="132">
        <v>817.76594999999998</v>
      </c>
      <c r="I450" s="142">
        <v>1</v>
      </c>
      <c r="J450" s="142">
        <v>817.76594999999998</v>
      </c>
      <c r="K450" s="142">
        <v>817.76594999999998</v>
      </c>
      <c r="L450" s="142">
        <v>1</v>
      </c>
      <c r="M450" s="142">
        <v>817.76594999999998</v>
      </c>
      <c r="N450" s="6" t="s">
        <v>964</v>
      </c>
      <c r="O450" s="143">
        <v>45344</v>
      </c>
      <c r="P450" s="33" t="str">
        <f>HYPERLINK("https://my.zakupivli.pro/remote/dispatcher/state_purchase_view/49344568", "UA-2024-02-22-000149-a")</f>
        <v>UA-2024-02-22-000149-a</v>
      </c>
      <c r="Q450" s="142">
        <v>817.76594999999998</v>
      </c>
      <c r="R450" s="142">
        <v>1</v>
      </c>
      <c r="S450" s="142">
        <v>817.76594999999998</v>
      </c>
      <c r="T450" s="143">
        <v>45344</v>
      </c>
      <c r="U450" s="132"/>
      <c r="V450" s="142" t="s">
        <v>59</v>
      </c>
    </row>
    <row r="451" spans="1:22" ht="62.4" x14ac:dyDescent="0.3">
      <c r="A451" s="132">
        <v>448</v>
      </c>
      <c r="B451" s="142" t="s">
        <v>40</v>
      </c>
      <c r="C451" s="44" t="s">
        <v>41</v>
      </c>
      <c r="D451" s="132"/>
      <c r="E451" s="142" t="s">
        <v>373</v>
      </c>
      <c r="F451" s="44" t="s">
        <v>965</v>
      </c>
      <c r="G451" s="142" t="s">
        <v>184</v>
      </c>
      <c r="H451" s="132">
        <v>454.31464</v>
      </c>
      <c r="I451" s="132">
        <v>1</v>
      </c>
      <c r="J451" s="142">
        <v>454.31464</v>
      </c>
      <c r="K451" s="142">
        <v>454.31464</v>
      </c>
      <c r="L451" s="142">
        <v>1</v>
      </c>
      <c r="M451" s="142">
        <v>454.31464</v>
      </c>
      <c r="N451" s="6" t="s">
        <v>967</v>
      </c>
      <c r="O451" s="143">
        <v>45344</v>
      </c>
      <c r="P451" s="33" t="str">
        <f>HYPERLINK("https://my.zakupivli.pro/remote/dispatcher/state_purchase_view/49369718", "UA-2024-02-22-011155-a")</f>
        <v>UA-2024-02-22-011155-a</v>
      </c>
      <c r="Q451" s="142">
        <v>454.31464</v>
      </c>
      <c r="R451" s="142">
        <v>1</v>
      </c>
      <c r="S451" s="142">
        <v>454.31464</v>
      </c>
      <c r="T451" s="143">
        <v>45344</v>
      </c>
      <c r="U451" s="132"/>
      <c r="V451" s="142" t="s">
        <v>59</v>
      </c>
    </row>
    <row r="452" spans="1:22" ht="62.4" x14ac:dyDescent="0.3">
      <c r="A452" s="132">
        <v>449</v>
      </c>
      <c r="B452" s="142" t="s">
        <v>40</v>
      </c>
      <c r="C452" s="44" t="s">
        <v>41</v>
      </c>
      <c r="D452" s="132"/>
      <c r="E452" s="142" t="s">
        <v>373</v>
      </c>
      <c r="F452" s="44" t="s">
        <v>966</v>
      </c>
      <c r="G452" s="142" t="s">
        <v>184</v>
      </c>
      <c r="H452" s="132">
        <v>82.526830000000004</v>
      </c>
      <c r="I452" s="132">
        <v>1</v>
      </c>
      <c r="J452" s="142">
        <v>82.526830000000004</v>
      </c>
      <c r="K452" s="142">
        <v>82.526830000000004</v>
      </c>
      <c r="L452" s="142">
        <v>1</v>
      </c>
      <c r="M452" s="142">
        <v>82.526830000000004</v>
      </c>
      <c r="N452" s="6" t="s">
        <v>968</v>
      </c>
      <c r="O452" s="143">
        <v>45344</v>
      </c>
      <c r="P452" s="33" t="str">
        <f>HYPERLINK("https://my.zakupivli.pro/remote/dispatcher/state_purchase_view/49369192", "UA-2024-02-22-011040-a")</f>
        <v>UA-2024-02-22-011040-a</v>
      </c>
      <c r="Q452" s="142">
        <v>82.526830000000004</v>
      </c>
      <c r="R452" s="142">
        <v>1</v>
      </c>
      <c r="S452" s="142">
        <v>82.526830000000004</v>
      </c>
      <c r="T452" s="143">
        <v>45344</v>
      </c>
      <c r="U452" s="132"/>
      <c r="V452" s="142" t="s">
        <v>59</v>
      </c>
    </row>
    <row r="453" spans="1:22" ht="46.8" x14ac:dyDescent="0.3">
      <c r="A453" s="132">
        <v>450</v>
      </c>
      <c r="B453" s="132" t="s">
        <v>21</v>
      </c>
      <c r="C453" s="44" t="s">
        <v>970</v>
      </c>
      <c r="D453" s="132"/>
      <c r="E453" s="144" t="s">
        <v>75</v>
      </c>
      <c r="F453" s="44" t="s">
        <v>969</v>
      </c>
      <c r="G453" s="132" t="s">
        <v>186</v>
      </c>
      <c r="H453" s="132"/>
      <c r="I453" s="132">
        <v>39</v>
      </c>
      <c r="J453" s="132">
        <v>162.77915999999999</v>
      </c>
      <c r="K453" s="132"/>
      <c r="L453" s="144">
        <v>39</v>
      </c>
      <c r="M453" s="144">
        <v>162.77915999999999</v>
      </c>
      <c r="N453" s="6" t="s">
        <v>971</v>
      </c>
      <c r="O453" s="145">
        <v>45344</v>
      </c>
      <c r="P453" s="33" t="str">
        <f>HYPERLINK("https://my.zakupivli.pro/remote/dispatcher/state_purchase_view/49362827", "UA-2024-02-22-008123-a")</f>
        <v>UA-2024-02-22-008123-a</v>
      </c>
      <c r="Q453" s="132"/>
      <c r="R453" s="132">
        <v>39</v>
      </c>
      <c r="S453" s="132">
        <v>162.73124000000001</v>
      </c>
      <c r="T453" s="133">
        <v>45364</v>
      </c>
      <c r="U453" s="132"/>
      <c r="V453" s="132"/>
    </row>
    <row r="454" spans="1:22" ht="62.4" x14ac:dyDescent="0.3">
      <c r="A454" s="132">
        <v>451</v>
      </c>
      <c r="B454" s="146" t="s">
        <v>40</v>
      </c>
      <c r="C454" s="44" t="s">
        <v>885</v>
      </c>
      <c r="D454" s="132"/>
      <c r="E454" s="146" t="s">
        <v>88</v>
      </c>
      <c r="F454" s="44" t="s">
        <v>973</v>
      </c>
      <c r="G454" s="132" t="s">
        <v>184</v>
      </c>
      <c r="H454" s="132">
        <v>524.18587000000002</v>
      </c>
      <c r="I454" s="132">
        <v>1</v>
      </c>
      <c r="J454" s="146">
        <v>524.18587000000002</v>
      </c>
      <c r="K454" s="146">
        <v>524.18587000000002</v>
      </c>
      <c r="L454" s="146">
        <v>1</v>
      </c>
      <c r="M454" s="146">
        <v>524.18587000000002</v>
      </c>
      <c r="N454" s="6" t="s">
        <v>974</v>
      </c>
      <c r="O454" s="133">
        <v>45345</v>
      </c>
      <c r="P454" s="33" t="str">
        <f>HYPERLINK("https://my.zakupivli.pro/remote/dispatcher/state_purchase_view/49381942", "UA-2024-02-23-002262-a")</f>
        <v>UA-2024-02-23-002262-a</v>
      </c>
      <c r="Q454" s="146">
        <v>524.18587000000002</v>
      </c>
      <c r="R454" s="146">
        <v>1</v>
      </c>
      <c r="S454" s="146">
        <v>524.18587000000002</v>
      </c>
      <c r="T454" s="147">
        <v>45345</v>
      </c>
      <c r="U454" s="132"/>
      <c r="V454" s="146" t="s">
        <v>59</v>
      </c>
    </row>
    <row r="455" spans="1:22" ht="62.4" x14ac:dyDescent="0.3">
      <c r="A455" s="132">
        <v>452</v>
      </c>
      <c r="B455" s="146" t="s">
        <v>40</v>
      </c>
      <c r="C455" s="44" t="s">
        <v>885</v>
      </c>
      <c r="D455" s="132"/>
      <c r="E455" s="146" t="s">
        <v>88</v>
      </c>
      <c r="F455" s="44" t="s">
        <v>972</v>
      </c>
      <c r="G455" s="132" t="s">
        <v>184</v>
      </c>
      <c r="H455" s="132">
        <v>433.81254999999999</v>
      </c>
      <c r="I455" s="132">
        <v>1</v>
      </c>
      <c r="J455" s="146">
        <v>433.81254999999999</v>
      </c>
      <c r="K455" s="146">
        <v>433.81254999999999</v>
      </c>
      <c r="L455" s="146">
        <v>1</v>
      </c>
      <c r="M455" s="146">
        <v>433.81254999999999</v>
      </c>
      <c r="N455" s="6" t="s">
        <v>975</v>
      </c>
      <c r="O455" s="147">
        <v>45345</v>
      </c>
      <c r="P455" s="33" t="str">
        <f>HYPERLINK("https://my.zakupivli.pro/remote/dispatcher/state_purchase_view/49380309", "UA-2024-02-23-001573-a")</f>
        <v>UA-2024-02-23-001573-a</v>
      </c>
      <c r="Q455" s="146">
        <v>433.81254999999999</v>
      </c>
      <c r="R455" s="146">
        <v>1</v>
      </c>
      <c r="S455" s="146">
        <v>433.81254999999999</v>
      </c>
      <c r="T455" s="147">
        <v>45345</v>
      </c>
      <c r="U455" s="132"/>
      <c r="V455" s="146" t="s">
        <v>59</v>
      </c>
    </row>
    <row r="456" spans="1:22" ht="62.4" x14ac:dyDescent="0.3">
      <c r="A456" s="132">
        <v>453</v>
      </c>
      <c r="B456" s="149" t="s">
        <v>40</v>
      </c>
      <c r="C456" s="44" t="s">
        <v>41</v>
      </c>
      <c r="D456" s="132"/>
      <c r="E456" s="149" t="s">
        <v>75</v>
      </c>
      <c r="F456" s="44" t="s">
        <v>976</v>
      </c>
      <c r="G456" s="149" t="s">
        <v>184</v>
      </c>
      <c r="H456" s="132">
        <v>295.57825000000003</v>
      </c>
      <c r="I456" s="132">
        <v>1</v>
      </c>
      <c r="J456" s="149">
        <v>295.57825000000003</v>
      </c>
      <c r="K456" s="149">
        <v>295.57825000000003</v>
      </c>
      <c r="L456" s="149">
        <v>1</v>
      </c>
      <c r="M456" s="149">
        <v>295.57825000000003</v>
      </c>
      <c r="N456" s="6" t="s">
        <v>978</v>
      </c>
      <c r="O456" s="133">
        <v>45348</v>
      </c>
      <c r="P456" s="33" t="str">
        <f>HYPERLINK("https://my.zakupivli.pro/remote/dispatcher/state_purchase_view/49407849", "UA-2024-02-26-000121-a")</f>
        <v>UA-2024-02-26-000121-a</v>
      </c>
      <c r="Q456" s="149">
        <v>295.57825000000003</v>
      </c>
      <c r="R456" s="149">
        <v>1</v>
      </c>
      <c r="S456" s="149">
        <v>295.57825000000003</v>
      </c>
      <c r="T456" s="148">
        <v>45348</v>
      </c>
      <c r="U456" s="132"/>
      <c r="V456" s="149" t="s">
        <v>59</v>
      </c>
    </row>
    <row r="457" spans="1:22" ht="62.4" x14ac:dyDescent="0.3">
      <c r="A457" s="132">
        <v>454</v>
      </c>
      <c r="B457" s="149" t="s">
        <v>40</v>
      </c>
      <c r="C457" s="44" t="s">
        <v>518</v>
      </c>
      <c r="D457" s="132"/>
      <c r="E457" s="149" t="s">
        <v>75</v>
      </c>
      <c r="F457" s="44" t="s">
        <v>977</v>
      </c>
      <c r="G457" s="149" t="s">
        <v>184</v>
      </c>
      <c r="H457" s="132">
        <v>75.334800000000001</v>
      </c>
      <c r="I457" s="132">
        <v>1</v>
      </c>
      <c r="J457" s="149">
        <v>75.334800000000001</v>
      </c>
      <c r="K457" s="149">
        <v>75.334800000000001</v>
      </c>
      <c r="L457" s="149">
        <v>1</v>
      </c>
      <c r="M457" s="149">
        <v>75.334800000000001</v>
      </c>
      <c r="N457" s="6" t="s">
        <v>979</v>
      </c>
      <c r="O457" s="148">
        <v>45348</v>
      </c>
      <c r="P457" s="42" t="str">
        <f>HYPERLINK("https://my.zakupivli.pro/remote/dispatcher/state_purchase_view/49407682", "UA-2024-02-26-000066-a")</f>
        <v>UA-2024-02-26-000066-a</v>
      </c>
      <c r="Q457" s="149">
        <v>75.334800000000001</v>
      </c>
      <c r="R457" s="149">
        <v>1</v>
      </c>
      <c r="S457" s="149">
        <v>75.334800000000001</v>
      </c>
      <c r="T457" s="148">
        <v>45348</v>
      </c>
      <c r="U457" s="132"/>
      <c r="V457" s="149" t="s">
        <v>59</v>
      </c>
    </row>
    <row r="458" spans="1:22" ht="46.8" x14ac:dyDescent="0.3">
      <c r="A458" s="132">
        <v>455</v>
      </c>
      <c r="B458" s="150" t="s">
        <v>21</v>
      </c>
      <c r="C458" s="41" t="s">
        <v>180</v>
      </c>
      <c r="D458" s="150" t="s">
        <v>58</v>
      </c>
      <c r="E458" s="150" t="s">
        <v>75</v>
      </c>
      <c r="F458" s="41" t="s">
        <v>980</v>
      </c>
      <c r="G458" s="132" t="s">
        <v>186</v>
      </c>
      <c r="H458" s="132"/>
      <c r="I458" s="132">
        <v>5</v>
      </c>
      <c r="J458" s="132">
        <v>372.96</v>
      </c>
      <c r="K458" s="132"/>
      <c r="L458" s="150">
        <v>5</v>
      </c>
      <c r="M458" s="150">
        <v>372.96</v>
      </c>
      <c r="N458" s="6" t="s">
        <v>981</v>
      </c>
      <c r="O458" s="133">
        <v>45349</v>
      </c>
      <c r="P458" s="33" t="str">
        <f>HYPERLINK("https://my.zakupivli.pro/remote/dispatcher/state_purchase_view/49447825", "UA-2024-02-27-004245-a")</f>
        <v>UA-2024-02-27-004245-a</v>
      </c>
      <c r="Q458" s="132"/>
      <c r="R458" s="132">
        <v>5</v>
      </c>
      <c r="S458" s="132">
        <v>332.6234</v>
      </c>
      <c r="T458" s="133">
        <v>45364</v>
      </c>
      <c r="U458" s="132"/>
      <c r="V458" s="132"/>
    </row>
    <row r="459" spans="1:22" ht="43.2" x14ac:dyDescent="0.3">
      <c r="A459" s="132">
        <v>456</v>
      </c>
      <c r="B459" s="152" t="s">
        <v>21</v>
      </c>
      <c r="C459" s="156" t="s">
        <v>32</v>
      </c>
      <c r="D459" s="152" t="s">
        <v>58</v>
      </c>
      <c r="E459" s="152" t="s">
        <v>75</v>
      </c>
      <c r="F459" s="156" t="s">
        <v>982</v>
      </c>
      <c r="G459" s="132" t="s">
        <v>186</v>
      </c>
      <c r="H459" s="132"/>
      <c r="I459" s="132">
        <v>3</v>
      </c>
      <c r="J459" s="119">
        <v>367.5</v>
      </c>
      <c r="K459" s="132"/>
      <c r="L459" s="152">
        <v>3</v>
      </c>
      <c r="M459" s="119">
        <v>367.5</v>
      </c>
      <c r="N459" s="6" t="s">
        <v>986</v>
      </c>
      <c r="O459" s="133">
        <v>45350</v>
      </c>
      <c r="P459" s="33" t="str">
        <f>HYPERLINK("https://my.zakupivli.pro/remote/dispatcher/state_purchase_view/49472296", "UA-2024-02-28-002778-a")</f>
        <v>UA-2024-02-28-002778-a</v>
      </c>
      <c r="Q459" s="132"/>
      <c r="R459" s="132">
        <v>3</v>
      </c>
      <c r="S459" s="119">
        <v>285</v>
      </c>
      <c r="T459" s="133">
        <v>45392</v>
      </c>
      <c r="U459" s="132"/>
      <c r="V459" s="132"/>
    </row>
    <row r="460" spans="1:22" ht="43.2" x14ac:dyDescent="0.3">
      <c r="A460" s="132">
        <v>457</v>
      </c>
      <c r="B460" s="152" t="s">
        <v>21</v>
      </c>
      <c r="C460" s="156" t="s">
        <v>32</v>
      </c>
      <c r="D460" s="152" t="s">
        <v>58</v>
      </c>
      <c r="E460" s="152" t="s">
        <v>75</v>
      </c>
      <c r="F460" s="156" t="s">
        <v>983</v>
      </c>
      <c r="G460" s="132" t="s">
        <v>186</v>
      </c>
      <c r="H460" s="132"/>
      <c r="I460" s="132">
        <v>2</v>
      </c>
      <c r="J460" s="119">
        <v>440.1</v>
      </c>
      <c r="K460" s="132"/>
      <c r="L460" s="152">
        <v>2</v>
      </c>
      <c r="M460" s="119">
        <v>440.1</v>
      </c>
      <c r="N460" s="6" t="s">
        <v>987</v>
      </c>
      <c r="O460" s="153">
        <v>45350</v>
      </c>
      <c r="P460" s="33" t="str">
        <f>HYPERLINK("https://my.zakupivli.pro/remote/dispatcher/state_purchase_view/49472296", "UA-2024-02-28-002778-a")</f>
        <v>UA-2024-02-28-002778-a</v>
      </c>
      <c r="Q460" s="132"/>
      <c r="R460" s="132">
        <v>2</v>
      </c>
      <c r="S460" s="119">
        <v>264.89999999999998</v>
      </c>
      <c r="T460" s="133">
        <v>45394</v>
      </c>
      <c r="U460" s="132"/>
      <c r="V460" s="132"/>
    </row>
    <row r="461" spans="1:22" ht="43.2" x14ac:dyDescent="0.3">
      <c r="A461" s="132">
        <v>458</v>
      </c>
      <c r="B461" s="152" t="s">
        <v>21</v>
      </c>
      <c r="C461" s="156" t="s">
        <v>32</v>
      </c>
      <c r="D461" s="152" t="s">
        <v>58</v>
      </c>
      <c r="E461" s="152" t="s">
        <v>75</v>
      </c>
      <c r="F461" s="156" t="s">
        <v>984</v>
      </c>
      <c r="G461" s="132" t="s">
        <v>186</v>
      </c>
      <c r="H461" s="132"/>
      <c r="I461" s="132">
        <v>7</v>
      </c>
      <c r="J461" s="132">
        <v>136.666</v>
      </c>
      <c r="K461" s="132"/>
      <c r="L461" s="152">
        <v>7</v>
      </c>
      <c r="M461" s="152">
        <v>136.666</v>
      </c>
      <c r="N461" s="6" t="s">
        <v>988</v>
      </c>
      <c r="O461" s="153">
        <v>45350</v>
      </c>
      <c r="P461" s="33" t="str">
        <f>HYPERLINK("https://my.zakupivli.pro/remote/dispatcher/state_purchase_view/49472296", "UA-2024-02-28-002778-a")</f>
        <v>UA-2024-02-28-002778-a</v>
      </c>
      <c r="Q461" s="132"/>
      <c r="R461" s="132">
        <v>7</v>
      </c>
      <c r="S461" s="89">
        <v>100.26</v>
      </c>
      <c r="T461" s="133">
        <v>45392</v>
      </c>
      <c r="U461" s="132"/>
      <c r="V461" s="132"/>
    </row>
    <row r="462" spans="1:22" ht="43.2" x14ac:dyDescent="0.3">
      <c r="A462" s="132">
        <v>459</v>
      </c>
      <c r="B462" s="152" t="s">
        <v>21</v>
      </c>
      <c r="C462" s="156" t="s">
        <v>32</v>
      </c>
      <c r="D462" s="152" t="s">
        <v>58</v>
      </c>
      <c r="E462" s="152" t="s">
        <v>75</v>
      </c>
      <c r="F462" s="156" t="s">
        <v>985</v>
      </c>
      <c r="G462" s="132" t="s">
        <v>186</v>
      </c>
      <c r="H462" s="132"/>
      <c r="I462" s="132">
        <v>1</v>
      </c>
      <c r="J462" s="119">
        <v>450</v>
      </c>
      <c r="K462" s="132"/>
      <c r="L462" s="152">
        <v>1</v>
      </c>
      <c r="M462" s="119">
        <v>450</v>
      </c>
      <c r="N462" s="6" t="s">
        <v>989</v>
      </c>
      <c r="O462" s="153">
        <v>45350</v>
      </c>
      <c r="P462" s="33" t="str">
        <f>HYPERLINK("https://my.zakupivli.pro/remote/dispatcher/state_purchase_view/49472296", "UA-2024-02-28-002778-a")</f>
        <v>UA-2024-02-28-002778-a</v>
      </c>
      <c r="Q462" s="132"/>
      <c r="R462" s="132">
        <v>1</v>
      </c>
      <c r="S462" s="119">
        <v>174.58</v>
      </c>
      <c r="T462" s="133">
        <v>45392</v>
      </c>
      <c r="U462" s="132"/>
      <c r="V462" s="132"/>
    </row>
    <row r="463" spans="1:22" ht="46.8" x14ac:dyDescent="0.3">
      <c r="A463" s="132">
        <v>460</v>
      </c>
      <c r="B463" s="154" t="s">
        <v>21</v>
      </c>
      <c r="C463" s="44" t="s">
        <v>992</v>
      </c>
      <c r="D463" s="154" t="s">
        <v>58</v>
      </c>
      <c r="E463" s="154" t="s">
        <v>75</v>
      </c>
      <c r="F463" s="44" t="s">
        <v>990</v>
      </c>
      <c r="G463" s="132" t="s">
        <v>185</v>
      </c>
      <c r="H463" s="119">
        <v>9.4499999999999993</v>
      </c>
      <c r="I463" s="132">
        <v>67</v>
      </c>
      <c r="J463" s="119">
        <v>633.15</v>
      </c>
      <c r="K463" s="119">
        <v>9.4499999999999993</v>
      </c>
      <c r="L463" s="154">
        <v>67</v>
      </c>
      <c r="M463" s="119">
        <v>633.15</v>
      </c>
      <c r="N463" s="6" t="s">
        <v>991</v>
      </c>
      <c r="O463" s="133">
        <v>45351</v>
      </c>
      <c r="P463" s="33" t="str">
        <f>HYPERLINK("https://my.zakupivli.pro/remote/dispatcher/state_purchase_view/49508019", "UA-2024-02-29-006630-a")</f>
        <v>UA-2024-02-29-006630-a</v>
      </c>
      <c r="Q463" s="132">
        <v>9.1880000000000006</v>
      </c>
      <c r="R463" s="132">
        <v>67</v>
      </c>
      <c r="S463" s="132">
        <v>615.596</v>
      </c>
      <c r="T463" s="133">
        <v>45366</v>
      </c>
      <c r="U463" s="132"/>
      <c r="V463" s="132"/>
    </row>
    <row r="464" spans="1:22" ht="202.8" x14ac:dyDescent="0.3">
      <c r="A464" s="132">
        <v>461</v>
      </c>
      <c r="B464" s="158" t="s">
        <v>40</v>
      </c>
      <c r="C464" s="44" t="s">
        <v>41</v>
      </c>
      <c r="D464" s="158" t="s">
        <v>58</v>
      </c>
      <c r="E464" s="158" t="s">
        <v>88</v>
      </c>
      <c r="F464" s="44" t="s">
        <v>993</v>
      </c>
      <c r="G464" s="132" t="s">
        <v>184</v>
      </c>
      <c r="H464" s="132">
        <v>8349.8189399999992</v>
      </c>
      <c r="I464" s="132">
        <v>1</v>
      </c>
      <c r="J464" s="158">
        <v>8349.8189399999992</v>
      </c>
      <c r="K464" s="158">
        <v>8349.8189399999992</v>
      </c>
      <c r="L464" s="158">
        <v>1</v>
      </c>
      <c r="M464" s="158">
        <v>8349.8189399999992</v>
      </c>
      <c r="N464" s="6" t="s">
        <v>995</v>
      </c>
      <c r="O464" s="133">
        <v>45352</v>
      </c>
      <c r="P464" s="33" t="str">
        <f>HYPERLINK("https://my.zakupivli.pro/remote/dispatcher/state_purchase_view/49535400", "UA-2024-03-01-007913-a")</f>
        <v>UA-2024-03-01-007913-a</v>
      </c>
      <c r="Q464" s="132"/>
      <c r="R464" s="132"/>
      <c r="S464" s="132"/>
      <c r="T464" s="133"/>
      <c r="U464" s="168" t="s">
        <v>93</v>
      </c>
      <c r="V464" s="132"/>
    </row>
    <row r="465" spans="1:22" ht="218.4" x14ac:dyDescent="0.3">
      <c r="A465" s="132">
        <v>462</v>
      </c>
      <c r="B465" s="158" t="s">
        <v>40</v>
      </c>
      <c r="C465" s="44" t="s">
        <v>41</v>
      </c>
      <c r="D465" s="158" t="s">
        <v>58</v>
      </c>
      <c r="E465" s="158" t="s">
        <v>88</v>
      </c>
      <c r="F465" s="44" t="s">
        <v>994</v>
      </c>
      <c r="G465" s="132" t="s">
        <v>184</v>
      </c>
      <c r="H465" s="132">
        <v>6432.3817900000004</v>
      </c>
      <c r="I465" s="132">
        <v>1</v>
      </c>
      <c r="J465" s="158">
        <v>6432.3817900000004</v>
      </c>
      <c r="K465" s="158">
        <v>6432.3817900000004</v>
      </c>
      <c r="L465" s="158">
        <v>1</v>
      </c>
      <c r="M465" s="158">
        <v>6432.3817900000004</v>
      </c>
      <c r="N465" s="6" t="s">
        <v>996</v>
      </c>
      <c r="O465" s="159">
        <v>45352</v>
      </c>
      <c r="P465" s="33" t="str">
        <f>HYPERLINK("https://my.zakupivli.pro/remote/dispatcher/state_purchase_view/49535400", "UA-2024-03-01-007913-a")</f>
        <v>UA-2024-03-01-007913-a</v>
      </c>
      <c r="Q465" s="132"/>
      <c r="R465" s="132"/>
      <c r="S465" s="132"/>
      <c r="T465" s="133"/>
      <c r="U465" s="168" t="s">
        <v>93</v>
      </c>
      <c r="V465" s="132"/>
    </row>
    <row r="466" spans="1:22" ht="140.4" x14ac:dyDescent="0.3">
      <c r="A466" s="132">
        <v>463</v>
      </c>
      <c r="B466" s="160" t="s">
        <v>21</v>
      </c>
      <c r="C466" s="44" t="s">
        <v>805</v>
      </c>
      <c r="D466" s="132"/>
      <c r="E466" s="160" t="s">
        <v>75</v>
      </c>
      <c r="F466" s="44" t="s">
        <v>997</v>
      </c>
      <c r="G466" s="132" t="s">
        <v>186</v>
      </c>
      <c r="H466" s="132"/>
      <c r="I466" s="132">
        <v>9</v>
      </c>
      <c r="J466" s="132">
        <v>111.223</v>
      </c>
      <c r="K466" s="132"/>
      <c r="L466" s="160">
        <v>9</v>
      </c>
      <c r="M466" s="160">
        <v>111.223</v>
      </c>
      <c r="N466" s="6" t="s">
        <v>1004</v>
      </c>
      <c r="O466" s="133">
        <v>45355</v>
      </c>
      <c r="P466" s="33" t="str">
        <f>HYPERLINK("https://my.zakupivli.pro/remote/dispatcher/state_purchase_view/49571696", "UA-2024-03-04-011178-a")</f>
        <v>UA-2024-03-04-011178-a</v>
      </c>
      <c r="Q466" s="132"/>
      <c r="R466" s="160">
        <v>9</v>
      </c>
      <c r="S466" s="160">
        <v>111.223</v>
      </c>
      <c r="T466" s="133">
        <v>45355</v>
      </c>
      <c r="U466" s="132"/>
      <c r="V466" s="160" t="s">
        <v>59</v>
      </c>
    </row>
    <row r="467" spans="1:22" ht="171.6" x14ac:dyDescent="0.3">
      <c r="A467" s="132">
        <v>464</v>
      </c>
      <c r="B467" s="160" t="s">
        <v>40</v>
      </c>
      <c r="C467" s="44" t="s">
        <v>41</v>
      </c>
      <c r="D467" s="160" t="s">
        <v>58</v>
      </c>
      <c r="E467" s="160" t="s">
        <v>88</v>
      </c>
      <c r="F467" s="44" t="s">
        <v>998</v>
      </c>
      <c r="G467" s="132" t="s">
        <v>184</v>
      </c>
      <c r="H467" s="119">
        <v>1050.5</v>
      </c>
      <c r="I467" s="132">
        <v>1</v>
      </c>
      <c r="J467" s="119">
        <v>1050.5</v>
      </c>
      <c r="K467" s="119">
        <v>1050.5</v>
      </c>
      <c r="L467" s="160">
        <v>1</v>
      </c>
      <c r="M467" s="119">
        <v>1050.5</v>
      </c>
      <c r="N467" s="6" t="s">
        <v>1005</v>
      </c>
      <c r="O467" s="161">
        <v>45355</v>
      </c>
      <c r="P467" s="33" t="str">
        <f>HYPERLINK("https://my.zakupivli.pro/remote/dispatcher/state_purchase_view/49571405", "UA-2024-03-04-011096-a")</f>
        <v>UA-2024-03-04-011096-a</v>
      </c>
      <c r="Q467" s="132">
        <v>1041.8113599999999</v>
      </c>
      <c r="R467" s="132">
        <v>1</v>
      </c>
      <c r="S467" s="185">
        <v>1041.8113599999999</v>
      </c>
      <c r="T467" s="133">
        <v>45380</v>
      </c>
      <c r="U467" s="132"/>
      <c r="V467" s="132"/>
    </row>
    <row r="468" spans="1:22" ht="171.6" x14ac:dyDescent="0.3">
      <c r="A468" s="132">
        <v>465</v>
      </c>
      <c r="B468" s="160" t="s">
        <v>40</v>
      </c>
      <c r="C468" s="44" t="s">
        <v>41</v>
      </c>
      <c r="D468" s="160" t="s">
        <v>58</v>
      </c>
      <c r="E468" s="160" t="s">
        <v>88</v>
      </c>
      <c r="F468" s="44" t="s">
        <v>999</v>
      </c>
      <c r="G468" s="132" t="s">
        <v>184</v>
      </c>
      <c r="H468" s="132">
        <v>806.16314</v>
      </c>
      <c r="I468" s="132">
        <v>1</v>
      </c>
      <c r="J468" s="160">
        <v>806.16314</v>
      </c>
      <c r="K468" s="160">
        <v>806.16314</v>
      </c>
      <c r="L468" s="160">
        <v>1</v>
      </c>
      <c r="M468" s="160">
        <v>806.16314</v>
      </c>
      <c r="N468" s="6" t="s">
        <v>1006</v>
      </c>
      <c r="O468" s="161">
        <v>45355</v>
      </c>
      <c r="P468" s="33" t="str">
        <f>HYPERLINK("https://my.zakupivli.pro/remote/dispatcher/state_purchase_view/49571405", "UA-2024-03-04-011096-a")</f>
        <v>UA-2024-03-04-011096-a</v>
      </c>
      <c r="Q468" s="132"/>
      <c r="R468" s="132"/>
      <c r="S468" s="132"/>
      <c r="T468" s="133"/>
      <c r="U468" s="177" t="s">
        <v>93</v>
      </c>
      <c r="V468" s="132"/>
    </row>
    <row r="469" spans="1:22" ht="171.6" x14ac:dyDescent="0.3">
      <c r="A469" s="132">
        <v>466</v>
      </c>
      <c r="B469" s="160" t="s">
        <v>40</v>
      </c>
      <c r="C469" s="44" t="s">
        <v>41</v>
      </c>
      <c r="D469" s="160" t="s">
        <v>58</v>
      </c>
      <c r="E469" s="160" t="s">
        <v>88</v>
      </c>
      <c r="F469" s="44" t="s">
        <v>1000</v>
      </c>
      <c r="G469" s="132" t="s">
        <v>184</v>
      </c>
      <c r="H469" s="132">
        <v>840.49570000000006</v>
      </c>
      <c r="I469" s="132">
        <v>1</v>
      </c>
      <c r="J469" s="160">
        <v>840.49570000000006</v>
      </c>
      <c r="K469" s="160">
        <v>840.49570000000006</v>
      </c>
      <c r="L469" s="160">
        <v>1</v>
      </c>
      <c r="M469" s="160">
        <v>840.49570000000006</v>
      </c>
      <c r="N469" s="6" t="s">
        <v>1007</v>
      </c>
      <c r="O469" s="161">
        <v>45355</v>
      </c>
      <c r="P469" s="33" t="str">
        <f>HYPERLINK("https://my.zakupivli.pro/remote/dispatcher/state_purchase_view/49571405", "UA-2024-03-04-011096-a")</f>
        <v>UA-2024-03-04-011096-a</v>
      </c>
      <c r="Q469" s="132"/>
      <c r="R469" s="132"/>
      <c r="S469" s="132"/>
      <c r="T469" s="133"/>
      <c r="U469" s="177" t="s">
        <v>93</v>
      </c>
      <c r="V469" s="132"/>
    </row>
    <row r="470" spans="1:22" ht="62.4" x14ac:dyDescent="0.3">
      <c r="A470" s="132">
        <v>467</v>
      </c>
      <c r="B470" s="160" t="s">
        <v>40</v>
      </c>
      <c r="C470" s="44" t="s">
        <v>73</v>
      </c>
      <c r="D470" s="132"/>
      <c r="E470" s="160" t="s">
        <v>75</v>
      </c>
      <c r="F470" s="44" t="s">
        <v>1001</v>
      </c>
      <c r="G470" s="132" t="s">
        <v>184</v>
      </c>
      <c r="H470" s="132">
        <v>90.677120000000002</v>
      </c>
      <c r="I470" s="132">
        <v>1</v>
      </c>
      <c r="J470" s="160">
        <v>90.677120000000002</v>
      </c>
      <c r="K470" s="160">
        <v>90.677120000000002</v>
      </c>
      <c r="L470" s="160">
        <v>1</v>
      </c>
      <c r="M470" s="160">
        <v>90.677120000000002</v>
      </c>
      <c r="N470" s="6" t="s">
        <v>1008</v>
      </c>
      <c r="O470" s="161">
        <v>45355</v>
      </c>
      <c r="P470" s="33" t="str">
        <f>HYPERLINK("https://my.zakupivli.pro/remote/dispatcher/state_purchase_view/49563835", "UA-2024-03-04-007678-a")</f>
        <v>UA-2024-03-04-007678-a</v>
      </c>
      <c r="Q470" s="160">
        <v>90.677120000000002</v>
      </c>
      <c r="R470" s="160">
        <v>1</v>
      </c>
      <c r="S470" s="160">
        <v>90.677120000000002</v>
      </c>
      <c r="T470" s="161">
        <v>45355</v>
      </c>
      <c r="U470" s="132"/>
      <c r="V470" s="160" t="s">
        <v>59</v>
      </c>
    </row>
    <row r="471" spans="1:22" ht="62.4" x14ac:dyDescent="0.3">
      <c r="A471" s="132">
        <v>468</v>
      </c>
      <c r="B471" s="132" t="s">
        <v>21</v>
      </c>
      <c r="C471" s="44" t="s">
        <v>895</v>
      </c>
      <c r="D471" s="132"/>
      <c r="E471" s="160" t="s">
        <v>75</v>
      </c>
      <c r="F471" s="44" t="s">
        <v>1002</v>
      </c>
      <c r="G471" s="132" t="s">
        <v>186</v>
      </c>
      <c r="H471" s="132"/>
      <c r="I471" s="132">
        <v>5</v>
      </c>
      <c r="J471" s="119">
        <v>68.75</v>
      </c>
      <c r="K471" s="132"/>
      <c r="L471" s="160">
        <v>5</v>
      </c>
      <c r="M471" s="119">
        <v>68.75</v>
      </c>
      <c r="N471" s="6" t="s">
        <v>1009</v>
      </c>
      <c r="O471" s="161">
        <v>45355</v>
      </c>
      <c r="P471" s="33" t="str">
        <f>HYPERLINK("https://my.zakupivli.pro/remote/dispatcher/state_purchase_view/49553110", "UA-2024-03-04-003068-a")</f>
        <v>UA-2024-03-04-003068-a</v>
      </c>
      <c r="Q471" s="132"/>
      <c r="R471" s="160">
        <v>5</v>
      </c>
      <c r="S471" s="119">
        <v>68.75</v>
      </c>
      <c r="T471" s="161">
        <v>45355</v>
      </c>
      <c r="U471" s="132"/>
      <c r="V471" s="160" t="s">
        <v>59</v>
      </c>
    </row>
    <row r="472" spans="1:22" ht="62.4" x14ac:dyDescent="0.3">
      <c r="A472" s="132">
        <v>469</v>
      </c>
      <c r="B472" s="160" t="s">
        <v>40</v>
      </c>
      <c r="C472" s="44" t="s">
        <v>41</v>
      </c>
      <c r="D472" s="132"/>
      <c r="E472" s="160" t="s">
        <v>75</v>
      </c>
      <c r="F472" s="44" t="s">
        <v>1003</v>
      </c>
      <c r="G472" s="132" t="s">
        <v>184</v>
      </c>
      <c r="H472" s="132">
        <v>272.93687499999999</v>
      </c>
      <c r="I472" s="132">
        <v>1</v>
      </c>
      <c r="J472" s="160">
        <v>272.93687499999999</v>
      </c>
      <c r="K472" s="160">
        <v>272.93687499999999</v>
      </c>
      <c r="L472" s="160">
        <v>1</v>
      </c>
      <c r="M472" s="160">
        <v>272.93687499999999</v>
      </c>
      <c r="N472" s="6" t="s">
        <v>1010</v>
      </c>
      <c r="O472" s="161">
        <v>45355</v>
      </c>
      <c r="P472" s="33" t="str">
        <f>HYPERLINK("https://my.zakupivli.pro/remote/dispatcher/state_purchase_view/49550686", "UA-2024-03-04-002146-a")</f>
        <v>UA-2024-03-04-002146-a</v>
      </c>
      <c r="Q472" s="160">
        <v>272.93687499999999</v>
      </c>
      <c r="R472" s="160">
        <v>1</v>
      </c>
      <c r="S472" s="160">
        <v>272.93687499999999</v>
      </c>
      <c r="T472" s="161">
        <v>45355</v>
      </c>
      <c r="U472" s="132"/>
      <c r="V472" s="160" t="s">
        <v>59</v>
      </c>
    </row>
    <row r="473" spans="1:22" ht="78" x14ac:dyDescent="0.3">
      <c r="A473" s="132">
        <v>467</v>
      </c>
      <c r="B473" s="162" t="s">
        <v>40</v>
      </c>
      <c r="C473" s="44" t="s">
        <v>41</v>
      </c>
      <c r="D473" s="132"/>
      <c r="E473" s="162" t="s">
        <v>373</v>
      </c>
      <c r="F473" s="44" t="s">
        <v>1011</v>
      </c>
      <c r="G473" s="162" t="s">
        <v>184</v>
      </c>
      <c r="H473" s="132">
        <v>217.82105999999999</v>
      </c>
      <c r="I473" s="132">
        <v>1</v>
      </c>
      <c r="J473" s="162">
        <v>217.82105999999999</v>
      </c>
      <c r="K473" s="162">
        <v>217.82105999999999</v>
      </c>
      <c r="L473" s="162">
        <v>1</v>
      </c>
      <c r="M473" s="162">
        <v>217.82105999999999</v>
      </c>
      <c r="N473" s="6" t="s">
        <v>1014</v>
      </c>
      <c r="O473" s="133">
        <v>45356</v>
      </c>
      <c r="P473" s="33" t="str">
        <f>HYPERLINK("https://my.zakupivli.pro/remote/dispatcher/state_purchase_view/49603204", "UA-2024-03-05-012187-a")</f>
        <v>UA-2024-03-05-012187-a</v>
      </c>
      <c r="Q473" s="162">
        <v>217.82105999999999</v>
      </c>
      <c r="R473" s="162">
        <v>1</v>
      </c>
      <c r="S473" s="162">
        <v>217.82105999999999</v>
      </c>
      <c r="T473" s="163">
        <v>45356</v>
      </c>
      <c r="U473" s="132"/>
      <c r="V473" s="162" t="s">
        <v>59</v>
      </c>
    </row>
    <row r="474" spans="1:22" ht="62.4" x14ac:dyDescent="0.3">
      <c r="A474" s="132">
        <v>468</v>
      </c>
      <c r="B474" s="162" t="s">
        <v>40</v>
      </c>
      <c r="C474" s="44" t="s">
        <v>41</v>
      </c>
      <c r="D474" s="132"/>
      <c r="E474" s="162" t="s">
        <v>373</v>
      </c>
      <c r="F474" s="44" t="s">
        <v>1012</v>
      </c>
      <c r="G474" s="162" t="s">
        <v>184</v>
      </c>
      <c r="H474" s="132">
        <v>87.995450000000005</v>
      </c>
      <c r="I474" s="132">
        <v>1</v>
      </c>
      <c r="J474" s="162">
        <v>87.995450000000005</v>
      </c>
      <c r="K474" s="162">
        <v>87.995450000000005</v>
      </c>
      <c r="L474" s="162">
        <v>1</v>
      </c>
      <c r="M474" s="162">
        <v>87.995450000000005</v>
      </c>
      <c r="N474" s="6" t="s">
        <v>1015</v>
      </c>
      <c r="O474" s="163">
        <v>45356</v>
      </c>
      <c r="P474" s="33" t="str">
        <f>HYPERLINK("https://my.zakupivli.pro/remote/dispatcher/state_purchase_view/49602717", "UA-2024-03-05-011904-a")</f>
        <v>UA-2024-03-05-011904-a</v>
      </c>
      <c r="Q474" s="162">
        <v>87.995450000000005</v>
      </c>
      <c r="R474" s="162">
        <v>1</v>
      </c>
      <c r="S474" s="162">
        <v>87.995450000000005</v>
      </c>
      <c r="T474" s="163">
        <v>45356</v>
      </c>
      <c r="U474" s="132"/>
      <c r="V474" s="162" t="s">
        <v>59</v>
      </c>
    </row>
    <row r="475" spans="1:22" ht="62.4" x14ac:dyDescent="0.3">
      <c r="A475" s="132">
        <v>469</v>
      </c>
      <c r="B475" s="162" t="s">
        <v>40</v>
      </c>
      <c r="C475" s="44" t="s">
        <v>41</v>
      </c>
      <c r="D475" s="132"/>
      <c r="E475" s="162" t="s">
        <v>373</v>
      </c>
      <c r="F475" s="44" t="s">
        <v>1013</v>
      </c>
      <c r="G475" s="162" t="s">
        <v>184</v>
      </c>
      <c r="H475" s="162">
        <v>285.24131999999997</v>
      </c>
      <c r="I475" s="132">
        <v>1</v>
      </c>
      <c r="J475" s="132">
        <v>285.24131999999997</v>
      </c>
      <c r="K475" s="162">
        <v>285.24131999999997</v>
      </c>
      <c r="L475" s="162">
        <v>1</v>
      </c>
      <c r="M475" s="162">
        <v>285.24131999999997</v>
      </c>
      <c r="N475" s="6" t="s">
        <v>1016</v>
      </c>
      <c r="O475" s="163">
        <v>45356</v>
      </c>
      <c r="P475" s="33" t="str">
        <f>HYPERLINK("https://my.zakupivli.pro/remote/dispatcher/state_purchase_view/49581286", "UA-2024-03-05-002444-a")</f>
        <v>UA-2024-03-05-002444-a</v>
      </c>
      <c r="Q475" s="162">
        <v>285.24131999999997</v>
      </c>
      <c r="R475" s="162">
        <v>1</v>
      </c>
      <c r="S475" s="162">
        <v>285.24131999999997</v>
      </c>
      <c r="T475" s="163">
        <v>45356</v>
      </c>
      <c r="U475" s="132"/>
      <c r="V475" s="162" t="s">
        <v>59</v>
      </c>
    </row>
    <row r="476" spans="1:22" ht="171.6" x14ac:dyDescent="0.3">
      <c r="A476" s="132">
        <v>470</v>
      </c>
      <c r="B476" s="164" t="s">
        <v>40</v>
      </c>
      <c r="C476" s="44" t="s">
        <v>41</v>
      </c>
      <c r="D476" s="132"/>
      <c r="E476" s="164" t="s">
        <v>88</v>
      </c>
      <c r="F476" s="44" t="s">
        <v>1017</v>
      </c>
      <c r="G476" s="164" t="s">
        <v>184</v>
      </c>
      <c r="H476" s="132">
        <v>1517.33807</v>
      </c>
      <c r="I476" s="132">
        <v>1</v>
      </c>
      <c r="J476" s="164">
        <v>1517.33807</v>
      </c>
      <c r="K476" s="164">
        <v>1517.33807</v>
      </c>
      <c r="L476" s="164">
        <v>1</v>
      </c>
      <c r="M476" s="164">
        <v>1517.33807</v>
      </c>
      <c r="N476" s="6" t="s">
        <v>1019</v>
      </c>
      <c r="O476" s="133">
        <v>45357</v>
      </c>
      <c r="P476" s="33" t="str">
        <f>HYPERLINK("https://my.zakupivli.pro/remote/dispatcher/state_purchase_view/49613449", "UA-2024-03-06-001796-a")</f>
        <v>UA-2024-03-06-001796-a</v>
      </c>
      <c r="Q476" s="164">
        <v>1517.33807</v>
      </c>
      <c r="R476" s="164">
        <v>1</v>
      </c>
      <c r="S476" s="164">
        <v>1517.33807</v>
      </c>
      <c r="T476" s="165">
        <v>45357</v>
      </c>
      <c r="U476" s="132"/>
      <c r="V476" s="164" t="s">
        <v>59</v>
      </c>
    </row>
    <row r="477" spans="1:22" ht="171.6" x14ac:dyDescent="0.3">
      <c r="A477" s="132">
        <v>471</v>
      </c>
      <c r="B477" s="164" t="s">
        <v>40</v>
      </c>
      <c r="C477" s="44" t="s">
        <v>41</v>
      </c>
      <c r="D477" s="132"/>
      <c r="E477" s="164" t="s">
        <v>88</v>
      </c>
      <c r="F477" s="44" t="s">
        <v>1018</v>
      </c>
      <c r="G477" s="164" t="s">
        <v>184</v>
      </c>
      <c r="H477" s="132">
        <v>2673.0005700000002</v>
      </c>
      <c r="I477" s="132">
        <v>1</v>
      </c>
      <c r="J477" s="164">
        <v>2673.0005700000002</v>
      </c>
      <c r="K477" s="164">
        <v>2673.0005700000002</v>
      </c>
      <c r="L477" s="164">
        <v>1</v>
      </c>
      <c r="M477" s="164">
        <v>2673.0005700000002</v>
      </c>
      <c r="N477" s="6" t="s">
        <v>1020</v>
      </c>
      <c r="O477" s="165">
        <v>45357</v>
      </c>
      <c r="P477" s="33" t="str">
        <f>HYPERLINK("https://my.zakupivli.pro/remote/dispatcher/state_purchase_view/49612800", "UA-2024-03-06-001512-a")</f>
        <v>UA-2024-03-06-001512-a</v>
      </c>
      <c r="Q477" s="164">
        <v>2673.0005700000002</v>
      </c>
      <c r="R477" s="164">
        <v>1</v>
      </c>
      <c r="S477" s="164">
        <v>2673.0005700000002</v>
      </c>
      <c r="T477" s="165">
        <v>45357</v>
      </c>
      <c r="U477" s="132"/>
      <c r="V477" s="164" t="s">
        <v>59</v>
      </c>
    </row>
    <row r="478" spans="1:22" ht="62.4" x14ac:dyDescent="0.3">
      <c r="A478" s="132">
        <v>472</v>
      </c>
      <c r="B478" s="132" t="s">
        <v>40</v>
      </c>
      <c r="C478" s="44" t="s">
        <v>73</v>
      </c>
      <c r="D478" s="132"/>
      <c r="E478" s="166" t="s">
        <v>75</v>
      </c>
      <c r="F478" s="44" t="s">
        <v>1021</v>
      </c>
      <c r="G478" s="132" t="s">
        <v>184</v>
      </c>
      <c r="H478" s="132">
        <v>132.31666999999999</v>
      </c>
      <c r="I478" s="132">
        <v>1</v>
      </c>
      <c r="J478" s="166">
        <v>132.31666999999999</v>
      </c>
      <c r="K478" s="166">
        <v>132.31666999999999</v>
      </c>
      <c r="L478" s="166">
        <v>1</v>
      </c>
      <c r="M478" s="166">
        <v>132.31666999999999</v>
      </c>
      <c r="N478" s="6" t="s">
        <v>1023</v>
      </c>
      <c r="O478" s="167">
        <v>45358</v>
      </c>
      <c r="P478" s="33" t="str">
        <f>HYPERLINK("https://my.zakupivli.pro/remote/dispatcher/state_purchase_view/49656895", "UA-2024-03-07-006789-a")</f>
        <v>UA-2024-03-07-006789-a</v>
      </c>
      <c r="Q478" s="166">
        <v>132.31666999999999</v>
      </c>
      <c r="R478" s="166">
        <v>1</v>
      </c>
      <c r="S478" s="166">
        <v>132.31666999999999</v>
      </c>
      <c r="T478" s="133">
        <v>45358</v>
      </c>
      <c r="U478" s="132"/>
      <c r="V478" s="166" t="s">
        <v>59</v>
      </c>
    </row>
    <row r="479" spans="1:22" ht="62.4" x14ac:dyDescent="0.3">
      <c r="A479" s="132">
        <v>473</v>
      </c>
      <c r="B479" s="132" t="s">
        <v>21</v>
      </c>
      <c r="C479" s="44" t="s">
        <v>516</v>
      </c>
      <c r="D479" s="166" t="s">
        <v>58</v>
      </c>
      <c r="E479" s="166" t="s">
        <v>88</v>
      </c>
      <c r="F479" s="44" t="s">
        <v>1022</v>
      </c>
      <c r="G479" s="132" t="s">
        <v>185</v>
      </c>
      <c r="H479" s="132"/>
      <c r="I479" s="132">
        <v>2</v>
      </c>
      <c r="J479" s="119">
        <v>1232</v>
      </c>
      <c r="K479" s="132"/>
      <c r="L479" s="166">
        <v>2</v>
      </c>
      <c r="M479" s="119">
        <v>1232</v>
      </c>
      <c r="N479" s="6" t="s">
        <v>1024</v>
      </c>
      <c r="O479" s="167">
        <v>45358</v>
      </c>
      <c r="P479" s="33" t="str">
        <f>HYPERLINK("https://my.zakupivli.pro/remote/dispatcher/state_purchase_view/49647930", "UA-2024-03-07-003046-a")</f>
        <v>UA-2024-03-07-003046-a</v>
      </c>
      <c r="Q479" s="132"/>
      <c r="R479" s="166">
        <v>2</v>
      </c>
      <c r="S479" s="119">
        <v>1226.25</v>
      </c>
      <c r="T479" s="133">
        <v>45376</v>
      </c>
      <c r="U479" s="132"/>
      <c r="V479" s="132"/>
    </row>
    <row r="480" spans="1:22" ht="62.4" x14ac:dyDescent="0.3">
      <c r="A480" s="132">
        <v>474</v>
      </c>
      <c r="B480" s="168" t="s">
        <v>40</v>
      </c>
      <c r="C480" s="44" t="s">
        <v>885</v>
      </c>
      <c r="D480" s="132"/>
      <c r="E480" s="168" t="s">
        <v>88</v>
      </c>
      <c r="F480" s="44" t="s">
        <v>1027</v>
      </c>
      <c r="G480" s="168" t="s">
        <v>184</v>
      </c>
      <c r="H480" s="132">
        <v>1006.16373</v>
      </c>
      <c r="I480" s="132">
        <v>1</v>
      </c>
      <c r="J480" s="168">
        <v>1006.16373</v>
      </c>
      <c r="K480" s="168">
        <v>1006.16373</v>
      </c>
      <c r="L480" s="168">
        <v>1</v>
      </c>
      <c r="M480" s="168">
        <v>1006.16373</v>
      </c>
      <c r="N480" s="6" t="s">
        <v>1025</v>
      </c>
      <c r="O480" s="133">
        <v>45362</v>
      </c>
      <c r="P480" s="33" t="str">
        <f>HYPERLINK("https://my.zakupivli.pro/remote/dispatcher/state_purchase_view/49691053", "UA-2024-03-11-000863-a")</f>
        <v>UA-2024-03-11-000863-a</v>
      </c>
      <c r="Q480" s="168">
        <v>1006.16373</v>
      </c>
      <c r="R480" s="168">
        <v>1</v>
      </c>
      <c r="S480" s="168">
        <v>1006.16373</v>
      </c>
      <c r="T480" s="169">
        <v>45358</v>
      </c>
      <c r="U480" s="132"/>
      <c r="V480" s="168" t="s">
        <v>59</v>
      </c>
    </row>
    <row r="481" spans="1:22" ht="62.4" x14ac:dyDescent="0.3">
      <c r="A481" s="132">
        <v>475</v>
      </c>
      <c r="B481" s="168" t="s">
        <v>40</v>
      </c>
      <c r="C481" s="44" t="s">
        <v>885</v>
      </c>
      <c r="D481" s="132"/>
      <c r="E481" s="168" t="s">
        <v>88</v>
      </c>
      <c r="F481" s="44" t="s">
        <v>1028</v>
      </c>
      <c r="G481" s="168" t="s">
        <v>184</v>
      </c>
      <c r="H481" s="132">
        <v>509.66741999999999</v>
      </c>
      <c r="I481" s="132">
        <v>1</v>
      </c>
      <c r="J481" s="168">
        <v>509.66741999999999</v>
      </c>
      <c r="K481" s="168">
        <v>509.66741999999999</v>
      </c>
      <c r="L481" s="168">
        <v>1</v>
      </c>
      <c r="M481" s="168">
        <v>509.66741999999999</v>
      </c>
      <c r="N481" s="6" t="s">
        <v>1026</v>
      </c>
      <c r="O481" s="169">
        <v>45362</v>
      </c>
      <c r="P481" s="33" t="str">
        <f>HYPERLINK("https://my.zakupivli.pro/remote/dispatcher/state_purchase_view/49690092", "UA-2024-03-11-000483-a")</f>
        <v>UA-2024-03-11-000483-a</v>
      </c>
      <c r="Q481" s="168">
        <v>509.66741999999999</v>
      </c>
      <c r="R481" s="168">
        <v>1</v>
      </c>
      <c r="S481" s="168">
        <v>509.66741999999999</v>
      </c>
      <c r="T481" s="169">
        <v>45358</v>
      </c>
      <c r="U481" s="132"/>
      <c r="V481" s="168" t="s">
        <v>59</v>
      </c>
    </row>
    <row r="482" spans="1:22" ht="93.6" x14ac:dyDescent="0.3">
      <c r="A482" s="132">
        <v>476</v>
      </c>
      <c r="B482" s="168" t="s">
        <v>40</v>
      </c>
      <c r="C482" s="44" t="s">
        <v>885</v>
      </c>
      <c r="D482" s="132"/>
      <c r="E482" s="168" t="s">
        <v>88</v>
      </c>
      <c r="F482" s="44" t="s">
        <v>1030</v>
      </c>
      <c r="G482" s="168" t="s">
        <v>184</v>
      </c>
      <c r="H482" s="119">
        <v>604.14</v>
      </c>
      <c r="I482" s="132">
        <v>1</v>
      </c>
      <c r="J482" s="119">
        <v>604.14</v>
      </c>
      <c r="K482" s="119">
        <v>604.14</v>
      </c>
      <c r="L482" s="168">
        <v>1</v>
      </c>
      <c r="M482" s="119">
        <v>604.14</v>
      </c>
      <c r="N482" s="6" t="s">
        <v>1029</v>
      </c>
      <c r="O482" s="169">
        <v>45362</v>
      </c>
      <c r="P482" s="33" t="str">
        <f>HYPERLINK("https://my.zakupivli.pro/remote/dispatcher/state_purchase_view/49689165", "UA-2024-03-11-000147-a")</f>
        <v>UA-2024-03-11-000147-a</v>
      </c>
      <c r="Q482" s="119">
        <v>604.14</v>
      </c>
      <c r="R482" s="168">
        <v>1</v>
      </c>
      <c r="S482" s="119">
        <v>604.14</v>
      </c>
      <c r="T482" s="169">
        <v>45358</v>
      </c>
      <c r="U482" s="132"/>
      <c r="V482" s="168" t="s">
        <v>59</v>
      </c>
    </row>
    <row r="483" spans="1:22" ht="62.4" x14ac:dyDescent="0.3">
      <c r="A483" s="132">
        <v>477</v>
      </c>
      <c r="B483" s="168" t="s">
        <v>40</v>
      </c>
      <c r="C483" s="44" t="s">
        <v>885</v>
      </c>
      <c r="D483" s="132"/>
      <c r="E483" s="168" t="s">
        <v>88</v>
      </c>
      <c r="F483" s="44" t="s">
        <v>1032</v>
      </c>
      <c r="G483" s="168" t="s">
        <v>184</v>
      </c>
      <c r="H483" s="132">
        <v>949.34464000000003</v>
      </c>
      <c r="I483" s="132">
        <v>1</v>
      </c>
      <c r="J483" s="168">
        <v>949.34464000000003</v>
      </c>
      <c r="K483" s="168">
        <v>949.34464000000003</v>
      </c>
      <c r="L483" s="168">
        <v>1</v>
      </c>
      <c r="M483" s="168">
        <v>949.34464000000003</v>
      </c>
      <c r="N483" s="6" t="s">
        <v>1031</v>
      </c>
      <c r="O483" s="169">
        <v>45362</v>
      </c>
      <c r="P483" s="33" t="str">
        <f>HYPERLINK("https://my.zakupivli.pro/remote/dispatcher/state_purchase_view/49688999", "UA-2024-03-11-000098-a")</f>
        <v>UA-2024-03-11-000098-a</v>
      </c>
      <c r="Q483" s="168">
        <v>949.34464000000003</v>
      </c>
      <c r="R483" s="168">
        <v>1</v>
      </c>
      <c r="S483" s="168">
        <v>949.34464000000003</v>
      </c>
      <c r="T483" s="169">
        <v>45358</v>
      </c>
      <c r="U483" s="132"/>
      <c r="V483" s="168" t="s">
        <v>59</v>
      </c>
    </row>
    <row r="484" spans="1:22" ht="202.8" x14ac:dyDescent="0.3">
      <c r="A484" s="132">
        <v>478</v>
      </c>
      <c r="B484" s="171" t="s">
        <v>40</v>
      </c>
      <c r="C484" s="44" t="s">
        <v>41</v>
      </c>
      <c r="D484" s="132"/>
      <c r="E484" s="171" t="s">
        <v>88</v>
      </c>
      <c r="F484" s="44" t="s">
        <v>1033</v>
      </c>
      <c r="G484" s="171" t="s">
        <v>184</v>
      </c>
      <c r="H484" s="171">
        <v>8349.8189399999992</v>
      </c>
      <c r="I484" s="171">
        <v>1</v>
      </c>
      <c r="J484" s="171">
        <v>8349.8189399999992</v>
      </c>
      <c r="K484" s="171">
        <v>8349.8189399999992</v>
      </c>
      <c r="L484" s="171">
        <v>1</v>
      </c>
      <c r="M484" s="171">
        <v>8349.8189399999992</v>
      </c>
      <c r="N484" s="6" t="s">
        <v>1039</v>
      </c>
      <c r="O484" s="133">
        <v>45363</v>
      </c>
      <c r="P484" s="33" t="str">
        <f>HYPERLINK("https://my.zakupivli.pro/remote/dispatcher/state_purchase_view/49743496", "UA-2024-03-12-011359-a")</f>
        <v>UA-2024-03-12-011359-a</v>
      </c>
      <c r="Q484" s="132"/>
      <c r="R484" s="132"/>
      <c r="S484" s="132"/>
      <c r="T484" s="133"/>
      <c r="U484" s="179" t="s">
        <v>93</v>
      </c>
      <c r="V484" s="132"/>
    </row>
    <row r="485" spans="1:22" ht="202.8" x14ac:dyDescent="0.3">
      <c r="A485" s="132">
        <v>479</v>
      </c>
      <c r="B485" s="171" t="s">
        <v>40</v>
      </c>
      <c r="C485" s="44" t="s">
        <v>41</v>
      </c>
      <c r="D485" s="132"/>
      <c r="E485" s="171" t="s">
        <v>88</v>
      </c>
      <c r="F485" s="44" t="s">
        <v>1034</v>
      </c>
      <c r="G485" s="171" t="s">
        <v>184</v>
      </c>
      <c r="H485" s="171">
        <v>6432.3817900000004</v>
      </c>
      <c r="I485" s="171">
        <v>1</v>
      </c>
      <c r="J485" s="171">
        <v>6432.3817900000004</v>
      </c>
      <c r="K485" s="171">
        <v>6432.3817900000004</v>
      </c>
      <c r="L485" s="171">
        <v>1</v>
      </c>
      <c r="M485" s="171">
        <v>6432.3817900000004</v>
      </c>
      <c r="N485" s="6" t="s">
        <v>1039</v>
      </c>
      <c r="O485" s="170">
        <v>45363</v>
      </c>
      <c r="P485" s="33" t="str">
        <f>HYPERLINK("https://my.zakupivli.pro/remote/dispatcher/state_purchase_view/49743496", "UA-2024-03-12-011359-a")</f>
        <v>UA-2024-03-12-011359-a</v>
      </c>
      <c r="Q485" s="132"/>
      <c r="R485" s="132"/>
      <c r="S485" s="132"/>
      <c r="T485" s="133"/>
      <c r="U485" s="179" t="s">
        <v>93</v>
      </c>
      <c r="V485" s="132"/>
    </row>
    <row r="486" spans="1:22" ht="62.4" x14ac:dyDescent="0.3">
      <c r="A486" s="132">
        <v>480</v>
      </c>
      <c r="B486" s="171" t="s">
        <v>40</v>
      </c>
      <c r="C486" s="44" t="s">
        <v>885</v>
      </c>
      <c r="D486" s="132"/>
      <c r="E486" s="171" t="s">
        <v>88</v>
      </c>
      <c r="F486" s="44" t="s">
        <v>1035</v>
      </c>
      <c r="G486" s="171" t="s">
        <v>184</v>
      </c>
      <c r="H486" s="132">
        <v>580.86604999999997</v>
      </c>
      <c r="I486" s="132">
        <v>1</v>
      </c>
      <c r="J486" s="171">
        <v>580.86604999999997</v>
      </c>
      <c r="K486" s="171">
        <v>580.86604999999997</v>
      </c>
      <c r="L486" s="171">
        <v>1</v>
      </c>
      <c r="M486" s="171">
        <v>580.86604999999997</v>
      </c>
      <c r="N486" s="6" t="s">
        <v>1040</v>
      </c>
      <c r="O486" s="170">
        <v>45363</v>
      </c>
      <c r="P486" s="33" t="str">
        <f>HYPERLINK("https://my.zakupivli.pro/remote/dispatcher/state_purchase_view/49737240", "UA-2024-03-12-008558-a")</f>
        <v>UA-2024-03-12-008558-a</v>
      </c>
      <c r="Q486" s="171">
        <v>580.86604999999997</v>
      </c>
      <c r="R486" s="171">
        <v>1</v>
      </c>
      <c r="S486" s="171">
        <v>580.86604999999997</v>
      </c>
      <c r="T486" s="133">
        <v>45362</v>
      </c>
      <c r="U486" s="132"/>
      <c r="V486" s="171" t="s">
        <v>59</v>
      </c>
    </row>
    <row r="487" spans="1:22" ht="62.4" x14ac:dyDescent="0.3">
      <c r="A487" s="132">
        <v>481</v>
      </c>
      <c r="B487" s="171" t="s">
        <v>40</v>
      </c>
      <c r="C487" s="44" t="s">
        <v>885</v>
      </c>
      <c r="D487" s="132"/>
      <c r="E487" s="171" t="s">
        <v>88</v>
      </c>
      <c r="F487" s="44" t="s">
        <v>1036</v>
      </c>
      <c r="G487" s="171" t="s">
        <v>184</v>
      </c>
      <c r="H487" s="132">
        <v>124.41112</v>
      </c>
      <c r="I487" s="132">
        <v>1</v>
      </c>
      <c r="J487" s="171">
        <v>124.41112</v>
      </c>
      <c r="K487" s="171">
        <v>124.41112</v>
      </c>
      <c r="L487" s="171">
        <v>1</v>
      </c>
      <c r="M487" s="171">
        <v>124.41112</v>
      </c>
      <c r="N487" s="6" t="s">
        <v>1041</v>
      </c>
      <c r="O487" s="170">
        <v>45363</v>
      </c>
      <c r="P487" s="33" t="str">
        <f>HYPERLINK("https://my.zakupivli.pro/remote/dispatcher/state_purchase_view/49736995", "UA-2024-03-12-008416-a")</f>
        <v>UA-2024-03-12-008416-a</v>
      </c>
      <c r="Q487" s="171">
        <v>124.41112</v>
      </c>
      <c r="R487" s="171">
        <v>1</v>
      </c>
      <c r="S487" s="171">
        <v>124.41112</v>
      </c>
      <c r="T487" s="170">
        <v>45362</v>
      </c>
      <c r="U487" s="132"/>
      <c r="V487" s="171" t="s">
        <v>59</v>
      </c>
    </row>
    <row r="488" spans="1:22" ht="62.4" x14ac:dyDescent="0.3">
      <c r="A488" s="132">
        <v>482</v>
      </c>
      <c r="B488" s="171" t="s">
        <v>40</v>
      </c>
      <c r="C488" s="44" t="s">
        <v>885</v>
      </c>
      <c r="D488" s="132"/>
      <c r="E488" s="171" t="s">
        <v>88</v>
      </c>
      <c r="F488" s="44" t="s">
        <v>1037</v>
      </c>
      <c r="G488" s="171" t="s">
        <v>184</v>
      </c>
      <c r="H488" s="132">
        <v>359.96701000000002</v>
      </c>
      <c r="I488" s="132">
        <v>1</v>
      </c>
      <c r="J488" s="171">
        <v>359.96701000000002</v>
      </c>
      <c r="K488" s="171">
        <v>359.96701000000002</v>
      </c>
      <c r="L488" s="171">
        <v>1</v>
      </c>
      <c r="M488" s="171">
        <v>359.96701000000002</v>
      </c>
      <c r="N488" s="6" t="s">
        <v>1042</v>
      </c>
      <c r="O488" s="170">
        <v>45363</v>
      </c>
      <c r="P488" s="33" t="str">
        <f>HYPERLINK("https://my.zakupivli.pro/remote/dispatcher/state_purchase_view/49736304", "UA-2024-03-12-008106-a")</f>
        <v>UA-2024-03-12-008106-a</v>
      </c>
      <c r="Q488" s="171">
        <v>359.96701000000002</v>
      </c>
      <c r="R488" s="171">
        <v>1</v>
      </c>
      <c r="S488" s="171">
        <v>359.96701000000002</v>
      </c>
      <c r="T488" s="170">
        <v>45362</v>
      </c>
      <c r="U488" s="132"/>
      <c r="V488" s="171" t="s">
        <v>59</v>
      </c>
    </row>
    <row r="489" spans="1:22" ht="62.4" x14ac:dyDescent="0.3">
      <c r="A489" s="132">
        <v>483</v>
      </c>
      <c r="B489" s="171" t="s">
        <v>40</v>
      </c>
      <c r="C489" s="44" t="s">
        <v>885</v>
      </c>
      <c r="D489" s="132"/>
      <c r="E489" s="171" t="s">
        <v>88</v>
      </c>
      <c r="F489" s="44" t="s">
        <v>1038</v>
      </c>
      <c r="G489" s="171" t="s">
        <v>184</v>
      </c>
      <c r="H489" s="132">
        <v>596.19745</v>
      </c>
      <c r="I489" s="132">
        <v>1</v>
      </c>
      <c r="J489" s="171">
        <v>596.19745</v>
      </c>
      <c r="K489" s="171">
        <v>596.19745</v>
      </c>
      <c r="L489" s="171">
        <v>1</v>
      </c>
      <c r="M489" s="171">
        <v>596.19745</v>
      </c>
      <c r="N489" s="6" t="s">
        <v>1043</v>
      </c>
      <c r="O489" s="170">
        <v>45363</v>
      </c>
      <c r="P489" s="33" t="str">
        <f>HYPERLINK("https://my.zakupivli.pro/remote/dispatcher/state_purchase_view/49735637", "UA-2024-03-12-007781-a")</f>
        <v>UA-2024-03-12-007781-a</v>
      </c>
      <c r="Q489" s="171">
        <v>596.19745</v>
      </c>
      <c r="R489" s="171">
        <v>1</v>
      </c>
      <c r="S489" s="171">
        <v>596.19745</v>
      </c>
      <c r="T489" s="170">
        <v>45362</v>
      </c>
      <c r="U489" s="132"/>
      <c r="V489" s="171" t="s">
        <v>59</v>
      </c>
    </row>
    <row r="490" spans="1:22" ht="62.4" x14ac:dyDescent="0.3">
      <c r="A490" s="132">
        <v>484</v>
      </c>
      <c r="B490" s="171" t="s">
        <v>21</v>
      </c>
      <c r="C490" s="44" t="s">
        <v>30</v>
      </c>
      <c r="D490" s="132"/>
      <c r="E490" s="171" t="s">
        <v>75</v>
      </c>
      <c r="F490" s="44" t="s">
        <v>909</v>
      </c>
      <c r="G490" s="132" t="s">
        <v>21</v>
      </c>
      <c r="H490" s="132"/>
      <c r="I490" s="132">
        <v>15</v>
      </c>
      <c r="J490" s="132">
        <v>76.08</v>
      </c>
      <c r="K490" s="132"/>
      <c r="L490" s="171">
        <v>15</v>
      </c>
      <c r="M490" s="171">
        <v>76.08</v>
      </c>
      <c r="N490" s="6" t="s">
        <v>1044</v>
      </c>
      <c r="O490" s="170">
        <v>45363</v>
      </c>
      <c r="P490" s="33" t="str">
        <f>HYPERLINK("https://my.zakupivli.pro/remote/dispatcher/state_purchase_view/49733918", "UA-2024-03-12-007076-a")</f>
        <v>UA-2024-03-12-007076-a</v>
      </c>
      <c r="Q490" s="132"/>
      <c r="R490" s="171">
        <v>15</v>
      </c>
      <c r="S490" s="171">
        <v>76.08</v>
      </c>
      <c r="T490" s="133">
        <v>45363</v>
      </c>
      <c r="U490" s="132"/>
      <c r="V490" s="171" t="s">
        <v>59</v>
      </c>
    </row>
    <row r="491" spans="1:22" ht="124.8" x14ac:dyDescent="0.3">
      <c r="A491" s="132">
        <v>485</v>
      </c>
      <c r="B491" s="172" t="s">
        <v>40</v>
      </c>
      <c r="C491" s="44" t="s">
        <v>41</v>
      </c>
      <c r="D491" s="132"/>
      <c r="E491" s="172" t="s">
        <v>88</v>
      </c>
      <c r="F491" s="156" t="s">
        <v>854</v>
      </c>
      <c r="G491" s="132" t="s">
        <v>184</v>
      </c>
      <c r="H491" s="132">
        <v>46627.971120000002</v>
      </c>
      <c r="I491" s="132">
        <v>1</v>
      </c>
      <c r="J491" s="172">
        <v>46627.971120000002</v>
      </c>
      <c r="K491" s="172">
        <v>46627.971120000002</v>
      </c>
      <c r="L491" s="172">
        <v>1</v>
      </c>
      <c r="M491" s="172">
        <v>46627.971120000002</v>
      </c>
      <c r="N491" s="6" t="s">
        <v>1045</v>
      </c>
      <c r="O491" s="133">
        <v>45364</v>
      </c>
      <c r="P491" s="33" t="str">
        <f>HYPERLINK("https://my.zakupivli.pro/remote/dispatcher/state_purchase_view/49754998", "UA-2024-03-13-002658-a")</f>
        <v>UA-2024-03-13-002658-a</v>
      </c>
      <c r="Q491" s="132"/>
      <c r="R491" s="132"/>
      <c r="S491" s="132"/>
      <c r="T491" s="133"/>
      <c r="U491" s="185" t="s">
        <v>93</v>
      </c>
      <c r="V491" s="132"/>
    </row>
    <row r="492" spans="1:22" ht="62.4" x14ac:dyDescent="0.3">
      <c r="A492" s="132">
        <v>486</v>
      </c>
      <c r="B492" s="173" t="s">
        <v>21</v>
      </c>
      <c r="C492" s="44" t="s">
        <v>177</v>
      </c>
      <c r="D492" s="132"/>
      <c r="E492" s="173" t="s">
        <v>75</v>
      </c>
      <c r="F492" s="44" t="s">
        <v>1046</v>
      </c>
      <c r="G492" s="173" t="s">
        <v>185</v>
      </c>
      <c r="H492" s="132"/>
      <c r="I492" s="132">
        <v>25</v>
      </c>
      <c r="J492" s="132">
        <v>62.424999999999997</v>
      </c>
      <c r="K492" s="132"/>
      <c r="L492" s="173">
        <v>25</v>
      </c>
      <c r="M492" s="173">
        <v>62.424999999999997</v>
      </c>
      <c r="N492" s="6" t="s">
        <v>1050</v>
      </c>
      <c r="O492" s="133">
        <v>45365</v>
      </c>
      <c r="P492" s="33" t="str">
        <f>HYPERLINK("https://my.zakupivli.pro/remote/dispatcher/state_purchase_view/49800155", "UA-2024-03-14-009075-a")</f>
        <v>UA-2024-03-14-009075-a</v>
      </c>
      <c r="Q492" s="132"/>
      <c r="R492" s="173">
        <v>25</v>
      </c>
      <c r="S492" s="173">
        <v>62.424999999999997</v>
      </c>
      <c r="T492" s="174">
        <v>45365</v>
      </c>
      <c r="U492" s="132"/>
      <c r="V492" s="173" t="s">
        <v>59</v>
      </c>
    </row>
    <row r="493" spans="1:22" ht="62.4" x14ac:dyDescent="0.3">
      <c r="A493" s="132">
        <v>487</v>
      </c>
      <c r="B493" s="173" t="s">
        <v>21</v>
      </c>
      <c r="C493" s="44" t="s">
        <v>734</v>
      </c>
      <c r="D493" s="132"/>
      <c r="E493" s="173" t="s">
        <v>75</v>
      </c>
      <c r="F493" s="44" t="s">
        <v>1047</v>
      </c>
      <c r="G493" s="173" t="s">
        <v>186</v>
      </c>
      <c r="H493" s="132"/>
      <c r="I493" s="132">
        <v>37</v>
      </c>
      <c r="J493" s="119">
        <v>567.5</v>
      </c>
      <c r="K493" s="132"/>
      <c r="L493" s="173">
        <v>37</v>
      </c>
      <c r="M493" s="119">
        <v>567.5</v>
      </c>
      <c r="N493" s="6" t="s">
        <v>1051</v>
      </c>
      <c r="O493" s="174">
        <v>45365</v>
      </c>
      <c r="P493" s="33" t="str">
        <f>HYPERLINK("https://my.zakupivli.pro/remote/dispatcher/state_purchase_view/49788870", "UA-2024-03-14-004029-a")</f>
        <v>UA-2024-03-14-004029-a</v>
      </c>
      <c r="Q493" s="132"/>
      <c r="R493" s="173">
        <v>37</v>
      </c>
      <c r="S493" s="119">
        <v>567.5</v>
      </c>
      <c r="T493" s="174">
        <v>45365</v>
      </c>
      <c r="U493" s="132"/>
      <c r="V493" s="173" t="s">
        <v>59</v>
      </c>
    </row>
    <row r="494" spans="1:22" ht="62.4" x14ac:dyDescent="0.3">
      <c r="A494" s="132">
        <v>488</v>
      </c>
      <c r="B494" s="173" t="s">
        <v>21</v>
      </c>
      <c r="C494" s="44" t="s">
        <v>36</v>
      </c>
      <c r="D494" s="132"/>
      <c r="E494" s="173" t="s">
        <v>75</v>
      </c>
      <c r="F494" s="44" t="s">
        <v>1048</v>
      </c>
      <c r="G494" s="173" t="s">
        <v>186</v>
      </c>
      <c r="H494" s="132"/>
      <c r="I494" s="132">
        <v>6</v>
      </c>
      <c r="J494" s="132">
        <v>917.08334000000002</v>
      </c>
      <c r="K494" s="132"/>
      <c r="L494" s="173">
        <v>6</v>
      </c>
      <c r="M494" s="173">
        <v>917.08334000000002</v>
      </c>
      <c r="N494" s="6" t="s">
        <v>1052</v>
      </c>
      <c r="O494" s="174">
        <v>45365</v>
      </c>
      <c r="P494" s="33" t="str">
        <f>HYPERLINK("https://my.zakupivli.pro/remote/dispatcher/state_purchase_view/49783236", "UA-2024-03-14-001638-a")</f>
        <v>UA-2024-03-14-001638-a</v>
      </c>
      <c r="Q494" s="132"/>
      <c r="R494" s="173">
        <v>6</v>
      </c>
      <c r="S494" s="173">
        <v>917.08334000000002</v>
      </c>
      <c r="T494" s="174">
        <v>45365</v>
      </c>
      <c r="U494" s="132"/>
      <c r="V494" s="173" t="s">
        <v>59</v>
      </c>
    </row>
    <row r="495" spans="1:22" ht="62.4" x14ac:dyDescent="0.3">
      <c r="A495" s="132">
        <v>489</v>
      </c>
      <c r="B495" s="173" t="s">
        <v>21</v>
      </c>
      <c r="C495" s="44" t="s">
        <v>36</v>
      </c>
      <c r="D495" s="132"/>
      <c r="E495" s="173" t="s">
        <v>75</v>
      </c>
      <c r="F495" s="44" t="s">
        <v>1049</v>
      </c>
      <c r="G495" s="173" t="s">
        <v>186</v>
      </c>
      <c r="H495" s="132"/>
      <c r="I495" s="132">
        <v>8</v>
      </c>
      <c r="J495" s="132">
        <v>804.06665999999996</v>
      </c>
      <c r="K495" s="132"/>
      <c r="L495" s="173">
        <v>8</v>
      </c>
      <c r="M495" s="173">
        <v>804.06665999999996</v>
      </c>
      <c r="N495" s="6" t="s">
        <v>1053</v>
      </c>
      <c r="O495" s="174">
        <v>45365</v>
      </c>
      <c r="P495" s="33" t="str">
        <f>HYPERLINK("https://my.zakupivli.pro/remote/dispatcher/state_purchase_view/49783236", "UA-2024-03-14-001638-a")</f>
        <v>UA-2024-03-14-001638-a</v>
      </c>
      <c r="Q495" s="132"/>
      <c r="R495" s="173">
        <v>8</v>
      </c>
      <c r="S495" s="173">
        <v>804.06665999999996</v>
      </c>
      <c r="T495" s="174">
        <v>45365</v>
      </c>
      <c r="U495" s="132"/>
      <c r="V495" s="173" t="s">
        <v>59</v>
      </c>
    </row>
    <row r="496" spans="1:22" ht="124.8" x14ac:dyDescent="0.3">
      <c r="A496" s="132">
        <v>490</v>
      </c>
      <c r="B496" s="175" t="s">
        <v>40</v>
      </c>
      <c r="C496" s="44" t="s">
        <v>41</v>
      </c>
      <c r="D496" s="132"/>
      <c r="E496" s="175" t="s">
        <v>88</v>
      </c>
      <c r="F496" s="44" t="s">
        <v>1054</v>
      </c>
      <c r="G496" s="132" t="s">
        <v>184</v>
      </c>
      <c r="H496" s="132">
        <v>806.16314</v>
      </c>
      <c r="I496" s="132">
        <v>1</v>
      </c>
      <c r="J496" s="175">
        <v>806.16314</v>
      </c>
      <c r="K496" s="175">
        <v>806.16314</v>
      </c>
      <c r="L496" s="175">
        <v>1</v>
      </c>
      <c r="M496" s="175">
        <v>806.16314</v>
      </c>
      <c r="N496" s="6" t="s">
        <v>1057</v>
      </c>
      <c r="O496" s="133">
        <v>45366</v>
      </c>
      <c r="P496" s="33" t="str">
        <f>HYPERLINK("https://my.zakupivli.pro/remote/dispatcher/state_purchase_view/49830616", "UA-2024-03-15-009363-a")</f>
        <v>UA-2024-03-15-009363-a</v>
      </c>
      <c r="Q496" s="175"/>
      <c r="R496" s="175"/>
      <c r="S496" s="175"/>
      <c r="T496" s="133"/>
      <c r="U496" s="185" t="s">
        <v>93</v>
      </c>
      <c r="V496" s="132"/>
    </row>
    <row r="497" spans="1:22" ht="124.8" x14ac:dyDescent="0.3">
      <c r="A497" s="132">
        <v>491</v>
      </c>
      <c r="B497" s="175" t="s">
        <v>40</v>
      </c>
      <c r="C497" s="44" t="s">
        <v>41</v>
      </c>
      <c r="D497" s="132"/>
      <c r="E497" s="175" t="s">
        <v>88</v>
      </c>
      <c r="F497" s="44" t="s">
        <v>1055</v>
      </c>
      <c r="G497" s="132" t="s">
        <v>184</v>
      </c>
      <c r="H497" s="132">
        <v>840.49570000000006</v>
      </c>
      <c r="I497" s="132">
        <v>1</v>
      </c>
      <c r="J497" s="175">
        <v>840.49570000000006</v>
      </c>
      <c r="K497" s="175">
        <v>840.49570000000006</v>
      </c>
      <c r="L497" s="175">
        <v>1</v>
      </c>
      <c r="M497" s="175">
        <v>840.49570000000006</v>
      </c>
      <c r="N497" s="6" t="s">
        <v>1058</v>
      </c>
      <c r="O497" s="176">
        <v>45366</v>
      </c>
      <c r="P497" s="33" t="str">
        <f>HYPERLINK("https://my.zakupivli.pro/remote/dispatcher/state_purchase_view/49830616", "UA-2024-03-15-009363-a")</f>
        <v>UA-2024-03-15-009363-a</v>
      </c>
      <c r="Q497" s="132"/>
      <c r="R497" s="132"/>
      <c r="S497" s="132"/>
      <c r="T497" s="133"/>
      <c r="U497" s="185" t="s">
        <v>93</v>
      </c>
      <c r="V497" s="132"/>
    </row>
    <row r="498" spans="1:22" ht="140.4" x14ac:dyDescent="0.3">
      <c r="A498" s="132">
        <v>492</v>
      </c>
      <c r="B498" s="175" t="s">
        <v>21</v>
      </c>
      <c r="C498" s="44" t="s">
        <v>406</v>
      </c>
      <c r="D498" s="132"/>
      <c r="E498" s="175" t="s">
        <v>75</v>
      </c>
      <c r="F498" s="44" t="s">
        <v>1056</v>
      </c>
      <c r="G498" s="132" t="s">
        <v>186</v>
      </c>
      <c r="H498" s="132"/>
      <c r="I498" s="132">
        <v>24</v>
      </c>
      <c r="J498" s="132">
        <v>2135.6806999999999</v>
      </c>
      <c r="K498" s="132"/>
      <c r="L498" s="175">
        <v>24</v>
      </c>
      <c r="M498" s="175">
        <v>2135.6806999999999</v>
      </c>
      <c r="N498" s="6" t="s">
        <v>1059</v>
      </c>
      <c r="O498" s="176">
        <v>45366</v>
      </c>
      <c r="P498" s="33" t="str">
        <f>HYPERLINK("https://my.zakupivli.pro/remote/dispatcher/state_purchase_view/49814380", "UA-2024-03-15-002037-a")</f>
        <v>UA-2024-03-15-002037-a</v>
      </c>
      <c r="Q498" s="132"/>
      <c r="R498" s="175">
        <v>24</v>
      </c>
      <c r="S498" s="175">
        <v>2135.6806999999999</v>
      </c>
      <c r="T498" s="176">
        <v>45366</v>
      </c>
      <c r="U498" s="132"/>
      <c r="V498" s="175" t="s">
        <v>59</v>
      </c>
    </row>
    <row r="499" spans="1:22" ht="62.4" x14ac:dyDescent="0.3">
      <c r="A499" s="132">
        <v>493</v>
      </c>
      <c r="B499" s="177" t="s">
        <v>21</v>
      </c>
      <c r="C499" s="44" t="s">
        <v>413</v>
      </c>
      <c r="D499" s="132"/>
      <c r="E499" s="177" t="s">
        <v>88</v>
      </c>
      <c r="F499" s="44" t="s">
        <v>1060</v>
      </c>
      <c r="G499" s="132" t="s">
        <v>185</v>
      </c>
      <c r="H499" s="132">
        <v>16.745000000000001</v>
      </c>
      <c r="I499" s="132">
        <v>3</v>
      </c>
      <c r="J499" s="132">
        <v>50.234999999999999</v>
      </c>
      <c r="K499" s="177">
        <v>16.745000000000001</v>
      </c>
      <c r="L499" s="177">
        <v>3</v>
      </c>
      <c r="M499" s="177">
        <v>50.234999999999999</v>
      </c>
      <c r="N499" s="6" t="s">
        <v>1061</v>
      </c>
      <c r="O499" s="133">
        <v>45369</v>
      </c>
      <c r="P499" s="33" t="str">
        <f>HYPERLINK("https://my.zakupivli.pro/remote/dispatcher/state_purchase_view/49855542", "UA-2024-03-18-007381-a")</f>
        <v>UA-2024-03-18-007381-a</v>
      </c>
      <c r="Q499" s="177">
        <v>16.745000000000001</v>
      </c>
      <c r="R499" s="177">
        <v>3</v>
      </c>
      <c r="S499" s="177">
        <v>50.234999999999999</v>
      </c>
      <c r="T499" s="178">
        <v>45369</v>
      </c>
      <c r="U499" s="132"/>
      <c r="V499" s="177" t="s">
        <v>59</v>
      </c>
    </row>
    <row r="500" spans="1:22" ht="62.4" x14ac:dyDescent="0.3">
      <c r="A500" s="132">
        <v>494</v>
      </c>
      <c r="B500" s="132" t="s">
        <v>21</v>
      </c>
      <c r="C500" s="41" t="s">
        <v>372</v>
      </c>
      <c r="D500" s="132"/>
      <c r="E500" s="179" t="s">
        <v>75</v>
      </c>
      <c r="F500" s="41" t="s">
        <v>1062</v>
      </c>
      <c r="G500" s="132" t="s">
        <v>186</v>
      </c>
      <c r="I500" s="132">
        <v>52</v>
      </c>
      <c r="J500" s="119">
        <v>1075</v>
      </c>
      <c r="K500" s="132"/>
      <c r="L500" s="179">
        <v>52</v>
      </c>
      <c r="M500" s="119">
        <v>1075</v>
      </c>
      <c r="N500" s="6" t="s">
        <v>1063</v>
      </c>
      <c r="O500" s="133">
        <v>45371</v>
      </c>
      <c r="P500" s="33" t="str">
        <f>HYPERLINK("https://my.zakupivli.pro/remote/dispatcher/state_purchase_view/49910924", "UA-2024-03-20-005051-a")</f>
        <v>UA-2024-03-20-005051-a</v>
      </c>
      <c r="Q500" s="132"/>
      <c r="R500" s="132">
        <v>52</v>
      </c>
      <c r="S500" s="132">
        <v>1025.93885</v>
      </c>
      <c r="T500" s="133" t="s">
        <v>1173</v>
      </c>
      <c r="U500" s="132"/>
      <c r="V500" s="132"/>
    </row>
    <row r="501" spans="1:22" ht="62.4" x14ac:dyDescent="0.3">
      <c r="A501" s="132">
        <v>495</v>
      </c>
      <c r="B501" s="180" t="s">
        <v>21</v>
      </c>
      <c r="C501" s="44" t="s">
        <v>1065</v>
      </c>
      <c r="D501" s="132"/>
      <c r="E501" s="180" t="s">
        <v>75</v>
      </c>
      <c r="F501" s="44" t="s">
        <v>1064</v>
      </c>
      <c r="G501" s="132" t="s">
        <v>185</v>
      </c>
      <c r="H501" s="132"/>
      <c r="I501" s="132">
        <v>25</v>
      </c>
      <c r="J501" s="132">
        <v>54.563330000000001</v>
      </c>
      <c r="K501" s="132"/>
      <c r="L501" s="180">
        <v>25</v>
      </c>
      <c r="M501" s="180">
        <v>54.563330000000001</v>
      </c>
      <c r="N501" s="6" t="s">
        <v>1066</v>
      </c>
      <c r="O501" s="133">
        <v>45372</v>
      </c>
      <c r="P501" s="122" t="str">
        <f>HYPERLINK("https://my.zakupivli.pro/remote/dispatcher/state_purchase_view/49949189", "UA-2024-03-21-008100-a")</f>
        <v>UA-2024-03-21-008100-a</v>
      </c>
      <c r="Q501" s="132"/>
      <c r="R501" s="180">
        <v>25</v>
      </c>
      <c r="S501" s="180">
        <v>54.563330000000001</v>
      </c>
      <c r="T501" s="133">
        <v>45372</v>
      </c>
      <c r="U501" s="132"/>
      <c r="V501" s="180" t="s">
        <v>59</v>
      </c>
    </row>
    <row r="502" spans="1:22" ht="62.4" x14ac:dyDescent="0.3">
      <c r="A502" s="132">
        <v>496</v>
      </c>
      <c r="B502" s="181" t="s">
        <v>21</v>
      </c>
      <c r="C502" s="44" t="s">
        <v>1069</v>
      </c>
      <c r="D502" s="132"/>
      <c r="E502" s="181" t="s">
        <v>75</v>
      </c>
      <c r="F502" s="44" t="s">
        <v>1067</v>
      </c>
      <c r="G502" s="132" t="s">
        <v>186</v>
      </c>
      <c r="H502" s="132"/>
      <c r="I502" s="132">
        <v>3</v>
      </c>
      <c r="J502" s="132">
        <v>82.216300000000004</v>
      </c>
      <c r="K502" s="132"/>
      <c r="L502" s="181">
        <v>3</v>
      </c>
      <c r="M502" s="181">
        <v>82.216300000000004</v>
      </c>
      <c r="N502" s="6" t="s">
        <v>1071</v>
      </c>
      <c r="O502" s="133">
        <v>45376</v>
      </c>
      <c r="P502" s="33" t="str">
        <f>HYPERLINK("https://my.zakupivli.pro/remote/dispatcher/state_purchase_view/50009434", "UA-2024-03-25-008603-a")</f>
        <v>UA-2024-03-25-008603-a</v>
      </c>
      <c r="Q502" s="132"/>
      <c r="R502" s="181">
        <v>3</v>
      </c>
      <c r="S502" s="181">
        <v>82.216300000000004</v>
      </c>
      <c r="T502" s="182">
        <v>45376</v>
      </c>
      <c r="U502" s="132"/>
      <c r="V502" s="181" t="s">
        <v>59</v>
      </c>
    </row>
    <row r="503" spans="1:22" ht="62.4" x14ac:dyDescent="0.3">
      <c r="A503" s="132">
        <v>497</v>
      </c>
      <c r="B503" s="181" t="s">
        <v>21</v>
      </c>
      <c r="C503" s="44" t="s">
        <v>1070</v>
      </c>
      <c r="D503" s="132"/>
      <c r="E503" s="181" t="s">
        <v>75</v>
      </c>
      <c r="F503" s="44" t="s">
        <v>1068</v>
      </c>
      <c r="G503" s="132" t="s">
        <v>186</v>
      </c>
      <c r="H503" s="132"/>
      <c r="I503" s="132">
        <v>9</v>
      </c>
      <c r="J503" s="132">
        <v>81.835599999999999</v>
      </c>
      <c r="K503" s="132"/>
      <c r="L503" s="181">
        <v>9</v>
      </c>
      <c r="M503" s="181">
        <v>81.835599999999999</v>
      </c>
      <c r="N503" s="6" t="s">
        <v>1072</v>
      </c>
      <c r="O503" s="182">
        <v>45376</v>
      </c>
      <c r="P503" s="33" t="str">
        <f>HYPERLINK("https://my.zakupivli.pro/remote/dispatcher/state_purchase_view/50008319", "UA-2024-03-25-008156-a")</f>
        <v>UA-2024-03-25-008156-a</v>
      </c>
      <c r="Q503" s="132"/>
      <c r="R503" s="181">
        <v>9</v>
      </c>
      <c r="S503" s="181">
        <v>81.835599999999999</v>
      </c>
      <c r="T503" s="182">
        <v>45376</v>
      </c>
      <c r="U503" s="132"/>
      <c r="V503" s="181" t="s">
        <v>59</v>
      </c>
    </row>
    <row r="504" spans="1:22" ht="62.4" x14ac:dyDescent="0.3">
      <c r="A504" s="132">
        <v>498</v>
      </c>
      <c r="B504" s="132" t="s">
        <v>40</v>
      </c>
      <c r="C504" s="44" t="s">
        <v>41</v>
      </c>
      <c r="D504" s="132"/>
      <c r="E504" s="181" t="s">
        <v>88</v>
      </c>
      <c r="F504" s="44" t="s">
        <v>1073</v>
      </c>
      <c r="G504" s="132" t="s">
        <v>184</v>
      </c>
      <c r="H504" s="132">
        <v>338.43669</v>
      </c>
      <c r="I504" s="132">
        <v>1</v>
      </c>
      <c r="J504" s="181">
        <v>338.43669</v>
      </c>
      <c r="K504" s="181">
        <v>338.43669</v>
      </c>
      <c r="L504" s="181">
        <v>1</v>
      </c>
      <c r="M504" s="181">
        <v>338.43669</v>
      </c>
      <c r="N504" s="6" t="s">
        <v>1076</v>
      </c>
      <c r="O504" s="182">
        <v>45376</v>
      </c>
      <c r="P504" s="33" t="str">
        <f>HYPERLINK("https://my.zakupivli.pro/remote/dispatcher/state_purchase_view/49993551", "UA-2024-03-25-001536-a")</f>
        <v>UA-2024-03-25-001536-a</v>
      </c>
      <c r="Q504" s="181">
        <v>338.43669</v>
      </c>
      <c r="R504" s="181">
        <v>1</v>
      </c>
      <c r="S504" s="181">
        <v>338.43669</v>
      </c>
      <c r="T504" s="182">
        <v>45373</v>
      </c>
      <c r="U504" s="132"/>
      <c r="V504" s="181" t="s">
        <v>59</v>
      </c>
    </row>
    <row r="505" spans="1:22" ht="62.4" x14ac:dyDescent="0.3">
      <c r="A505" s="132">
        <v>499</v>
      </c>
      <c r="B505" s="181" t="s">
        <v>40</v>
      </c>
      <c r="C505" s="44" t="s">
        <v>41</v>
      </c>
      <c r="D505" s="132"/>
      <c r="E505" s="181" t="s">
        <v>88</v>
      </c>
      <c r="F505" s="44" t="s">
        <v>1074</v>
      </c>
      <c r="G505" s="181" t="s">
        <v>184</v>
      </c>
      <c r="H505" s="132">
        <v>677.26585</v>
      </c>
      <c r="I505" s="181">
        <v>1</v>
      </c>
      <c r="J505" s="181">
        <v>677.26585</v>
      </c>
      <c r="K505" s="181">
        <v>677.26585</v>
      </c>
      <c r="L505" s="181">
        <v>1</v>
      </c>
      <c r="M505" s="181">
        <v>677.26585</v>
      </c>
      <c r="N505" s="6" t="s">
        <v>1077</v>
      </c>
      <c r="O505" s="182">
        <v>45376</v>
      </c>
      <c r="P505" s="33" t="str">
        <f>HYPERLINK("https://my.zakupivli.pro/remote/dispatcher/state_purchase_view/49993454", "UA-2024-03-25-001472-a")</f>
        <v>UA-2024-03-25-001472-a</v>
      </c>
      <c r="Q505" s="181">
        <v>677.26585</v>
      </c>
      <c r="R505" s="181">
        <v>1</v>
      </c>
      <c r="S505" s="181">
        <v>677.26585</v>
      </c>
      <c r="T505" s="182">
        <v>45373</v>
      </c>
      <c r="U505" s="132"/>
      <c r="V505" s="181" t="s">
        <v>59</v>
      </c>
    </row>
    <row r="506" spans="1:22" ht="62.4" x14ac:dyDescent="0.3">
      <c r="A506" s="132">
        <v>500</v>
      </c>
      <c r="B506" s="181" t="s">
        <v>40</v>
      </c>
      <c r="C506" s="44" t="s">
        <v>41</v>
      </c>
      <c r="D506" s="132"/>
      <c r="E506" s="181" t="s">
        <v>88</v>
      </c>
      <c r="F506" s="44" t="s">
        <v>1075</v>
      </c>
      <c r="G506" s="181" t="s">
        <v>184</v>
      </c>
      <c r="H506" s="132">
        <v>440.17205000000001</v>
      </c>
      <c r="I506" s="181">
        <v>1</v>
      </c>
      <c r="J506" s="181">
        <v>440.17205000000001</v>
      </c>
      <c r="K506" s="181">
        <v>440.17205000000001</v>
      </c>
      <c r="L506" s="181">
        <v>1</v>
      </c>
      <c r="M506" s="181">
        <v>440.17205000000001</v>
      </c>
      <c r="N506" s="6" t="s">
        <v>1078</v>
      </c>
      <c r="O506" s="182">
        <v>45376</v>
      </c>
      <c r="P506" s="33" t="str">
        <f>HYPERLINK("https://my.zakupivli.pro/remote/dispatcher/state_purchase_view/49993314", "UA-2024-03-25-001382-a")</f>
        <v>UA-2024-03-25-001382-a</v>
      </c>
      <c r="Q506" s="181">
        <v>440.17205000000001</v>
      </c>
      <c r="R506" s="181">
        <v>1</v>
      </c>
      <c r="S506" s="181">
        <v>440.17205000000001</v>
      </c>
      <c r="T506" s="182">
        <v>45373</v>
      </c>
      <c r="U506" s="132"/>
      <c r="V506" s="181" t="s">
        <v>59</v>
      </c>
    </row>
    <row r="507" spans="1:22" ht="62.4" x14ac:dyDescent="0.3">
      <c r="A507" s="132">
        <v>501</v>
      </c>
      <c r="B507" s="181" t="s">
        <v>40</v>
      </c>
      <c r="C507" s="44" t="s">
        <v>41</v>
      </c>
      <c r="D507" s="132"/>
      <c r="E507" s="181" t="s">
        <v>88</v>
      </c>
      <c r="F507" s="44" t="s">
        <v>1079</v>
      </c>
      <c r="G507" s="181" t="s">
        <v>184</v>
      </c>
      <c r="H507" s="132">
        <v>423.59964000000002</v>
      </c>
      <c r="I507" s="181">
        <v>1</v>
      </c>
      <c r="J507" s="181">
        <v>423.59964000000002</v>
      </c>
      <c r="K507" s="181">
        <v>423.59964000000002</v>
      </c>
      <c r="L507" s="181">
        <v>1</v>
      </c>
      <c r="M507" s="181">
        <v>423.59964000000002</v>
      </c>
      <c r="N507" s="6" t="s">
        <v>1084</v>
      </c>
      <c r="O507" s="182">
        <v>45376</v>
      </c>
      <c r="P507" s="33" t="str">
        <f>HYPERLINK("https://my.zakupivli.pro/remote/dispatcher/state_purchase_view/49992857", "UA-2024-03-25-001186-a")</f>
        <v>UA-2024-03-25-001186-a</v>
      </c>
      <c r="Q507" s="181">
        <v>423.59964000000002</v>
      </c>
      <c r="R507" s="181">
        <v>1</v>
      </c>
      <c r="S507" s="181">
        <v>423.59964000000002</v>
      </c>
      <c r="T507" s="182">
        <v>45373</v>
      </c>
      <c r="U507" s="132"/>
      <c r="V507" s="181" t="s">
        <v>59</v>
      </c>
    </row>
    <row r="508" spans="1:22" ht="62.4" x14ac:dyDescent="0.3">
      <c r="A508" s="132">
        <v>502</v>
      </c>
      <c r="B508" s="181" t="s">
        <v>40</v>
      </c>
      <c r="C508" s="44" t="s">
        <v>41</v>
      </c>
      <c r="D508" s="132"/>
      <c r="E508" s="181" t="s">
        <v>88</v>
      </c>
      <c r="F508" s="44" t="s">
        <v>1080</v>
      </c>
      <c r="G508" s="181" t="s">
        <v>184</v>
      </c>
      <c r="H508" s="132">
        <v>567010.35</v>
      </c>
      <c r="I508" s="181">
        <v>1</v>
      </c>
      <c r="J508" s="181">
        <v>567010.35</v>
      </c>
      <c r="K508" s="181">
        <v>567010.35</v>
      </c>
      <c r="L508" s="181">
        <v>1</v>
      </c>
      <c r="M508" s="181">
        <v>567010.35</v>
      </c>
      <c r="N508" s="6" t="s">
        <v>1085</v>
      </c>
      <c r="O508" s="182">
        <v>45376</v>
      </c>
      <c r="P508" s="33" t="str">
        <f>HYPERLINK("https://my.zakupivli.pro/remote/dispatcher/state_purchase_view/49992163", "UA-2024-03-25-000945-a")</f>
        <v>UA-2024-03-25-000945-a</v>
      </c>
      <c r="Q508" s="181">
        <v>567010.35</v>
      </c>
      <c r="R508" s="181">
        <v>1</v>
      </c>
      <c r="S508" s="181">
        <v>567010.35</v>
      </c>
      <c r="T508" s="182">
        <v>45373</v>
      </c>
      <c r="U508" s="132"/>
      <c r="V508" s="181" t="s">
        <v>59</v>
      </c>
    </row>
    <row r="509" spans="1:22" ht="62.4" x14ac:dyDescent="0.3">
      <c r="A509" s="132">
        <v>503</v>
      </c>
      <c r="B509" s="181" t="s">
        <v>40</v>
      </c>
      <c r="C509" s="44" t="s">
        <v>41</v>
      </c>
      <c r="D509" s="132"/>
      <c r="E509" s="181" t="s">
        <v>88</v>
      </c>
      <c r="F509" s="44" t="s">
        <v>1081</v>
      </c>
      <c r="G509" s="181" t="s">
        <v>184</v>
      </c>
      <c r="H509" s="132">
        <v>1056.9045599999999</v>
      </c>
      <c r="I509" s="181">
        <v>1</v>
      </c>
      <c r="J509" s="181">
        <v>1056.9045599999999</v>
      </c>
      <c r="K509" s="181">
        <v>1056.9045599999999</v>
      </c>
      <c r="L509" s="181">
        <v>1</v>
      </c>
      <c r="M509" s="181">
        <v>1056.9045599999999</v>
      </c>
      <c r="N509" s="6" t="s">
        <v>1086</v>
      </c>
      <c r="O509" s="182">
        <v>45376</v>
      </c>
      <c r="P509" s="33" t="str">
        <f>HYPERLINK("https://my.zakupivli.pro/remote/dispatcher/state_purchase_view/49991885", "UA-2024-03-25-000827-a")</f>
        <v>UA-2024-03-25-000827-a</v>
      </c>
      <c r="Q509" s="181">
        <v>1056.9045599999999</v>
      </c>
      <c r="R509" s="181">
        <v>1</v>
      </c>
      <c r="S509" s="181">
        <v>1056.9045599999999</v>
      </c>
      <c r="T509" s="182">
        <v>45373</v>
      </c>
      <c r="U509" s="132"/>
      <c r="V509" s="181" t="s">
        <v>59</v>
      </c>
    </row>
    <row r="510" spans="1:22" ht="62.4" x14ac:dyDescent="0.3">
      <c r="A510" s="132">
        <v>504</v>
      </c>
      <c r="B510" s="181" t="s">
        <v>40</v>
      </c>
      <c r="C510" s="44" t="s">
        <v>41</v>
      </c>
      <c r="D510" s="132"/>
      <c r="E510" s="181" t="s">
        <v>88</v>
      </c>
      <c r="F510" s="44" t="s">
        <v>1082</v>
      </c>
      <c r="G510" s="181" t="s">
        <v>184</v>
      </c>
      <c r="H510" s="132">
        <v>442.95051000000001</v>
      </c>
      <c r="I510" s="181">
        <v>1</v>
      </c>
      <c r="J510" s="181">
        <v>442.95051000000001</v>
      </c>
      <c r="K510" s="181">
        <v>442.95051000000001</v>
      </c>
      <c r="L510" s="181">
        <v>1</v>
      </c>
      <c r="M510" s="181">
        <v>442.95051000000001</v>
      </c>
      <c r="N510" s="6" t="s">
        <v>1087</v>
      </c>
      <c r="O510" s="182">
        <v>45376</v>
      </c>
      <c r="P510" s="33" t="str">
        <f>HYPERLINK("https://my.zakupivli.pro/remote/dispatcher/state_purchase_view/49991401", "UA-2024-03-25-000641-a")</f>
        <v>UA-2024-03-25-000641-a</v>
      </c>
      <c r="Q510" s="181">
        <v>442.95051000000001</v>
      </c>
      <c r="R510" s="181">
        <v>1</v>
      </c>
      <c r="S510" s="181">
        <v>442.95051000000001</v>
      </c>
      <c r="T510" s="182">
        <v>45373</v>
      </c>
      <c r="U510" s="132"/>
      <c r="V510" s="181" t="s">
        <v>59</v>
      </c>
    </row>
    <row r="511" spans="1:22" ht="62.4" x14ac:dyDescent="0.3">
      <c r="A511" s="132">
        <v>505</v>
      </c>
      <c r="B511" s="181" t="s">
        <v>40</v>
      </c>
      <c r="C511" s="44" t="s">
        <v>41</v>
      </c>
      <c r="D511" s="132"/>
      <c r="E511" s="181" t="s">
        <v>88</v>
      </c>
      <c r="F511" s="44" t="s">
        <v>1083</v>
      </c>
      <c r="G511" s="181" t="s">
        <v>184</v>
      </c>
      <c r="H511" s="132">
        <v>667.58050000000003</v>
      </c>
      <c r="I511" s="181">
        <v>1</v>
      </c>
      <c r="J511" s="181">
        <v>667.58050000000003</v>
      </c>
      <c r="K511" s="181">
        <v>667.58050000000003</v>
      </c>
      <c r="L511" s="181">
        <v>1</v>
      </c>
      <c r="M511" s="181">
        <v>667.58050000000003</v>
      </c>
      <c r="N511" s="6" t="s">
        <v>1088</v>
      </c>
      <c r="O511" s="182">
        <v>45376</v>
      </c>
      <c r="P511" s="33" t="str">
        <f>HYPERLINK("https://my.zakupivli.pro/remote/dispatcher/state_purchase_view/49991359", "UA-2024-03-25-000613-a")</f>
        <v>UA-2024-03-25-000613-a</v>
      </c>
      <c r="Q511" s="181">
        <v>667.58050000000003</v>
      </c>
      <c r="R511" s="181">
        <v>1</v>
      </c>
      <c r="S511" s="181">
        <v>667.58050000000003</v>
      </c>
      <c r="T511" s="182">
        <v>45373</v>
      </c>
      <c r="U511" s="132"/>
      <c r="V511" s="181" t="s">
        <v>59</v>
      </c>
    </row>
    <row r="512" spans="1:22" ht="62.4" x14ac:dyDescent="0.3">
      <c r="A512" s="132">
        <v>506</v>
      </c>
      <c r="B512" s="181" t="s">
        <v>40</v>
      </c>
      <c r="C512" s="44" t="s">
        <v>41</v>
      </c>
      <c r="D512" s="132"/>
      <c r="E512" s="181" t="s">
        <v>88</v>
      </c>
      <c r="F512" s="44" t="s">
        <v>1089</v>
      </c>
      <c r="G512" s="181" t="s">
        <v>184</v>
      </c>
      <c r="H512" s="132">
        <v>760.82086000000004</v>
      </c>
      <c r="I512" s="181">
        <v>1</v>
      </c>
      <c r="J512" s="181">
        <v>760.82086000000004</v>
      </c>
      <c r="K512" s="181">
        <v>760.82086000000004</v>
      </c>
      <c r="L512" s="181">
        <v>1</v>
      </c>
      <c r="M512" s="181">
        <v>760.82086000000004</v>
      </c>
      <c r="N512" s="6" t="s">
        <v>1094</v>
      </c>
      <c r="O512" s="182">
        <v>45376</v>
      </c>
      <c r="P512" s="33" t="str">
        <f>HYPERLINK("https://my.zakupivli.pro/remote/dispatcher/state_purchase_view/49991087", "UA-2024-03-25-000494-a")</f>
        <v>UA-2024-03-25-000494-a</v>
      </c>
      <c r="Q512" s="181">
        <v>760.82086000000004</v>
      </c>
      <c r="R512" s="181">
        <v>1</v>
      </c>
      <c r="S512" s="181">
        <v>760.82086000000004</v>
      </c>
      <c r="T512" s="182">
        <v>45373</v>
      </c>
      <c r="U512" s="132"/>
      <c r="V512" s="181" t="s">
        <v>59</v>
      </c>
    </row>
    <row r="513" spans="1:22" ht="62.4" x14ac:dyDescent="0.3">
      <c r="A513" s="132">
        <v>507</v>
      </c>
      <c r="B513" s="181" t="s">
        <v>40</v>
      </c>
      <c r="C513" s="44" t="s">
        <v>41</v>
      </c>
      <c r="D513" s="132"/>
      <c r="E513" s="181" t="s">
        <v>88</v>
      </c>
      <c r="F513" s="44" t="s">
        <v>1090</v>
      </c>
      <c r="G513" s="181" t="s">
        <v>184</v>
      </c>
      <c r="H513" s="132">
        <v>915.53321000000005</v>
      </c>
      <c r="I513" s="181">
        <v>1</v>
      </c>
      <c r="J513" s="181">
        <v>915.53321000000005</v>
      </c>
      <c r="K513" s="181">
        <v>915.53321000000005</v>
      </c>
      <c r="L513" s="181">
        <v>1</v>
      </c>
      <c r="M513" s="181">
        <v>915.53321000000005</v>
      </c>
      <c r="N513" s="6" t="s">
        <v>1095</v>
      </c>
      <c r="O513" s="182">
        <v>45376</v>
      </c>
      <c r="P513" s="33" t="str">
        <f>HYPERLINK("https://my.zakupivli.pro/remote/dispatcher/state_purchase_view/49990900", "UA-2024-03-25-000416-a")</f>
        <v>UA-2024-03-25-000416-a</v>
      </c>
      <c r="Q513" s="181">
        <v>915.53321000000005</v>
      </c>
      <c r="R513" s="181">
        <v>1</v>
      </c>
      <c r="S513" s="181">
        <v>915.53321000000005</v>
      </c>
      <c r="T513" s="182">
        <v>45373</v>
      </c>
      <c r="U513" s="132"/>
      <c r="V513" s="181" t="s">
        <v>59</v>
      </c>
    </row>
    <row r="514" spans="1:22" ht="62.4" x14ac:dyDescent="0.3">
      <c r="A514" s="132">
        <v>508</v>
      </c>
      <c r="B514" s="181" t="s">
        <v>40</v>
      </c>
      <c r="C514" s="44" t="s">
        <v>41</v>
      </c>
      <c r="D514" s="132"/>
      <c r="E514" s="181" t="s">
        <v>88</v>
      </c>
      <c r="F514" s="44" t="s">
        <v>1091</v>
      </c>
      <c r="G514" s="181" t="s">
        <v>184</v>
      </c>
      <c r="H514" s="132">
        <v>847.72888999999998</v>
      </c>
      <c r="I514" s="181">
        <v>1</v>
      </c>
      <c r="J514" s="181">
        <v>847.72888999999998</v>
      </c>
      <c r="K514" s="181">
        <v>847.72888999999998</v>
      </c>
      <c r="L514" s="181">
        <v>1</v>
      </c>
      <c r="M514" s="181">
        <v>847.72888999999998</v>
      </c>
      <c r="N514" s="6" t="s">
        <v>1096</v>
      </c>
      <c r="O514" s="182">
        <v>45376</v>
      </c>
      <c r="P514" s="33" t="str">
        <f>HYPERLINK("https://my.zakupivli.pro/remote/dispatcher/state_purchase_view/49990848", "UA-2024-03-25-000383-a")</f>
        <v>UA-2024-03-25-000383-a</v>
      </c>
      <c r="Q514" s="181">
        <v>847.72888999999998</v>
      </c>
      <c r="R514" s="181">
        <v>1</v>
      </c>
      <c r="S514" s="181">
        <v>847.72888999999998</v>
      </c>
      <c r="T514" s="182">
        <v>45373</v>
      </c>
      <c r="U514" s="132"/>
      <c r="V514" s="181" t="s">
        <v>59</v>
      </c>
    </row>
    <row r="515" spans="1:22" ht="62.4" x14ac:dyDescent="0.3">
      <c r="A515" s="132">
        <v>509</v>
      </c>
      <c r="B515" s="181" t="s">
        <v>40</v>
      </c>
      <c r="C515" s="44" t="s">
        <v>41</v>
      </c>
      <c r="D515" s="132"/>
      <c r="E515" s="181" t="s">
        <v>88</v>
      </c>
      <c r="F515" s="44" t="s">
        <v>1092</v>
      </c>
      <c r="G515" s="181" t="s">
        <v>184</v>
      </c>
      <c r="H515" s="132">
        <v>931.63234999999997</v>
      </c>
      <c r="I515" s="181">
        <v>1</v>
      </c>
      <c r="J515" s="181">
        <v>931.63234999999997</v>
      </c>
      <c r="K515" s="181">
        <v>931.63234999999997</v>
      </c>
      <c r="L515" s="181">
        <v>931.63234999999997</v>
      </c>
      <c r="M515" s="181">
        <v>931.63234999999997</v>
      </c>
      <c r="N515" s="6" t="s">
        <v>1097</v>
      </c>
      <c r="O515" s="182">
        <v>45376</v>
      </c>
      <c r="P515" s="33" t="str">
        <f>HYPERLINK("https://my.zakupivli.pro/remote/dispatcher/state_purchase_view/49990556", "UA-2024-03-25-000272-a")</f>
        <v>UA-2024-03-25-000272-a</v>
      </c>
      <c r="Q515" s="181">
        <v>931.63234999999997</v>
      </c>
      <c r="R515" s="181">
        <v>931.63234999999997</v>
      </c>
      <c r="S515" s="181">
        <v>931.63234999999997</v>
      </c>
      <c r="T515" s="182">
        <v>45373</v>
      </c>
      <c r="U515" s="132"/>
      <c r="V515" s="181" t="s">
        <v>59</v>
      </c>
    </row>
    <row r="516" spans="1:22" ht="62.4" x14ac:dyDescent="0.3">
      <c r="A516" s="132">
        <v>510</v>
      </c>
      <c r="B516" s="181" t="s">
        <v>40</v>
      </c>
      <c r="C516" s="44" t="s">
        <v>41</v>
      </c>
      <c r="D516" s="132"/>
      <c r="E516" s="181" t="s">
        <v>88</v>
      </c>
      <c r="F516" s="44" t="s">
        <v>1093</v>
      </c>
      <c r="G516" s="181" t="s">
        <v>184</v>
      </c>
      <c r="H516" s="132">
        <v>1096.11652</v>
      </c>
      <c r="I516" s="132">
        <v>1</v>
      </c>
      <c r="J516" s="181">
        <v>1096.11652</v>
      </c>
      <c r="K516" s="181">
        <v>1096.11652</v>
      </c>
      <c r="L516" s="181">
        <v>1</v>
      </c>
      <c r="M516" s="181">
        <v>1096.11652</v>
      </c>
      <c r="N516" s="6" t="s">
        <v>1098</v>
      </c>
      <c r="O516" s="182">
        <v>45376</v>
      </c>
      <c r="P516" s="33" t="str">
        <f>HYPERLINK("https://my.zakupivli.pro/remote/dispatcher/state_purchase_view/49990340", "UA-2024-03-25-000171-a")</f>
        <v>UA-2024-03-25-000171-a</v>
      </c>
      <c r="Q516" s="181">
        <v>1096.11652</v>
      </c>
      <c r="R516" s="181">
        <v>1</v>
      </c>
      <c r="S516" s="181">
        <v>1096.11652</v>
      </c>
      <c r="T516" s="182">
        <v>45373</v>
      </c>
      <c r="U516" s="132"/>
      <c r="V516" s="181" t="s">
        <v>59</v>
      </c>
    </row>
    <row r="517" spans="1:22" ht="156" x14ac:dyDescent="0.3">
      <c r="A517" s="132">
        <v>511</v>
      </c>
      <c r="B517" s="132" t="s">
        <v>21</v>
      </c>
      <c r="C517" s="41" t="s">
        <v>183</v>
      </c>
      <c r="D517" s="132"/>
      <c r="E517" s="183" t="s">
        <v>88</v>
      </c>
      <c r="F517" s="44" t="s">
        <v>1099</v>
      </c>
      <c r="G517" s="132" t="s">
        <v>21</v>
      </c>
      <c r="H517" s="119">
        <v>7694.4</v>
      </c>
      <c r="I517" s="132">
        <v>1</v>
      </c>
      <c r="J517" s="119">
        <v>7694.4</v>
      </c>
      <c r="K517" s="119">
        <v>7694.4</v>
      </c>
      <c r="L517" s="183">
        <v>1</v>
      </c>
      <c r="M517" s="119">
        <v>7694.4</v>
      </c>
      <c r="N517" s="6" t="s">
        <v>1100</v>
      </c>
      <c r="O517" s="182">
        <v>45379</v>
      </c>
      <c r="P517" s="33" t="str">
        <f>HYPERLINK("https://my.zakupivli.pro/remote/dispatcher/state_purchase_view/50096341", "UA-2024-03-28-009986-a")</f>
        <v>UA-2024-03-28-009986-a</v>
      </c>
      <c r="Q517" s="119">
        <v>7694.4</v>
      </c>
      <c r="R517" s="183">
        <v>1</v>
      </c>
      <c r="S517" s="119">
        <v>7694.4</v>
      </c>
      <c r="T517" s="184">
        <v>45379</v>
      </c>
      <c r="U517" s="132"/>
      <c r="V517" s="183" t="s">
        <v>59</v>
      </c>
    </row>
    <row r="518" spans="1:22" ht="62.4" x14ac:dyDescent="0.3">
      <c r="A518" s="132">
        <v>512</v>
      </c>
      <c r="B518" s="186" t="s">
        <v>40</v>
      </c>
      <c r="C518" s="44" t="s">
        <v>73</v>
      </c>
      <c r="D518" s="132"/>
      <c r="E518" s="186" t="s">
        <v>75</v>
      </c>
      <c r="F518" s="44" t="s">
        <v>1101</v>
      </c>
      <c r="G518" s="132" t="s">
        <v>184</v>
      </c>
      <c r="H518" s="132">
        <v>96.452979999999997</v>
      </c>
      <c r="I518" s="132">
        <v>1</v>
      </c>
      <c r="J518" s="186">
        <v>96.452979999999997</v>
      </c>
      <c r="K518" s="186">
        <v>96.452979999999997</v>
      </c>
      <c r="L518" s="186">
        <v>1</v>
      </c>
      <c r="M518" s="186">
        <v>96.452979999999997</v>
      </c>
      <c r="N518" s="6" t="s">
        <v>1107</v>
      </c>
      <c r="O518" s="133">
        <v>45383</v>
      </c>
      <c r="P518" s="33" t="str">
        <f>HYPERLINK("https://my.zakupivli.pro/remote/dispatcher/state_purchase_view/50133163", "UA-2024-04-01-005782-a")</f>
        <v>UA-2024-04-01-005782-a</v>
      </c>
      <c r="Q518" s="186">
        <v>96.452979999999997</v>
      </c>
      <c r="R518" s="186">
        <v>1</v>
      </c>
      <c r="S518" s="186">
        <v>96.452979999999997</v>
      </c>
      <c r="T518" s="187">
        <v>45383</v>
      </c>
      <c r="U518" s="132"/>
      <c r="V518" s="186" t="s">
        <v>59</v>
      </c>
    </row>
    <row r="519" spans="1:22" ht="62.4" x14ac:dyDescent="0.3">
      <c r="A519" s="132">
        <v>513</v>
      </c>
      <c r="B519" s="186" t="s">
        <v>40</v>
      </c>
      <c r="C519" s="44" t="s">
        <v>73</v>
      </c>
      <c r="D519" s="132"/>
      <c r="E519" s="186" t="s">
        <v>75</v>
      </c>
      <c r="F519" s="44" t="s">
        <v>1102</v>
      </c>
      <c r="G519" s="186" t="s">
        <v>184</v>
      </c>
      <c r="H519" s="132">
        <v>113.94756</v>
      </c>
      <c r="I519" s="132">
        <v>1</v>
      </c>
      <c r="J519" s="186">
        <v>113.94756</v>
      </c>
      <c r="K519" s="186">
        <v>113.94756</v>
      </c>
      <c r="L519" s="186">
        <v>1</v>
      </c>
      <c r="M519" s="186">
        <v>113.94756</v>
      </c>
      <c r="N519" s="6" t="s">
        <v>1108</v>
      </c>
      <c r="O519" s="187">
        <v>45383</v>
      </c>
      <c r="P519" s="33" t="str">
        <f>HYPERLINK("https://my.zakupivli.pro/remote/dispatcher/state_purchase_view/50132155", "UA-2024-04-01-005332-a")</f>
        <v>UA-2024-04-01-005332-a</v>
      </c>
      <c r="Q519" s="186">
        <v>113.94756</v>
      </c>
      <c r="R519" s="186">
        <v>1</v>
      </c>
      <c r="S519" s="186">
        <v>113.94756</v>
      </c>
      <c r="T519" s="187">
        <v>45383</v>
      </c>
      <c r="U519" s="132"/>
      <c r="V519" s="186" t="s">
        <v>59</v>
      </c>
    </row>
    <row r="520" spans="1:22" ht="62.4" x14ac:dyDescent="0.3">
      <c r="A520" s="132">
        <v>514</v>
      </c>
      <c r="B520" s="186" t="s">
        <v>40</v>
      </c>
      <c r="C520" s="44" t="s">
        <v>73</v>
      </c>
      <c r="D520" s="132"/>
      <c r="E520" s="186" t="s">
        <v>75</v>
      </c>
      <c r="F520" s="44" t="s">
        <v>1103</v>
      </c>
      <c r="G520" s="186" t="s">
        <v>184</v>
      </c>
      <c r="H520" s="132">
        <v>151.39293000000001</v>
      </c>
      <c r="I520" s="132">
        <v>1</v>
      </c>
      <c r="J520" s="186">
        <v>151.39293000000001</v>
      </c>
      <c r="K520" s="186">
        <v>151.39293000000001</v>
      </c>
      <c r="L520" s="186">
        <v>1</v>
      </c>
      <c r="M520" s="186">
        <v>151.39293000000001</v>
      </c>
      <c r="N520" s="6" t="s">
        <v>1109</v>
      </c>
      <c r="O520" s="187">
        <v>45383</v>
      </c>
      <c r="P520" s="33" t="str">
        <f>HYPERLINK("https://my.zakupivli.pro/remote/dispatcher/state_purchase_view/50131614", "UA-2024-04-01-005080-a")</f>
        <v>UA-2024-04-01-005080-a</v>
      </c>
      <c r="Q520" s="186">
        <v>151.39293000000001</v>
      </c>
      <c r="R520" s="186">
        <v>1</v>
      </c>
      <c r="S520" s="186">
        <v>151.39293000000001</v>
      </c>
      <c r="T520" s="187">
        <v>45383</v>
      </c>
      <c r="U520" s="132"/>
      <c r="V520" s="186" t="s">
        <v>59</v>
      </c>
    </row>
    <row r="521" spans="1:22" ht="62.4" x14ac:dyDescent="0.3">
      <c r="A521" s="132">
        <v>515</v>
      </c>
      <c r="B521" s="186" t="s">
        <v>40</v>
      </c>
      <c r="C521" s="44" t="s">
        <v>73</v>
      </c>
      <c r="D521" s="132"/>
      <c r="E521" s="186" t="s">
        <v>75</v>
      </c>
      <c r="F521" s="44" t="s">
        <v>1104</v>
      </c>
      <c r="G521" s="186" t="s">
        <v>184</v>
      </c>
      <c r="H521" s="132">
        <v>194.86904000000001</v>
      </c>
      <c r="I521" s="132">
        <v>1</v>
      </c>
      <c r="J521" s="186">
        <v>194.86904000000001</v>
      </c>
      <c r="K521" s="186">
        <v>194.86904000000001</v>
      </c>
      <c r="L521" s="186">
        <v>1</v>
      </c>
      <c r="M521" s="186">
        <v>194.86904000000001</v>
      </c>
      <c r="N521" s="6" t="s">
        <v>1110</v>
      </c>
      <c r="O521" s="187">
        <v>45383</v>
      </c>
      <c r="P521" s="33" t="str">
        <f>HYPERLINK("https://my.zakupivli.pro/remote/dispatcher/state_purchase_view/50128934", "UA-2024-04-01-003935-a")</f>
        <v>UA-2024-04-01-003935-a</v>
      </c>
      <c r="Q521" s="186">
        <v>194.86904000000001</v>
      </c>
      <c r="R521" s="186">
        <v>1</v>
      </c>
      <c r="S521" s="186">
        <v>194.86904000000001</v>
      </c>
      <c r="T521" s="187">
        <v>45383</v>
      </c>
      <c r="U521" s="132"/>
      <c r="V521" s="186" t="s">
        <v>59</v>
      </c>
    </row>
    <row r="522" spans="1:22" ht="62.4" x14ac:dyDescent="0.3">
      <c r="A522" s="132">
        <v>516</v>
      </c>
      <c r="B522" s="186" t="s">
        <v>40</v>
      </c>
      <c r="C522" s="44" t="s">
        <v>73</v>
      </c>
      <c r="D522" s="132"/>
      <c r="E522" s="186" t="s">
        <v>75</v>
      </c>
      <c r="F522" s="44" t="s">
        <v>1105</v>
      </c>
      <c r="G522" s="186" t="s">
        <v>184</v>
      </c>
      <c r="H522" s="132">
        <v>109.06793999999999</v>
      </c>
      <c r="I522" s="132">
        <v>1</v>
      </c>
      <c r="J522" s="186">
        <v>109.06793999999999</v>
      </c>
      <c r="K522" s="186">
        <v>109.06793999999999</v>
      </c>
      <c r="L522" s="186">
        <v>1</v>
      </c>
      <c r="M522" s="186">
        <v>109.06793999999999</v>
      </c>
      <c r="N522" s="6" t="s">
        <v>1111</v>
      </c>
      <c r="O522" s="187">
        <v>45383</v>
      </c>
      <c r="P522" s="33" t="str">
        <f>HYPERLINK("https://my.zakupivli.pro/remote/dispatcher/state_purchase_view/50128451", "UA-2024-04-01-003767-a")</f>
        <v>UA-2024-04-01-003767-a</v>
      </c>
      <c r="Q522" s="186">
        <v>109.06793999999999</v>
      </c>
      <c r="R522" s="186">
        <v>1</v>
      </c>
      <c r="S522" s="186">
        <v>109.06793999999999</v>
      </c>
      <c r="T522" s="187">
        <v>45383</v>
      </c>
      <c r="U522" s="132"/>
      <c r="V522" s="186" t="s">
        <v>59</v>
      </c>
    </row>
    <row r="523" spans="1:22" ht="62.4" x14ac:dyDescent="0.3">
      <c r="A523" s="132">
        <v>517</v>
      </c>
      <c r="B523" s="186" t="s">
        <v>40</v>
      </c>
      <c r="C523" s="44" t="s">
        <v>73</v>
      </c>
      <c r="D523" s="132"/>
      <c r="E523" s="186" t="s">
        <v>75</v>
      </c>
      <c r="F523" s="44" t="s">
        <v>1106</v>
      </c>
      <c r="G523" s="186" t="s">
        <v>184</v>
      </c>
      <c r="H523" s="132">
        <v>158.59383</v>
      </c>
      <c r="I523" s="132">
        <v>1</v>
      </c>
      <c r="J523" s="186">
        <v>158.59383</v>
      </c>
      <c r="K523" s="186">
        <v>158.59383</v>
      </c>
      <c r="L523" s="186">
        <v>1</v>
      </c>
      <c r="M523" s="186">
        <v>158.59383</v>
      </c>
      <c r="N523" s="6" t="s">
        <v>1112</v>
      </c>
      <c r="O523" s="187">
        <v>45383</v>
      </c>
      <c r="P523" s="33" t="str">
        <f>HYPERLINK("https://my.zakupivli.pro/remote/dispatcher/state_purchase_view/50127903", "UA-2024-04-01-003479-a")</f>
        <v>UA-2024-04-01-003479-a</v>
      </c>
      <c r="Q523" s="186">
        <v>158.59383</v>
      </c>
      <c r="R523" s="186">
        <v>1</v>
      </c>
      <c r="S523" s="186">
        <v>158.59383</v>
      </c>
      <c r="T523" s="187">
        <v>45383</v>
      </c>
      <c r="U523" s="132"/>
      <c r="V523" s="186" t="s">
        <v>59</v>
      </c>
    </row>
    <row r="524" spans="1:22" ht="62.4" x14ac:dyDescent="0.3">
      <c r="A524" s="132">
        <v>518</v>
      </c>
      <c r="B524" s="188" t="s">
        <v>40</v>
      </c>
      <c r="C524" s="44" t="s">
        <v>41</v>
      </c>
      <c r="D524" s="132"/>
      <c r="E524" s="188" t="s">
        <v>373</v>
      </c>
      <c r="F524" s="44" t="s">
        <v>1113</v>
      </c>
      <c r="G524" s="188" t="s">
        <v>184</v>
      </c>
      <c r="H524" s="132">
        <v>149.49813</v>
      </c>
      <c r="I524" s="132">
        <v>1</v>
      </c>
      <c r="J524" s="188">
        <v>149.49813</v>
      </c>
      <c r="K524" s="188">
        <v>149.49813</v>
      </c>
      <c r="L524" s="188">
        <v>1</v>
      </c>
      <c r="M524" s="188">
        <v>149.49813</v>
      </c>
      <c r="N524" s="6" t="s">
        <v>1119</v>
      </c>
      <c r="O524" s="133">
        <v>45385</v>
      </c>
      <c r="P524" s="33" t="str">
        <f>HYPERLINK("https://my.zakupivli.pro/remote/dispatcher/state_purchase_view/50192772", "UA-2024-04-03-008285-a")</f>
        <v>UA-2024-04-03-008285-a</v>
      </c>
      <c r="Q524" s="188">
        <v>149.49813</v>
      </c>
      <c r="R524" s="188">
        <v>1</v>
      </c>
      <c r="S524" s="188">
        <v>149.49813</v>
      </c>
      <c r="T524" s="189">
        <v>45385</v>
      </c>
      <c r="U524" s="132"/>
      <c r="V524" s="188" t="s">
        <v>59</v>
      </c>
    </row>
    <row r="525" spans="1:22" ht="62.4" x14ac:dyDescent="0.3">
      <c r="A525" s="132">
        <v>519</v>
      </c>
      <c r="B525" s="188" t="s">
        <v>40</v>
      </c>
      <c r="C525" s="44" t="s">
        <v>41</v>
      </c>
      <c r="D525" s="132"/>
      <c r="E525" s="188" t="s">
        <v>373</v>
      </c>
      <c r="F525" s="44" t="s">
        <v>1114</v>
      </c>
      <c r="G525" s="188" t="s">
        <v>184</v>
      </c>
      <c r="H525" s="132">
        <v>76818.37</v>
      </c>
      <c r="I525" s="132">
        <v>1</v>
      </c>
      <c r="J525" s="188">
        <v>76818.37</v>
      </c>
      <c r="K525" s="188">
        <v>76818.37</v>
      </c>
      <c r="L525" s="188">
        <v>1</v>
      </c>
      <c r="M525" s="188">
        <v>76818.37</v>
      </c>
      <c r="N525" s="6" t="s">
        <v>1120</v>
      </c>
      <c r="O525" s="189">
        <v>45385</v>
      </c>
      <c r="P525" s="33" t="str">
        <f>HYPERLINK("https://my.zakupivli.pro/remote/dispatcher/state_purchase_view/50192096", "UA-2024-04-03-008011-a")</f>
        <v>UA-2024-04-03-008011-a</v>
      </c>
      <c r="Q525" s="188">
        <v>76818.37</v>
      </c>
      <c r="R525" s="188">
        <v>1</v>
      </c>
      <c r="S525" s="188">
        <v>76818.37</v>
      </c>
      <c r="T525" s="189">
        <v>45385</v>
      </c>
      <c r="U525" s="132"/>
      <c r="V525" s="188" t="s">
        <v>59</v>
      </c>
    </row>
    <row r="526" spans="1:22" ht="62.4" x14ac:dyDescent="0.3">
      <c r="A526" s="132">
        <v>520</v>
      </c>
      <c r="B526" s="188" t="s">
        <v>40</v>
      </c>
      <c r="C526" s="44" t="s">
        <v>41</v>
      </c>
      <c r="D526" s="132"/>
      <c r="E526" s="188" t="s">
        <v>373</v>
      </c>
      <c r="F526" s="44" t="s">
        <v>1115</v>
      </c>
      <c r="G526" s="188" t="s">
        <v>184</v>
      </c>
      <c r="H526" s="132">
        <v>404.08514000000002</v>
      </c>
      <c r="I526" s="132">
        <v>1</v>
      </c>
      <c r="J526" s="188">
        <v>404.08514000000002</v>
      </c>
      <c r="K526" s="188">
        <v>404.08514000000002</v>
      </c>
      <c r="L526" s="188">
        <v>1</v>
      </c>
      <c r="M526" s="188">
        <v>404.08514000000002</v>
      </c>
      <c r="N526" s="6" t="s">
        <v>1121</v>
      </c>
      <c r="O526" s="189">
        <v>45385</v>
      </c>
      <c r="P526" s="33" t="str">
        <f>HYPERLINK("https://my.zakupivli.pro/remote/dispatcher/state_purchase_view/50191401", "UA-2024-04-03-007759-a")</f>
        <v>UA-2024-04-03-007759-a</v>
      </c>
      <c r="Q526" s="188">
        <v>404.08514000000002</v>
      </c>
      <c r="R526" s="188">
        <v>1</v>
      </c>
      <c r="S526" s="188">
        <v>404.08514000000002</v>
      </c>
      <c r="T526" s="189">
        <v>45385</v>
      </c>
      <c r="U526" s="132"/>
      <c r="V526" s="188" t="s">
        <v>59</v>
      </c>
    </row>
    <row r="527" spans="1:22" ht="62.4" x14ac:dyDescent="0.3">
      <c r="A527" s="132">
        <v>521</v>
      </c>
      <c r="B527" s="188" t="s">
        <v>40</v>
      </c>
      <c r="C527" s="44" t="s">
        <v>41</v>
      </c>
      <c r="D527" s="132"/>
      <c r="E527" s="188" t="s">
        <v>373</v>
      </c>
      <c r="F527" s="44" t="s">
        <v>1116</v>
      </c>
      <c r="G527" s="188" t="s">
        <v>184</v>
      </c>
      <c r="H527" s="132">
        <v>302.83715000000001</v>
      </c>
      <c r="I527" s="132">
        <v>1</v>
      </c>
      <c r="J527" s="188">
        <v>302.83715000000001</v>
      </c>
      <c r="K527" s="188">
        <v>302.83715000000001</v>
      </c>
      <c r="L527" s="188">
        <v>1</v>
      </c>
      <c r="M527" s="188">
        <v>302.83715000000001</v>
      </c>
      <c r="N527" s="6" t="s">
        <v>1122</v>
      </c>
      <c r="O527" s="189">
        <v>45385</v>
      </c>
      <c r="P527" s="33" t="str">
        <f>HYPERLINK("https://my.zakupivli.pro/remote/dispatcher/state_purchase_view/50191086", "UA-2024-04-03-007567-a")</f>
        <v>UA-2024-04-03-007567-a</v>
      </c>
      <c r="Q527" s="188">
        <v>302.83715000000001</v>
      </c>
      <c r="R527" s="188">
        <v>1</v>
      </c>
      <c r="S527" s="188">
        <v>302.83715000000001</v>
      </c>
      <c r="T527" s="189">
        <v>45385</v>
      </c>
      <c r="U527" s="132"/>
      <c r="V527" s="188" t="s">
        <v>59</v>
      </c>
    </row>
    <row r="528" spans="1:22" ht="62.4" x14ac:dyDescent="0.3">
      <c r="A528" s="132">
        <v>522</v>
      </c>
      <c r="B528" s="188" t="s">
        <v>21</v>
      </c>
      <c r="C528" s="44" t="s">
        <v>1118</v>
      </c>
      <c r="D528" s="132"/>
      <c r="E528" s="188" t="s">
        <v>75</v>
      </c>
      <c r="F528" s="44" t="s">
        <v>1117</v>
      </c>
      <c r="G528" s="188" t="s">
        <v>186</v>
      </c>
      <c r="H528" s="132"/>
      <c r="I528" s="132">
        <v>4</v>
      </c>
      <c r="J528" s="119">
        <v>337.51</v>
      </c>
      <c r="K528" s="132"/>
      <c r="L528" s="188">
        <v>4</v>
      </c>
      <c r="M528" s="119">
        <v>337.51</v>
      </c>
      <c r="N528" s="6" t="s">
        <v>1123</v>
      </c>
      <c r="O528" s="189">
        <v>45385</v>
      </c>
      <c r="P528" s="33" t="str">
        <f>HYPERLINK("https://my.zakupivli.pro/remote/dispatcher/state_purchase_view/50182890", "UA-2024-04-03-003922-a")</f>
        <v>UA-2024-04-03-003922-a</v>
      </c>
      <c r="Q528" s="132"/>
      <c r="R528" s="132">
        <v>4</v>
      </c>
      <c r="S528" s="132">
        <v>336.94499999999999</v>
      </c>
      <c r="T528" s="133">
        <v>45404</v>
      </c>
      <c r="U528" s="132"/>
      <c r="V528" s="132"/>
    </row>
    <row r="529" spans="1:22" ht="62.4" x14ac:dyDescent="0.3">
      <c r="A529" s="132">
        <v>523</v>
      </c>
      <c r="B529" s="188" t="s">
        <v>21</v>
      </c>
      <c r="C529" s="44" t="s">
        <v>30</v>
      </c>
      <c r="D529" s="132"/>
      <c r="E529" s="188" t="s">
        <v>75</v>
      </c>
      <c r="F529" s="44" t="s">
        <v>909</v>
      </c>
      <c r="G529" s="132" t="s">
        <v>185</v>
      </c>
      <c r="H529" s="132">
        <v>5.218</v>
      </c>
      <c r="I529" s="132">
        <v>8</v>
      </c>
      <c r="J529" s="132">
        <v>41.744</v>
      </c>
      <c r="K529" s="188">
        <v>5.218</v>
      </c>
      <c r="L529" s="188">
        <v>8</v>
      </c>
      <c r="M529" s="188">
        <v>41.744</v>
      </c>
      <c r="N529" s="6" t="s">
        <v>1126</v>
      </c>
      <c r="O529" s="189">
        <v>45385</v>
      </c>
      <c r="P529" s="33" t="str">
        <f>HYPERLINK("https://my.zakupivli.pro/remote/dispatcher/state_purchase_view/50200329", "UA-2024-04-03-011648-a")</f>
        <v>UA-2024-04-03-011648-a</v>
      </c>
      <c r="Q529" s="188">
        <v>5.218</v>
      </c>
      <c r="R529" s="188">
        <v>8</v>
      </c>
      <c r="S529" s="188">
        <v>41.744</v>
      </c>
      <c r="T529" s="189">
        <v>45385</v>
      </c>
      <c r="U529" s="132"/>
      <c r="V529" s="188" t="s">
        <v>59</v>
      </c>
    </row>
    <row r="530" spans="1:22" ht="62.4" x14ac:dyDescent="0.3">
      <c r="A530" s="132">
        <v>524</v>
      </c>
      <c r="B530" s="188" t="s">
        <v>40</v>
      </c>
      <c r="C530" s="44" t="s">
        <v>41</v>
      </c>
      <c r="D530" s="132"/>
      <c r="E530" s="188" t="s">
        <v>373</v>
      </c>
      <c r="F530" s="44" t="s">
        <v>1125</v>
      </c>
      <c r="G530" s="188" t="s">
        <v>184</v>
      </c>
      <c r="H530" s="132">
        <v>56.332160000000002</v>
      </c>
      <c r="I530" s="132">
        <v>1</v>
      </c>
      <c r="J530" s="188">
        <v>56.332160000000002</v>
      </c>
      <c r="K530" s="188">
        <v>56.332160000000002</v>
      </c>
      <c r="L530" s="188">
        <v>1</v>
      </c>
      <c r="M530" s="188">
        <v>56.332160000000002</v>
      </c>
      <c r="N530" s="6" t="s">
        <v>1127</v>
      </c>
      <c r="O530" s="189">
        <v>45385</v>
      </c>
      <c r="P530" s="33" t="str">
        <f>HYPERLINK("https://my.zakupivli.pro/remote/dispatcher/state_purchase_view/50200087", "UA-2024-04-03-011525-a")</f>
        <v>UA-2024-04-03-011525-a</v>
      </c>
      <c r="Q530" s="188">
        <v>56.332160000000002</v>
      </c>
      <c r="R530" s="188">
        <v>1</v>
      </c>
      <c r="S530" s="188">
        <v>56.332160000000002</v>
      </c>
      <c r="T530" s="189">
        <v>45385</v>
      </c>
      <c r="U530" s="132"/>
      <c r="V530" s="188" t="s">
        <v>59</v>
      </c>
    </row>
    <row r="531" spans="1:22" ht="62.4" x14ac:dyDescent="0.3">
      <c r="A531" s="132">
        <v>525</v>
      </c>
      <c r="B531" s="188" t="s">
        <v>40</v>
      </c>
      <c r="C531" s="44" t="s">
        <v>41</v>
      </c>
      <c r="D531" s="132"/>
      <c r="E531" s="188" t="s">
        <v>373</v>
      </c>
      <c r="F531" s="44" t="s">
        <v>1124</v>
      </c>
      <c r="G531" s="188" t="s">
        <v>184</v>
      </c>
      <c r="H531" s="132">
        <v>282.14161999999999</v>
      </c>
      <c r="I531" s="132">
        <v>1</v>
      </c>
      <c r="J531" s="188">
        <v>282.14161999999999</v>
      </c>
      <c r="K531" s="188">
        <v>282.14161999999999</v>
      </c>
      <c r="L531" s="188">
        <v>1</v>
      </c>
      <c r="M531" s="188">
        <v>282.14161999999999</v>
      </c>
      <c r="N531" s="6" t="s">
        <v>1128</v>
      </c>
      <c r="O531" s="189">
        <v>45385</v>
      </c>
      <c r="P531" s="33" t="str">
        <f>HYPERLINK("https://my.zakupivli.pro/remote/dispatcher/state_purchase_view/50199730", "UA-2024-04-03-011369-a")</f>
        <v>UA-2024-04-03-011369-a</v>
      </c>
      <c r="Q531" s="188">
        <v>282.14161999999999</v>
      </c>
      <c r="R531" s="188">
        <v>1</v>
      </c>
      <c r="S531" s="188">
        <v>282.14161999999999</v>
      </c>
      <c r="T531" s="189">
        <v>45385</v>
      </c>
      <c r="U531" s="132"/>
      <c r="V531" s="188" t="s">
        <v>59</v>
      </c>
    </row>
    <row r="532" spans="1:22" ht="62.4" x14ac:dyDescent="0.3">
      <c r="A532" s="132">
        <v>526</v>
      </c>
      <c r="B532" s="188" t="s">
        <v>21</v>
      </c>
      <c r="C532" s="44" t="s">
        <v>517</v>
      </c>
      <c r="D532" s="132"/>
      <c r="E532" s="188" t="s">
        <v>75</v>
      </c>
      <c r="F532" s="44" t="s">
        <v>1129</v>
      </c>
      <c r="G532" s="132" t="s">
        <v>185</v>
      </c>
      <c r="H532" s="119">
        <v>5.79</v>
      </c>
      <c r="I532" s="132">
        <v>13</v>
      </c>
      <c r="J532" s="119">
        <v>75.27</v>
      </c>
      <c r="K532" s="119">
        <v>5.79</v>
      </c>
      <c r="L532" s="188">
        <v>13</v>
      </c>
      <c r="M532" s="119">
        <v>75.27</v>
      </c>
      <c r="N532" s="6" t="s">
        <v>1130</v>
      </c>
      <c r="O532" s="189">
        <v>45385</v>
      </c>
      <c r="P532" s="33" t="str">
        <f>HYPERLINK("https://my.zakupivli.pro/remote/dispatcher/state_purchase_view/50200587", "UA-2024-04-03-011788-a")</f>
        <v>UA-2024-04-03-011788-a</v>
      </c>
      <c r="Q532" s="119">
        <v>5.79</v>
      </c>
      <c r="R532" s="188">
        <v>13</v>
      </c>
      <c r="S532" s="119">
        <v>75.27</v>
      </c>
      <c r="T532" s="189">
        <v>45385</v>
      </c>
      <c r="U532" s="132"/>
      <c r="V532" s="188" t="s">
        <v>59</v>
      </c>
    </row>
    <row r="533" spans="1:22" ht="124.8" x14ac:dyDescent="0.3">
      <c r="A533" s="132">
        <v>527</v>
      </c>
      <c r="B533" s="192" t="s">
        <v>21</v>
      </c>
      <c r="C533" s="44" t="s">
        <v>175</v>
      </c>
      <c r="D533" s="132"/>
      <c r="E533" s="192" t="s">
        <v>75</v>
      </c>
      <c r="F533" s="44" t="s">
        <v>1131</v>
      </c>
      <c r="G533" s="132" t="s">
        <v>186</v>
      </c>
      <c r="H533" s="132"/>
      <c r="I533" s="132">
        <v>10</v>
      </c>
      <c r="J533" s="132">
        <v>208.57570000000001</v>
      </c>
      <c r="K533" s="132"/>
      <c r="L533" s="192">
        <v>10</v>
      </c>
      <c r="M533" s="192">
        <v>208.57570000000001</v>
      </c>
      <c r="N533" s="6" t="s">
        <v>1132</v>
      </c>
      <c r="O533" s="133">
        <v>45386</v>
      </c>
      <c r="P533" s="122" t="str">
        <f>HYPERLINK("https://my.zakupivli.pro/remote/dispatcher/state_purchase_view/50221480", "UA-2024-04-04-007798-a")</f>
        <v>UA-2024-04-04-007798-a</v>
      </c>
      <c r="Q533" s="132"/>
      <c r="R533" s="192">
        <v>10</v>
      </c>
      <c r="S533" s="192">
        <v>208.57570000000001</v>
      </c>
      <c r="T533" s="193">
        <v>45386</v>
      </c>
      <c r="U533" s="132"/>
      <c r="V533" s="192" t="s">
        <v>59</v>
      </c>
    </row>
    <row r="534" spans="1:22" ht="46.8" x14ac:dyDescent="0.3">
      <c r="A534" s="132">
        <v>528</v>
      </c>
      <c r="B534" s="194" t="s">
        <v>21</v>
      </c>
      <c r="C534" s="44" t="s">
        <v>1134</v>
      </c>
      <c r="D534" s="132"/>
      <c r="E534" s="194" t="s">
        <v>75</v>
      </c>
      <c r="F534" s="44" t="s">
        <v>1133</v>
      </c>
      <c r="G534" s="132" t="s">
        <v>185</v>
      </c>
      <c r="H534" s="132"/>
      <c r="I534" s="132">
        <v>53</v>
      </c>
      <c r="J534" s="132">
        <v>157.46275</v>
      </c>
      <c r="K534" s="132"/>
      <c r="L534" s="194">
        <v>53</v>
      </c>
      <c r="M534" s="194">
        <v>157.46275</v>
      </c>
      <c r="N534" s="6" t="s">
        <v>1135</v>
      </c>
      <c r="O534" s="133">
        <v>45386</v>
      </c>
      <c r="P534" s="42" t="str">
        <f>HYPERLINK("https://my.zakupivli.pro/remote/dispatcher/state_purchase_view/50227478", "UA-2024-04-04-010434-a")</f>
        <v>UA-2024-04-04-010434-a</v>
      </c>
      <c r="Q534" s="132"/>
      <c r="R534" s="132">
        <v>53</v>
      </c>
      <c r="S534" s="132">
        <v>136.929</v>
      </c>
      <c r="T534" s="133">
        <v>45406</v>
      </c>
      <c r="U534" s="132"/>
      <c r="V534" s="132"/>
    </row>
    <row r="535" spans="1:22" ht="62.4" x14ac:dyDescent="0.3">
      <c r="A535" s="132">
        <v>529</v>
      </c>
      <c r="B535" s="195" t="s">
        <v>21</v>
      </c>
      <c r="C535" s="44" t="s">
        <v>1137</v>
      </c>
      <c r="D535" s="132"/>
      <c r="E535" s="195" t="s">
        <v>75</v>
      </c>
      <c r="F535" s="44" t="s">
        <v>1136</v>
      </c>
      <c r="G535" s="132" t="s">
        <v>186</v>
      </c>
      <c r="H535" s="132"/>
      <c r="I535" s="132">
        <v>2</v>
      </c>
      <c r="J535" s="132">
        <v>83.304000000000002</v>
      </c>
      <c r="K535" s="132"/>
      <c r="L535" s="195">
        <v>2</v>
      </c>
      <c r="M535" s="195">
        <v>83.304000000000002</v>
      </c>
      <c r="N535" s="6" t="s">
        <v>1138</v>
      </c>
      <c r="O535" s="133">
        <v>45390</v>
      </c>
      <c r="P535" s="122" t="str">
        <f>HYPERLINK("https://my.zakupivli.pro/remote/dispatcher/state_purchase_view/50272627", "UA-2024-04-08-004905-a")</f>
        <v>UA-2024-04-08-004905-a</v>
      </c>
      <c r="Q535" s="132"/>
      <c r="R535" s="195">
        <v>2</v>
      </c>
      <c r="S535" s="195">
        <v>83.304000000000002</v>
      </c>
      <c r="T535" s="196">
        <v>45390</v>
      </c>
      <c r="U535" s="132"/>
      <c r="V535" s="195" t="s">
        <v>59</v>
      </c>
    </row>
    <row r="536" spans="1:22" ht="62.4" x14ac:dyDescent="0.3">
      <c r="A536" s="132">
        <v>530</v>
      </c>
      <c r="B536" s="197" t="s">
        <v>40</v>
      </c>
      <c r="C536" s="44" t="s">
        <v>542</v>
      </c>
      <c r="D536" s="132"/>
      <c r="E536" s="197" t="s">
        <v>75</v>
      </c>
      <c r="F536" s="44" t="s">
        <v>1139</v>
      </c>
      <c r="G536" s="132" t="s">
        <v>184</v>
      </c>
      <c r="H536" s="132">
        <v>161.09611000000001</v>
      </c>
      <c r="I536" s="132">
        <v>1</v>
      </c>
      <c r="J536" s="197">
        <v>161.09611000000001</v>
      </c>
      <c r="K536" s="197">
        <v>161.09611000000001</v>
      </c>
      <c r="L536" s="197">
        <v>1</v>
      </c>
      <c r="M536" s="197">
        <v>161.09611000000001</v>
      </c>
      <c r="N536" s="6" t="s">
        <v>1145</v>
      </c>
      <c r="O536" s="133">
        <v>45391</v>
      </c>
      <c r="P536" s="122" t="str">
        <f>HYPERLINK("https://my.zakupivli.pro/remote/dispatcher/state_purchase_view/50294092", "UA-2024-04-09-001535-a")</f>
        <v>UA-2024-04-09-001535-a</v>
      </c>
      <c r="Q536" s="197">
        <v>161.09611000000001</v>
      </c>
      <c r="R536" s="197">
        <v>1</v>
      </c>
      <c r="S536" s="197">
        <v>161.09611000000001</v>
      </c>
      <c r="T536" s="198">
        <v>45390</v>
      </c>
      <c r="U536" s="132"/>
      <c r="V536" s="197" t="s">
        <v>59</v>
      </c>
    </row>
    <row r="537" spans="1:22" ht="62.4" x14ac:dyDescent="0.3">
      <c r="A537" s="132">
        <v>531</v>
      </c>
      <c r="B537" s="197" t="s">
        <v>40</v>
      </c>
      <c r="C537" s="44" t="s">
        <v>542</v>
      </c>
      <c r="D537" s="132"/>
      <c r="E537" s="197" t="s">
        <v>75</v>
      </c>
      <c r="F537" s="44" t="s">
        <v>1140</v>
      </c>
      <c r="G537" s="132" t="s">
        <v>184</v>
      </c>
      <c r="H537" s="132">
        <v>172.53681</v>
      </c>
      <c r="I537" s="132">
        <v>1</v>
      </c>
      <c r="J537" s="197">
        <v>172.53681</v>
      </c>
      <c r="K537" s="197">
        <v>172.53681</v>
      </c>
      <c r="L537" s="197">
        <v>1</v>
      </c>
      <c r="M537" s="197">
        <v>172.53681</v>
      </c>
      <c r="N537" s="6" t="s">
        <v>1146</v>
      </c>
      <c r="O537" s="198">
        <v>45391</v>
      </c>
      <c r="P537" s="122" t="str">
        <f>HYPERLINK("https://my.zakupivli.pro/remote/dispatcher/state_purchase_view/50293396", "UA-2024-04-09-001245-a")</f>
        <v>UA-2024-04-09-001245-a</v>
      </c>
      <c r="Q537" s="197">
        <v>172.53681</v>
      </c>
      <c r="R537" s="197">
        <v>1</v>
      </c>
      <c r="S537" s="197">
        <v>172.53681</v>
      </c>
      <c r="T537" s="198">
        <v>45390</v>
      </c>
      <c r="U537" s="132"/>
      <c r="V537" s="197" t="s">
        <v>59</v>
      </c>
    </row>
    <row r="538" spans="1:22" ht="62.4" x14ac:dyDescent="0.3">
      <c r="A538" s="132">
        <v>532</v>
      </c>
      <c r="B538" s="197" t="s">
        <v>21</v>
      </c>
      <c r="C538" s="44" t="s">
        <v>1143</v>
      </c>
      <c r="D538" s="132"/>
      <c r="E538" s="197" t="s">
        <v>75</v>
      </c>
      <c r="F538" s="44" t="s">
        <v>1141</v>
      </c>
      <c r="G538" s="132" t="s">
        <v>186</v>
      </c>
      <c r="H538" s="132"/>
      <c r="I538" s="132">
        <v>3</v>
      </c>
      <c r="J538" s="132">
        <v>71.331670000000003</v>
      </c>
      <c r="K538" s="132"/>
      <c r="L538" s="197">
        <v>3</v>
      </c>
      <c r="M538" s="197">
        <v>71.331670000000003</v>
      </c>
      <c r="N538" s="6" t="s">
        <v>1147</v>
      </c>
      <c r="O538" s="198">
        <v>45391</v>
      </c>
      <c r="P538" s="122" t="str">
        <f>HYPERLINK("https://my.zakupivli.pro/remote/dispatcher/state_purchase_view/50291280", "UA-2024-04-09-000302-a")</f>
        <v>UA-2024-04-09-000302-a</v>
      </c>
      <c r="Q538" s="132"/>
      <c r="R538" s="197">
        <v>3</v>
      </c>
      <c r="S538" s="197">
        <v>71.331670000000003</v>
      </c>
      <c r="T538" s="198">
        <v>45390</v>
      </c>
      <c r="U538" s="132"/>
      <c r="V538" s="197" t="s">
        <v>59</v>
      </c>
    </row>
    <row r="539" spans="1:22" ht="62.4" x14ac:dyDescent="0.3">
      <c r="A539" s="132">
        <v>533</v>
      </c>
      <c r="B539" s="197" t="s">
        <v>21</v>
      </c>
      <c r="C539" s="44" t="s">
        <v>1144</v>
      </c>
      <c r="D539" s="132"/>
      <c r="E539" s="197" t="s">
        <v>75</v>
      </c>
      <c r="F539" s="44" t="s">
        <v>1142</v>
      </c>
      <c r="G539" s="132" t="s">
        <v>186</v>
      </c>
      <c r="H539" s="132"/>
      <c r="I539" s="132">
        <v>2</v>
      </c>
      <c r="J539" s="132">
        <v>69.768339999999995</v>
      </c>
      <c r="K539" s="132"/>
      <c r="L539" s="197">
        <v>2</v>
      </c>
      <c r="M539" s="197">
        <v>69.768339999999995</v>
      </c>
      <c r="N539" s="6" t="s">
        <v>1148</v>
      </c>
      <c r="O539" s="198">
        <v>45391</v>
      </c>
      <c r="P539" s="122" t="str">
        <f>HYPERLINK("https://my.zakupivli.pro/remote/dispatcher/state_purchase_view/50290774", "UA-2024-04-09-000106-a")</f>
        <v>UA-2024-04-09-000106-a</v>
      </c>
      <c r="Q539" s="132"/>
      <c r="R539" s="197">
        <v>2</v>
      </c>
      <c r="S539" s="197">
        <v>69.768339999999995</v>
      </c>
      <c r="T539" s="198">
        <v>45390</v>
      </c>
      <c r="U539" s="132"/>
      <c r="V539" s="197" t="s">
        <v>59</v>
      </c>
    </row>
    <row r="540" spans="1:22" ht="78" x14ac:dyDescent="0.3">
      <c r="A540" s="132">
        <v>534</v>
      </c>
      <c r="B540" s="132" t="s">
        <v>1151</v>
      </c>
      <c r="C540" s="44" t="s">
        <v>1153</v>
      </c>
      <c r="D540" s="132"/>
      <c r="E540" s="197" t="s">
        <v>75</v>
      </c>
      <c r="F540" s="44" t="s">
        <v>1149</v>
      </c>
      <c r="G540" s="132" t="s">
        <v>1150</v>
      </c>
      <c r="H540" s="119">
        <v>45.5</v>
      </c>
      <c r="I540" s="132">
        <v>1</v>
      </c>
      <c r="J540" s="119">
        <v>45.5</v>
      </c>
      <c r="K540" s="119">
        <v>45.5</v>
      </c>
      <c r="L540" s="197">
        <v>1</v>
      </c>
      <c r="M540" s="119">
        <v>45.5</v>
      </c>
      <c r="N540" s="6" t="s">
        <v>1152</v>
      </c>
      <c r="O540" s="133">
        <v>45391</v>
      </c>
      <c r="P540" s="33" t="str">
        <f>HYPERLINK("https://my.zakupivli.pro/remote/dispatcher/state_purchase_view/50317147", "UA-2024-04-09-011832-a")</f>
        <v>UA-2024-04-09-011832-a</v>
      </c>
      <c r="Q540" s="119">
        <v>45.5</v>
      </c>
      <c r="R540" s="197">
        <v>1</v>
      </c>
      <c r="S540" s="119">
        <v>45.5</v>
      </c>
      <c r="T540" s="198">
        <v>45391</v>
      </c>
      <c r="U540" s="132"/>
      <c r="V540" s="197" t="s">
        <v>59</v>
      </c>
    </row>
    <row r="541" spans="1:22" ht="46.8" x14ac:dyDescent="0.3">
      <c r="A541" s="132">
        <v>535</v>
      </c>
      <c r="B541" s="199" t="s">
        <v>21</v>
      </c>
      <c r="C541" s="44" t="s">
        <v>32</v>
      </c>
      <c r="D541" s="132"/>
      <c r="E541" s="199" t="s">
        <v>373</v>
      </c>
      <c r="F541" s="44" t="s">
        <v>1154</v>
      </c>
      <c r="G541" s="132" t="s">
        <v>186</v>
      </c>
      <c r="H541" s="132"/>
      <c r="I541" s="132">
        <v>16</v>
      </c>
      <c r="J541" s="199">
        <v>11816.075000000001</v>
      </c>
      <c r="K541" s="199"/>
      <c r="L541" s="199">
        <v>16</v>
      </c>
      <c r="M541" s="199">
        <v>11816.075000000001</v>
      </c>
      <c r="N541" s="6" t="s">
        <v>1157</v>
      </c>
      <c r="O541" s="133">
        <v>45392</v>
      </c>
      <c r="P541" s="33" t="str">
        <f>HYPERLINK("https://my.zakupivli.pro/remote/dispatcher/state_purchase_view/50343438", "UA-2024-04-10-010420-a")</f>
        <v>UA-2024-04-10-010420-a</v>
      </c>
      <c r="Q541" s="132"/>
      <c r="R541" s="132">
        <v>16</v>
      </c>
      <c r="S541" s="132">
        <v>11797.116</v>
      </c>
      <c r="T541" s="133"/>
      <c r="U541" s="132"/>
      <c r="V541" s="132"/>
    </row>
    <row r="542" spans="1:22" ht="62.4" x14ac:dyDescent="0.3">
      <c r="A542" s="132">
        <v>536</v>
      </c>
      <c r="B542" s="199" t="s">
        <v>21</v>
      </c>
      <c r="C542" s="44" t="s">
        <v>1156</v>
      </c>
      <c r="D542" s="132"/>
      <c r="E542" s="199" t="s">
        <v>75</v>
      </c>
      <c r="F542" s="44" t="s">
        <v>1155</v>
      </c>
      <c r="G542" s="132" t="s">
        <v>1159</v>
      </c>
      <c r="H542" s="132"/>
      <c r="I542" s="132">
        <v>750</v>
      </c>
      <c r="J542" s="132">
        <v>78.674999999999997</v>
      </c>
      <c r="K542" s="132"/>
      <c r="L542" s="199">
        <v>750</v>
      </c>
      <c r="M542" s="199">
        <v>78.674999999999997</v>
      </c>
      <c r="N542" s="6" t="s">
        <v>1158</v>
      </c>
      <c r="O542" s="200">
        <v>45392</v>
      </c>
      <c r="P542" s="33" t="str">
        <f>HYPERLINK("https://my.zakupivli.pro/remote/dispatcher/state_purchase_view/50326211", "UA-2024-04-10-002649-a")</f>
        <v>UA-2024-04-10-002649-a</v>
      </c>
      <c r="Q542" s="132"/>
      <c r="R542" s="199">
        <v>750</v>
      </c>
      <c r="S542" s="199">
        <v>78.674999999999997</v>
      </c>
      <c r="T542" s="200">
        <v>45392</v>
      </c>
      <c r="U542" s="132"/>
      <c r="V542" s="199" t="s">
        <v>59</v>
      </c>
    </row>
    <row r="543" spans="1:22" ht="62.4" x14ac:dyDescent="0.3">
      <c r="A543" s="132">
        <v>537</v>
      </c>
      <c r="B543" s="202" t="s">
        <v>40</v>
      </c>
      <c r="C543" s="44" t="s">
        <v>73</v>
      </c>
      <c r="D543" s="132"/>
      <c r="E543" s="202" t="s">
        <v>75</v>
      </c>
      <c r="F543" s="44" t="s">
        <v>1160</v>
      </c>
      <c r="G543" s="132" t="s">
        <v>184</v>
      </c>
      <c r="H543" s="132">
        <v>159.22534999999999</v>
      </c>
      <c r="I543" s="132">
        <v>1</v>
      </c>
      <c r="J543" s="202">
        <v>159.22534999999999</v>
      </c>
      <c r="K543" s="202">
        <v>159.22534999999999</v>
      </c>
      <c r="L543" s="202">
        <v>1</v>
      </c>
      <c r="M543" s="202">
        <v>159.22534999999999</v>
      </c>
      <c r="N543" s="6" t="s">
        <v>1161</v>
      </c>
      <c r="O543" s="133">
        <v>45393</v>
      </c>
      <c r="P543" s="33" t="str">
        <f>HYPERLINK("https://my.zakupivli.pro/remote/dispatcher/state_purchase_view/50369574", "UA-2024-04-11-009544-a")</f>
        <v>UA-2024-04-11-009544-a</v>
      </c>
      <c r="Q543" s="202">
        <v>159.22534999999999</v>
      </c>
      <c r="R543" s="202">
        <v>1</v>
      </c>
      <c r="S543" s="202">
        <v>159.22534999999999</v>
      </c>
      <c r="T543" s="201">
        <v>45393</v>
      </c>
      <c r="U543" s="132"/>
      <c r="V543" s="202" t="s">
        <v>59</v>
      </c>
    </row>
    <row r="544" spans="1:22" ht="62.4" x14ac:dyDescent="0.3">
      <c r="A544" s="132">
        <v>538</v>
      </c>
      <c r="B544" s="203" t="s">
        <v>21</v>
      </c>
      <c r="C544" s="41" t="s">
        <v>1070</v>
      </c>
      <c r="D544" s="132"/>
      <c r="E544" s="203" t="s">
        <v>75</v>
      </c>
      <c r="F544" s="44" t="s">
        <v>1068</v>
      </c>
      <c r="G544" s="205" t="s">
        <v>186</v>
      </c>
      <c r="H544" s="132"/>
      <c r="I544" s="132">
        <v>11</v>
      </c>
      <c r="J544" s="132">
        <v>83.200999999999993</v>
      </c>
      <c r="K544" s="132"/>
      <c r="L544" s="203">
        <v>11</v>
      </c>
      <c r="M544" s="203">
        <v>83.200999999999993</v>
      </c>
      <c r="N544" s="6" t="s">
        <v>1162</v>
      </c>
      <c r="O544" s="133"/>
      <c r="P544" s="33" t="str">
        <f>HYPERLINK("https://my.zakupivli.pro/remote/dispatcher/state_purchase_view/50398330", "UA-2024-04-12-009467-a")</f>
        <v>UA-2024-04-12-009467-a</v>
      </c>
      <c r="Q544" s="132"/>
      <c r="R544" s="203">
        <v>11</v>
      </c>
      <c r="S544" s="203">
        <v>83.200999999999993</v>
      </c>
      <c r="T544" s="133">
        <v>45394</v>
      </c>
      <c r="U544" s="132"/>
      <c r="V544" s="203" t="s">
        <v>59</v>
      </c>
    </row>
    <row r="545" spans="1:22" ht="62.4" x14ac:dyDescent="0.3">
      <c r="A545" s="132">
        <v>539</v>
      </c>
      <c r="B545" s="204" t="s">
        <v>21</v>
      </c>
      <c r="C545" s="44" t="s">
        <v>1164</v>
      </c>
      <c r="D545" s="132"/>
      <c r="E545" s="204" t="s">
        <v>75</v>
      </c>
      <c r="F545" s="208" t="s">
        <v>1163</v>
      </c>
      <c r="G545" s="132" t="s">
        <v>185</v>
      </c>
      <c r="H545" s="132"/>
      <c r="I545" s="132">
        <v>359</v>
      </c>
      <c r="J545" s="132">
        <v>42.864600000000003</v>
      </c>
      <c r="K545" s="132"/>
      <c r="L545" s="204">
        <v>359</v>
      </c>
      <c r="M545" s="204">
        <v>42.864600000000003</v>
      </c>
      <c r="N545" s="6" t="s">
        <v>1165</v>
      </c>
      <c r="O545" s="133">
        <v>45398</v>
      </c>
      <c r="P545" s="33" t="str">
        <f>HYPERLINK("https://my.zakupivli.pro/remote/dispatcher/state_purchase_view/50434062", "UA-2024-04-16-000092-a")</f>
        <v>UA-2024-04-16-000092-a</v>
      </c>
      <c r="Q545" s="132"/>
      <c r="R545" s="204">
        <v>359</v>
      </c>
      <c r="S545" s="204">
        <v>42.864600000000003</v>
      </c>
      <c r="T545" s="133">
        <v>45397</v>
      </c>
      <c r="U545" s="132"/>
      <c r="V545" s="204" t="s">
        <v>59</v>
      </c>
    </row>
    <row r="546" spans="1:22" ht="46.8" x14ac:dyDescent="0.3">
      <c r="A546" s="132">
        <v>540</v>
      </c>
      <c r="B546" s="206" t="s">
        <v>21</v>
      </c>
      <c r="C546" s="44" t="s">
        <v>1169</v>
      </c>
      <c r="D546" s="206" t="s">
        <v>58</v>
      </c>
      <c r="E546" s="206" t="s">
        <v>75</v>
      </c>
      <c r="F546" s="44" t="s">
        <v>1166</v>
      </c>
      <c r="G546" s="107" t="s">
        <v>186</v>
      </c>
      <c r="H546" s="132"/>
      <c r="I546" s="132">
        <v>4</v>
      </c>
      <c r="J546" s="119">
        <v>1298</v>
      </c>
      <c r="K546" s="132"/>
      <c r="L546" s="206">
        <v>4</v>
      </c>
      <c r="M546" s="119">
        <v>1298</v>
      </c>
      <c r="N546" s="6" t="s">
        <v>1170</v>
      </c>
      <c r="O546" s="133">
        <v>45400</v>
      </c>
      <c r="P546" s="33" t="str">
        <f>HYPERLINK("https://my.zakupivli.pro/remote/dispatcher/state_purchase_view/50523737", "UA-2024-04-18-012162-a")</f>
        <v>UA-2024-04-18-012162-a</v>
      </c>
      <c r="Q546" s="132"/>
      <c r="R546" s="132">
        <v>4</v>
      </c>
      <c r="S546" s="119">
        <v>1297</v>
      </c>
      <c r="T546" s="133">
        <v>45414</v>
      </c>
      <c r="U546" s="132"/>
      <c r="V546" s="132"/>
    </row>
    <row r="547" spans="1:22" ht="62.4" x14ac:dyDescent="0.3">
      <c r="A547" s="132">
        <v>541</v>
      </c>
      <c r="B547" s="206" t="s">
        <v>40</v>
      </c>
      <c r="C547" s="44" t="s">
        <v>885</v>
      </c>
      <c r="D547" s="132"/>
      <c r="E547" s="206" t="s">
        <v>373</v>
      </c>
      <c r="F547" s="44" t="s">
        <v>1167</v>
      </c>
      <c r="G547" s="107" t="s">
        <v>184</v>
      </c>
      <c r="H547" s="132">
        <v>254.27267000000001</v>
      </c>
      <c r="I547" s="132">
        <v>1</v>
      </c>
      <c r="J547" s="206">
        <v>254.27267000000001</v>
      </c>
      <c r="K547" s="206">
        <v>254.27267000000001</v>
      </c>
      <c r="L547" s="206">
        <v>1</v>
      </c>
      <c r="M547" s="206">
        <v>254.27267000000001</v>
      </c>
      <c r="N547" s="6" t="s">
        <v>1171</v>
      </c>
      <c r="O547" s="207">
        <v>45400</v>
      </c>
      <c r="P547" s="33" t="str">
        <f>HYPERLINK("https://my.zakupivli.pro/remote/dispatcher/state_purchase_view/50523214", "UA-2024-04-18-011880-a")</f>
        <v>UA-2024-04-18-011880-a</v>
      </c>
      <c r="Q547" s="206">
        <v>254.27267000000001</v>
      </c>
      <c r="R547" s="206">
        <v>1</v>
      </c>
      <c r="S547" s="206">
        <v>254.27267000000001</v>
      </c>
      <c r="T547" s="207">
        <v>45400</v>
      </c>
      <c r="U547" s="132"/>
      <c r="V547" s="206" t="s">
        <v>59</v>
      </c>
    </row>
    <row r="548" spans="1:22" ht="62.4" x14ac:dyDescent="0.3">
      <c r="A548" s="132">
        <v>542</v>
      </c>
      <c r="B548" s="206" t="s">
        <v>40</v>
      </c>
      <c r="C548" s="44" t="s">
        <v>41</v>
      </c>
      <c r="D548" s="132"/>
      <c r="E548" s="206" t="s">
        <v>75</v>
      </c>
      <c r="F548" s="44" t="s">
        <v>1168</v>
      </c>
      <c r="G548" s="107" t="s">
        <v>184</v>
      </c>
      <c r="H548" s="132">
        <v>639.673</v>
      </c>
      <c r="I548" s="132">
        <v>1</v>
      </c>
      <c r="J548" s="206">
        <v>639.673</v>
      </c>
      <c r="K548" s="206">
        <v>639.673</v>
      </c>
      <c r="L548" s="206">
        <v>1</v>
      </c>
      <c r="M548" s="206">
        <v>639.673</v>
      </c>
      <c r="N548" s="6" t="s">
        <v>1172</v>
      </c>
      <c r="O548" s="207">
        <v>45400</v>
      </c>
      <c r="P548" s="33" t="str">
        <f>HYPERLINK("https://my.zakupivli.pro/remote/dispatcher/state_purchase_view/50517136", "UA-2024-04-18-009207-a")</f>
        <v>UA-2024-04-18-009207-a</v>
      </c>
      <c r="Q548" s="206">
        <v>639.673</v>
      </c>
      <c r="R548" s="206">
        <v>1</v>
      </c>
      <c r="S548" s="206">
        <v>639.673</v>
      </c>
      <c r="T548" s="207">
        <v>45400</v>
      </c>
      <c r="U548" s="132"/>
      <c r="V548" s="206" t="s">
        <v>59</v>
      </c>
    </row>
    <row r="549" spans="1:22" ht="62.4" x14ac:dyDescent="0.3">
      <c r="A549" s="132">
        <v>543</v>
      </c>
      <c r="B549" s="209" t="s">
        <v>40</v>
      </c>
      <c r="C549" s="44" t="s">
        <v>41</v>
      </c>
      <c r="D549" s="132"/>
      <c r="E549" s="209" t="s">
        <v>373</v>
      </c>
      <c r="F549" s="44" t="s">
        <v>1174</v>
      </c>
      <c r="G549" s="107" t="s">
        <v>184</v>
      </c>
      <c r="H549" s="132">
        <v>463.27404000000001</v>
      </c>
      <c r="I549" s="132">
        <v>1</v>
      </c>
      <c r="J549" s="209">
        <v>463.27404000000001</v>
      </c>
      <c r="K549" s="209">
        <v>463.27404000000001</v>
      </c>
      <c r="L549" s="209">
        <v>1</v>
      </c>
      <c r="M549" s="209">
        <v>463.27404000000001</v>
      </c>
      <c r="N549" s="6" t="s">
        <v>1175</v>
      </c>
      <c r="O549" s="210">
        <v>45406</v>
      </c>
      <c r="P549" s="42" t="str">
        <f>HYPERLINK("https://my.zakupivli.pro/remote/dispatcher/state_purchase_view/50625843", "UA-2024-04-24-006858-a")</f>
        <v>UA-2024-04-24-006858-a</v>
      </c>
      <c r="Q549" s="209">
        <v>463.27404000000001</v>
      </c>
      <c r="R549" s="209">
        <v>1</v>
      </c>
      <c r="S549" s="209">
        <v>463.27404000000001</v>
      </c>
      <c r="T549" s="133">
        <v>45406</v>
      </c>
      <c r="U549" s="132"/>
      <c r="V549" s="209" t="s">
        <v>59</v>
      </c>
    </row>
    <row r="550" spans="1:22" ht="78" x14ac:dyDescent="0.3">
      <c r="A550" s="132">
        <v>544</v>
      </c>
      <c r="B550" s="211" t="s">
        <v>21</v>
      </c>
      <c r="C550" s="156" t="s">
        <v>1179</v>
      </c>
      <c r="D550" s="216" t="s">
        <v>58</v>
      </c>
      <c r="E550" s="211" t="s">
        <v>75</v>
      </c>
      <c r="F550" s="96" t="s">
        <v>1176</v>
      </c>
      <c r="G550" s="132" t="s">
        <v>185</v>
      </c>
      <c r="H550" s="132"/>
      <c r="I550" s="132">
        <v>2</v>
      </c>
      <c r="J550" s="119">
        <v>252.75</v>
      </c>
      <c r="K550" s="132"/>
      <c r="L550" s="211">
        <v>2</v>
      </c>
      <c r="M550" s="119">
        <v>252.75</v>
      </c>
      <c r="N550" s="6" t="s">
        <v>1177</v>
      </c>
      <c r="O550" s="133">
        <v>45407</v>
      </c>
      <c r="P550" s="213" t="s">
        <v>1178</v>
      </c>
      <c r="Q550" s="132"/>
      <c r="R550" s="132"/>
      <c r="S550" s="132"/>
      <c r="T550" s="133"/>
      <c r="U550" s="230" t="s">
        <v>93</v>
      </c>
      <c r="V550" s="132"/>
    </row>
    <row r="551" spans="1:22" ht="78" x14ac:dyDescent="0.3">
      <c r="A551" s="132">
        <v>545</v>
      </c>
      <c r="B551" s="212" t="s">
        <v>40</v>
      </c>
      <c r="C551" s="44" t="s">
        <v>885</v>
      </c>
      <c r="D551" s="132"/>
      <c r="E551" s="212" t="s">
        <v>373</v>
      </c>
      <c r="F551" s="44" t="s">
        <v>1180</v>
      </c>
      <c r="G551" s="107" t="s">
        <v>184</v>
      </c>
      <c r="H551" s="132">
        <v>116.39008</v>
      </c>
      <c r="I551" s="132">
        <v>1</v>
      </c>
      <c r="J551" s="212">
        <v>116.39008</v>
      </c>
      <c r="K551" s="212">
        <v>116.39008</v>
      </c>
      <c r="L551" s="212">
        <v>1</v>
      </c>
      <c r="M551" s="212">
        <v>116.39008</v>
      </c>
      <c r="N551" s="6" t="s">
        <v>1181</v>
      </c>
      <c r="O551" s="133">
        <v>45408</v>
      </c>
      <c r="P551" s="33" t="str">
        <f>HYPERLINK("https://my.zakupivli.pro/remote/dispatcher/state_purchase_view/50678782", "UA-2024-04-26-001577-a")</f>
        <v>UA-2024-04-26-001577-a</v>
      </c>
      <c r="Q551" s="212">
        <v>116.39008</v>
      </c>
      <c r="R551" s="212">
        <v>1</v>
      </c>
      <c r="S551" s="212">
        <v>116.39008</v>
      </c>
      <c r="T551" s="133">
        <v>45407</v>
      </c>
      <c r="U551" s="132"/>
      <c r="V551" s="212" t="s">
        <v>59</v>
      </c>
    </row>
    <row r="552" spans="1:22" ht="62.4" x14ac:dyDescent="0.3">
      <c r="A552" s="132">
        <v>546</v>
      </c>
      <c r="B552" s="214" t="s">
        <v>40</v>
      </c>
      <c r="C552" s="44" t="s">
        <v>73</v>
      </c>
      <c r="D552" s="132"/>
      <c r="E552" s="214" t="s">
        <v>75</v>
      </c>
      <c r="F552" s="44" t="s">
        <v>1182</v>
      </c>
      <c r="G552" s="107" t="s">
        <v>184</v>
      </c>
      <c r="H552" s="132">
        <v>57.985419999999998</v>
      </c>
      <c r="I552" s="214">
        <v>1</v>
      </c>
      <c r="J552" s="214">
        <v>57.985419999999998</v>
      </c>
      <c r="K552" s="214">
        <v>57.985419999999998</v>
      </c>
      <c r="L552" s="214">
        <v>1</v>
      </c>
      <c r="M552" s="214">
        <v>57.985419999999998</v>
      </c>
      <c r="N552" s="6" t="s">
        <v>1185</v>
      </c>
      <c r="O552" s="133">
        <v>45412</v>
      </c>
      <c r="P552" s="33" t="str">
        <f>HYPERLINK("https://my.zakupivli.pro/remote/dispatcher/state_purchase_view/50748827", "UA-2024-04-30-008406-a")</f>
        <v>UA-2024-04-30-008406-a</v>
      </c>
      <c r="Q552" s="214">
        <v>57.985419999999998</v>
      </c>
      <c r="R552" s="214">
        <v>1</v>
      </c>
      <c r="S552" s="214">
        <v>57.985419999999998</v>
      </c>
      <c r="T552" s="215">
        <v>45412</v>
      </c>
      <c r="U552" s="132"/>
      <c r="V552" s="214" t="s">
        <v>59</v>
      </c>
    </row>
    <row r="553" spans="1:22" ht="62.4" x14ac:dyDescent="0.3">
      <c r="A553" s="132">
        <v>547</v>
      </c>
      <c r="B553" s="214" t="s">
        <v>40</v>
      </c>
      <c r="C553" s="44" t="s">
        <v>41</v>
      </c>
      <c r="D553" s="132"/>
      <c r="E553" s="214" t="s">
        <v>373</v>
      </c>
      <c r="F553" s="44" t="s">
        <v>1183</v>
      </c>
      <c r="G553" s="107" t="s">
        <v>184</v>
      </c>
      <c r="H553" s="214">
        <v>200.37389999999999</v>
      </c>
      <c r="I553" s="214">
        <v>1</v>
      </c>
      <c r="J553" s="132">
        <v>200.37389999999999</v>
      </c>
      <c r="K553" s="214">
        <v>200.37389999999999</v>
      </c>
      <c r="L553" s="214">
        <v>1</v>
      </c>
      <c r="M553" s="214">
        <v>200.37389999999999</v>
      </c>
      <c r="N553" s="6" t="s">
        <v>1186</v>
      </c>
      <c r="O553" s="215">
        <v>45412</v>
      </c>
      <c r="P553" s="33" t="str">
        <f>HYPERLINK("https://my.zakupivli.pro/remote/dispatcher/state_purchase_view/50747345", "UA-2024-04-30-007763-a")</f>
        <v>UA-2024-04-30-007763-a</v>
      </c>
      <c r="Q553" s="214">
        <v>200.37389999999999</v>
      </c>
      <c r="R553" s="214">
        <v>1</v>
      </c>
      <c r="S553" s="214">
        <v>200.37389999999999</v>
      </c>
      <c r="T553" s="215">
        <v>45412</v>
      </c>
      <c r="U553" s="132"/>
      <c r="V553" s="214" t="s">
        <v>59</v>
      </c>
    </row>
    <row r="554" spans="1:22" ht="62.4" x14ac:dyDescent="0.3">
      <c r="A554" s="132">
        <v>548</v>
      </c>
      <c r="B554" s="214" t="s">
        <v>40</v>
      </c>
      <c r="C554" s="44" t="s">
        <v>885</v>
      </c>
      <c r="D554" s="132"/>
      <c r="E554" s="214" t="s">
        <v>373</v>
      </c>
      <c r="F554" s="44" t="s">
        <v>1184</v>
      </c>
      <c r="G554" s="107" t="s">
        <v>184</v>
      </c>
      <c r="H554" s="132">
        <v>304.02249999999998</v>
      </c>
      <c r="I554" s="214">
        <v>1</v>
      </c>
      <c r="J554" s="214">
        <v>304.02249999999998</v>
      </c>
      <c r="K554" s="214">
        <v>304.02249999999998</v>
      </c>
      <c r="L554" s="214">
        <v>1</v>
      </c>
      <c r="M554" s="214">
        <v>304.02249999999998</v>
      </c>
      <c r="N554" s="6" t="s">
        <v>1187</v>
      </c>
      <c r="O554" s="215">
        <v>45412</v>
      </c>
      <c r="P554" s="33" t="str">
        <f>HYPERLINK("https://my.zakupivli.pro/remote/dispatcher/state_purchase_view/50747236", "UA-2024-04-30-007691-a")</f>
        <v>UA-2024-04-30-007691-a</v>
      </c>
      <c r="Q554" s="214">
        <v>304.02249999999998</v>
      </c>
      <c r="R554" s="214">
        <v>1</v>
      </c>
      <c r="S554" s="214">
        <v>304.02249999999998</v>
      </c>
      <c r="T554" s="215">
        <v>45412</v>
      </c>
      <c r="U554" s="132"/>
      <c r="V554" s="214" t="s">
        <v>59</v>
      </c>
    </row>
    <row r="555" spans="1:22" ht="62.4" x14ac:dyDescent="0.3">
      <c r="A555" s="132">
        <v>549</v>
      </c>
      <c r="B555" s="216" t="s">
        <v>21</v>
      </c>
      <c r="C555" s="44" t="s">
        <v>413</v>
      </c>
      <c r="D555" s="132"/>
      <c r="E555" s="216" t="s">
        <v>75</v>
      </c>
      <c r="F555" s="44" t="s">
        <v>1188</v>
      </c>
      <c r="G555" s="132" t="s">
        <v>185</v>
      </c>
      <c r="H555" s="119">
        <v>64.5</v>
      </c>
      <c r="I555" s="132">
        <v>1</v>
      </c>
      <c r="J555" s="119">
        <v>64.5</v>
      </c>
      <c r="K555" s="119">
        <v>64.5</v>
      </c>
      <c r="L555" s="216">
        <v>1</v>
      </c>
      <c r="M555" s="119">
        <v>64.5</v>
      </c>
      <c r="N555" s="6" t="s">
        <v>1189</v>
      </c>
      <c r="O555" s="133">
        <v>45418</v>
      </c>
      <c r="P555" s="33" t="str">
        <f>HYPERLINK("https://my.zakupivli.pro/remote/dispatcher/state_purchase_view/50828435", "UA-2024-05-06-000775-a")</f>
        <v>UA-2024-05-06-000775-a</v>
      </c>
      <c r="Q555" s="119">
        <v>64.5</v>
      </c>
      <c r="R555" s="216">
        <v>1</v>
      </c>
      <c r="S555" s="119">
        <v>64.5</v>
      </c>
      <c r="T555" s="133">
        <v>45418</v>
      </c>
      <c r="U555" s="132"/>
      <c r="V555" s="216" t="s">
        <v>59</v>
      </c>
    </row>
    <row r="556" spans="1:22" ht="62.4" x14ac:dyDescent="0.3">
      <c r="A556" s="132">
        <v>550</v>
      </c>
      <c r="B556" s="217" t="s">
        <v>40</v>
      </c>
      <c r="C556" s="44" t="s">
        <v>885</v>
      </c>
      <c r="D556" s="132"/>
      <c r="E556" s="217" t="s">
        <v>373</v>
      </c>
      <c r="F556" s="44" t="s">
        <v>1190</v>
      </c>
      <c r="G556" s="107" t="s">
        <v>184</v>
      </c>
      <c r="H556" s="132">
        <v>301.01701000000003</v>
      </c>
      <c r="I556" s="132">
        <v>1</v>
      </c>
      <c r="J556" s="217">
        <v>301.01701000000003</v>
      </c>
      <c r="K556" s="217">
        <v>301.01701000000003</v>
      </c>
      <c r="L556" s="217">
        <v>1</v>
      </c>
      <c r="M556" s="217">
        <v>301.01701000000003</v>
      </c>
      <c r="N556" s="6" t="s">
        <v>1191</v>
      </c>
      <c r="O556" s="218">
        <v>45418</v>
      </c>
      <c r="P556" s="33" t="str">
        <f>HYPERLINK("https://my.zakupivli.pro/remote/dispatcher/state_purchase_view/50840153", "UA-2024-05-06-005957-a")</f>
        <v>UA-2024-05-06-005957-a</v>
      </c>
      <c r="Q556" s="217">
        <v>301.01701000000003</v>
      </c>
      <c r="R556" s="217">
        <v>1</v>
      </c>
      <c r="S556" s="217">
        <v>301.01701000000003</v>
      </c>
      <c r="T556" s="218">
        <v>45418</v>
      </c>
      <c r="U556" s="132"/>
      <c r="V556" s="217" t="s">
        <v>59</v>
      </c>
    </row>
    <row r="557" spans="1:22" ht="62.4" x14ac:dyDescent="0.3">
      <c r="A557" s="132">
        <v>551</v>
      </c>
      <c r="B557" s="220" t="s">
        <v>40</v>
      </c>
      <c r="C557" s="44" t="s">
        <v>73</v>
      </c>
      <c r="D557" s="132"/>
      <c r="E557" s="220" t="s">
        <v>75</v>
      </c>
      <c r="F557" s="44" t="s">
        <v>1192</v>
      </c>
      <c r="G557" s="107" t="s">
        <v>184</v>
      </c>
      <c r="H557" s="132">
        <v>1249.1666700000001</v>
      </c>
      <c r="I557" s="220">
        <v>1</v>
      </c>
      <c r="J557" s="220">
        <v>1249.1666700000001</v>
      </c>
      <c r="K557" s="220">
        <v>1249.1666700000001</v>
      </c>
      <c r="L557" s="220">
        <v>1</v>
      </c>
      <c r="M557" s="220">
        <v>1249.1666700000001</v>
      </c>
      <c r="N557" s="6" t="s">
        <v>1194</v>
      </c>
      <c r="O557" s="219">
        <v>45419</v>
      </c>
      <c r="P557" s="33" t="str">
        <f>HYPERLINK("https://my.zakupivli.pro/remote/dispatcher/state_purchase_view/50870545", "UA-2024-05-08-001172-a")</f>
        <v>UA-2024-05-08-001172-a</v>
      </c>
      <c r="Q557" s="220">
        <v>1249.1666700000001</v>
      </c>
      <c r="R557" s="220">
        <v>1</v>
      </c>
      <c r="S557" s="220">
        <v>1249.1666700000001</v>
      </c>
      <c r="T557" s="133">
        <v>45420</v>
      </c>
      <c r="U557" s="132"/>
      <c r="V557" s="220" t="s">
        <v>59</v>
      </c>
    </row>
    <row r="558" spans="1:22" ht="62.4" x14ac:dyDescent="0.3">
      <c r="A558" s="132">
        <v>552</v>
      </c>
      <c r="B558" s="220" t="s">
        <v>40</v>
      </c>
      <c r="C558" s="44" t="s">
        <v>73</v>
      </c>
      <c r="D558" s="132"/>
      <c r="E558" s="220" t="s">
        <v>75</v>
      </c>
      <c r="F558" s="44" t="s">
        <v>1193</v>
      </c>
      <c r="G558" s="107" t="s">
        <v>184</v>
      </c>
      <c r="H558" s="220">
        <v>1249.1666700000001</v>
      </c>
      <c r="I558" s="220">
        <v>1</v>
      </c>
      <c r="J558" s="220">
        <v>1249.1666700000001</v>
      </c>
      <c r="K558" s="220">
        <v>1249.1666700000001</v>
      </c>
      <c r="L558" s="220">
        <v>1</v>
      </c>
      <c r="M558" s="220">
        <v>1249.1666700000001</v>
      </c>
      <c r="N558" s="6" t="s">
        <v>1195</v>
      </c>
      <c r="O558" s="219">
        <v>45419</v>
      </c>
      <c r="P558" s="33" t="str">
        <f>HYPERLINK("https://my.zakupivli.pro/remote/dispatcher/state_purchase_view/50869659", "UA-2024-05-08-000784-a")</f>
        <v>UA-2024-05-08-000784-a</v>
      </c>
      <c r="Q558" s="220">
        <v>1249.1666700000001</v>
      </c>
      <c r="R558" s="220">
        <v>1</v>
      </c>
      <c r="S558" s="220">
        <v>1249.1666700000001</v>
      </c>
      <c r="T558" s="219">
        <v>45420</v>
      </c>
      <c r="U558" s="132"/>
      <c r="V558" s="220" t="s">
        <v>59</v>
      </c>
    </row>
    <row r="559" spans="1:22" ht="62.4" x14ac:dyDescent="0.3">
      <c r="A559" s="132">
        <v>553</v>
      </c>
      <c r="B559" s="221" t="s">
        <v>21</v>
      </c>
      <c r="C559" s="44" t="s">
        <v>895</v>
      </c>
      <c r="D559" s="132"/>
      <c r="E559" s="221" t="s">
        <v>75</v>
      </c>
      <c r="F559" s="225" t="s">
        <v>1002</v>
      </c>
      <c r="G559" s="132" t="s">
        <v>185</v>
      </c>
      <c r="H559" s="132">
        <v>17.148</v>
      </c>
      <c r="I559" s="132">
        <v>5</v>
      </c>
      <c r="J559" s="119">
        <v>85.74</v>
      </c>
      <c r="K559" s="221">
        <v>17.148</v>
      </c>
      <c r="L559" s="221">
        <v>5</v>
      </c>
      <c r="M559" s="119">
        <v>85.74</v>
      </c>
      <c r="N559" s="6" t="s">
        <v>1198</v>
      </c>
      <c r="O559" s="133">
        <v>45421</v>
      </c>
      <c r="P559" s="33" t="str">
        <f>HYPERLINK("https://my.zakupivli.pro/remote/dispatcher/state_purchase_view/50900302", "UA-2024-05-09-002161-a")</f>
        <v>UA-2024-05-09-002161-a</v>
      </c>
      <c r="Q559" s="221">
        <v>17.148</v>
      </c>
      <c r="R559" s="221">
        <v>5</v>
      </c>
      <c r="S559" s="119">
        <v>85.74</v>
      </c>
      <c r="T559" s="222">
        <v>45421</v>
      </c>
      <c r="U559" s="132"/>
      <c r="V559" s="221" t="s">
        <v>59</v>
      </c>
    </row>
    <row r="560" spans="1:22" ht="62.4" x14ac:dyDescent="0.3">
      <c r="A560" s="132">
        <v>554</v>
      </c>
      <c r="B560" s="221" t="s">
        <v>21</v>
      </c>
      <c r="C560" s="44" t="s">
        <v>1197</v>
      </c>
      <c r="D560" s="132"/>
      <c r="E560" s="221" t="s">
        <v>75</v>
      </c>
      <c r="F560" s="225" t="s">
        <v>1196</v>
      </c>
      <c r="G560" s="132" t="s">
        <v>186</v>
      </c>
      <c r="H560" s="132"/>
      <c r="I560" s="132">
        <v>3</v>
      </c>
      <c r="J560" s="132">
        <v>55.734999999999999</v>
      </c>
      <c r="K560" s="132"/>
      <c r="L560" s="221">
        <v>3</v>
      </c>
      <c r="M560" s="221">
        <v>55.734999999999999</v>
      </c>
      <c r="N560" s="6" t="s">
        <v>1199</v>
      </c>
      <c r="O560" s="222">
        <v>45421</v>
      </c>
      <c r="P560" s="33" t="str">
        <f>HYPERLINK("https://my.zakupivli.pro/remote/dispatcher/state_purchase_view/50899716", "UA-2024-05-09-001892-a")</f>
        <v>UA-2024-05-09-001892-a</v>
      </c>
      <c r="Q560" s="132"/>
      <c r="R560" s="221">
        <v>3</v>
      </c>
      <c r="S560" s="221">
        <v>55.734999999999999</v>
      </c>
      <c r="T560" s="222">
        <v>45421</v>
      </c>
      <c r="U560" s="132"/>
      <c r="V560" s="221" t="s">
        <v>59</v>
      </c>
    </row>
    <row r="561" spans="1:22" ht="46.8" x14ac:dyDescent="0.3">
      <c r="A561" s="132">
        <v>555</v>
      </c>
      <c r="B561" s="223" t="s">
        <v>21</v>
      </c>
      <c r="C561" s="44" t="s">
        <v>32</v>
      </c>
      <c r="D561" s="223" t="s">
        <v>58</v>
      </c>
      <c r="E561" s="223" t="s">
        <v>75</v>
      </c>
      <c r="F561" s="44" t="s">
        <v>1154</v>
      </c>
      <c r="G561" s="132" t="s">
        <v>185</v>
      </c>
      <c r="H561" s="132"/>
      <c r="I561" s="132">
        <v>3</v>
      </c>
      <c r="J561" s="132">
        <v>423.58332999999999</v>
      </c>
      <c r="K561" s="132"/>
      <c r="L561" s="223">
        <v>3</v>
      </c>
      <c r="M561" s="223">
        <v>423.58332999999999</v>
      </c>
      <c r="N561" s="6" t="s">
        <v>1204</v>
      </c>
      <c r="O561" s="133">
        <v>45422</v>
      </c>
      <c r="P561" s="33" t="str">
        <f>HYPERLINK("https://my.zakupivli.pro/remote/dispatcher/state_purchase_view/50942400", "UA-2024-05-10-008517-a")</f>
        <v>UA-2024-05-10-008517-a</v>
      </c>
      <c r="Q561" s="132"/>
      <c r="R561" s="132">
        <v>3</v>
      </c>
      <c r="S561" s="119">
        <v>412.5</v>
      </c>
      <c r="T561" s="133">
        <v>45441</v>
      </c>
      <c r="U561" s="132"/>
      <c r="V561" s="132"/>
    </row>
    <row r="562" spans="1:22" ht="62.4" x14ac:dyDescent="0.3">
      <c r="A562" s="132">
        <v>556</v>
      </c>
      <c r="B562" s="223" t="s">
        <v>40</v>
      </c>
      <c r="C562" s="44" t="s">
        <v>542</v>
      </c>
      <c r="D562" s="132"/>
      <c r="E562" s="223" t="s">
        <v>75</v>
      </c>
      <c r="F562" s="44" t="s">
        <v>1200</v>
      </c>
      <c r="G562" s="107" t="s">
        <v>184</v>
      </c>
      <c r="H562" s="132">
        <v>341.57116000000002</v>
      </c>
      <c r="I562" s="132">
        <v>1</v>
      </c>
      <c r="J562" s="223">
        <v>341.57116000000002</v>
      </c>
      <c r="K562" s="223">
        <v>341.57116000000002</v>
      </c>
      <c r="L562" s="223">
        <v>1</v>
      </c>
      <c r="M562" s="223">
        <v>341.57116000000002</v>
      </c>
      <c r="N562" s="6" t="s">
        <v>1205</v>
      </c>
      <c r="O562" s="224">
        <v>45422</v>
      </c>
      <c r="P562" s="33" t="str">
        <f>HYPERLINK("https://my.zakupivli.pro/remote/dispatcher/state_purchase_view/50941461", "UA-2024-05-10-008137-a")</f>
        <v>UA-2024-05-10-008137-a</v>
      </c>
      <c r="Q562" s="223">
        <v>341.57116000000002</v>
      </c>
      <c r="R562" s="223">
        <v>1</v>
      </c>
      <c r="S562" s="223">
        <v>341.57116000000002</v>
      </c>
      <c r="T562" s="224">
        <v>45422</v>
      </c>
      <c r="U562" s="132"/>
      <c r="V562" s="226" t="s">
        <v>59</v>
      </c>
    </row>
    <row r="563" spans="1:22" ht="62.4" x14ac:dyDescent="0.3">
      <c r="A563" s="132">
        <v>557</v>
      </c>
      <c r="B563" s="223" t="s">
        <v>40</v>
      </c>
      <c r="C563" s="44" t="s">
        <v>542</v>
      </c>
      <c r="D563" s="132"/>
      <c r="E563" s="226" t="s">
        <v>75</v>
      </c>
      <c r="F563" s="44" t="s">
        <v>1201</v>
      </c>
      <c r="G563" s="107" t="s">
        <v>184</v>
      </c>
      <c r="H563" s="132">
        <v>339.34339999999997</v>
      </c>
      <c r="I563" s="223">
        <v>1</v>
      </c>
      <c r="J563" s="223">
        <v>339.34339999999997</v>
      </c>
      <c r="K563" s="223">
        <v>339.34339999999997</v>
      </c>
      <c r="L563" s="223">
        <v>1</v>
      </c>
      <c r="M563" s="223">
        <v>339.34339999999997</v>
      </c>
      <c r="N563" s="6" t="s">
        <v>1206</v>
      </c>
      <c r="O563" s="224">
        <v>45422</v>
      </c>
      <c r="P563" s="33" t="str">
        <f>HYPERLINK("https://my.zakupivli.pro/remote/dispatcher/state_purchase_view/50941180", "UA-2024-05-10-007968-a")</f>
        <v>UA-2024-05-10-007968-a</v>
      </c>
      <c r="Q563" s="223">
        <v>339.34339999999997</v>
      </c>
      <c r="R563" s="223">
        <v>1</v>
      </c>
      <c r="S563" s="223">
        <v>339.34339999999997</v>
      </c>
      <c r="T563" s="224">
        <v>45422</v>
      </c>
      <c r="U563" s="132"/>
      <c r="V563" s="226" t="s">
        <v>59</v>
      </c>
    </row>
    <row r="564" spans="1:22" ht="62.4" x14ac:dyDescent="0.3">
      <c r="A564" s="132">
        <v>558</v>
      </c>
      <c r="B564" s="223" t="s">
        <v>40</v>
      </c>
      <c r="C564" s="44" t="s">
        <v>41</v>
      </c>
      <c r="D564" s="132"/>
      <c r="E564" s="223" t="s">
        <v>373</v>
      </c>
      <c r="F564" s="44" t="s">
        <v>1202</v>
      </c>
      <c r="G564" s="107" t="s">
        <v>184</v>
      </c>
      <c r="H564" s="132">
        <v>494.47917000000001</v>
      </c>
      <c r="I564" s="223">
        <v>1</v>
      </c>
      <c r="J564" s="223">
        <v>494.47917000000001</v>
      </c>
      <c r="K564" s="223">
        <v>494.47917000000001</v>
      </c>
      <c r="L564" s="223">
        <v>1</v>
      </c>
      <c r="M564" s="223">
        <v>494.47917000000001</v>
      </c>
      <c r="N564" s="6" t="s">
        <v>1207</v>
      </c>
      <c r="O564" s="224">
        <v>45422</v>
      </c>
      <c r="P564" s="33" t="str">
        <f>HYPERLINK("https://my.zakupivli.pro/remote/dispatcher/state_purchase_view/50934484", "UA-2024-05-10-004917-a")</f>
        <v>UA-2024-05-10-004917-a</v>
      </c>
      <c r="Q564" s="223">
        <v>494.47917000000001</v>
      </c>
      <c r="R564" s="223">
        <v>1</v>
      </c>
      <c r="S564" s="223">
        <v>494.47917000000001</v>
      </c>
      <c r="T564" s="224">
        <v>45421</v>
      </c>
      <c r="U564" s="132"/>
      <c r="V564" s="226" t="s">
        <v>59</v>
      </c>
    </row>
    <row r="565" spans="1:22" ht="78" x14ac:dyDescent="0.3">
      <c r="A565" s="132">
        <v>559</v>
      </c>
      <c r="B565" s="223" t="s">
        <v>40</v>
      </c>
      <c r="C565" s="44" t="s">
        <v>885</v>
      </c>
      <c r="D565" s="132"/>
      <c r="E565" s="223" t="s">
        <v>373</v>
      </c>
      <c r="F565" s="44" t="s">
        <v>1203</v>
      </c>
      <c r="G565" s="107" t="s">
        <v>184</v>
      </c>
      <c r="H565" s="132">
        <v>298.51423</v>
      </c>
      <c r="I565" s="223">
        <v>1</v>
      </c>
      <c r="J565" s="223">
        <v>298.51423</v>
      </c>
      <c r="K565" s="223">
        <v>298.51423</v>
      </c>
      <c r="L565" s="223">
        <v>1</v>
      </c>
      <c r="M565" s="223">
        <v>298.51423</v>
      </c>
      <c r="N565" s="6" t="s">
        <v>1208</v>
      </c>
      <c r="O565" s="224">
        <v>45422</v>
      </c>
      <c r="P565" s="33" t="str">
        <f>HYPERLINK("https://my.zakupivli.pro/remote/dispatcher/state_purchase_view/50933225", "UA-2024-05-10-004381-a")</f>
        <v>UA-2024-05-10-004381-a</v>
      </c>
      <c r="Q565" s="223">
        <v>298.51423</v>
      </c>
      <c r="R565" s="223">
        <v>1</v>
      </c>
      <c r="S565" s="223">
        <v>298.51423</v>
      </c>
      <c r="T565" s="133">
        <v>45421</v>
      </c>
      <c r="U565" s="132"/>
      <c r="V565" s="226" t="s">
        <v>59</v>
      </c>
    </row>
    <row r="566" spans="1:22" ht="62.4" x14ac:dyDescent="0.3">
      <c r="A566" s="132">
        <v>560</v>
      </c>
      <c r="B566" s="226" t="s">
        <v>21</v>
      </c>
      <c r="C566" s="41" t="s">
        <v>1210</v>
      </c>
      <c r="D566" s="132"/>
      <c r="E566" s="223" t="s">
        <v>75</v>
      </c>
      <c r="F566" s="225" t="s">
        <v>1209</v>
      </c>
      <c r="G566" s="132" t="s">
        <v>185</v>
      </c>
      <c r="H566" s="132">
        <v>35.540799999999997</v>
      </c>
      <c r="I566" s="132">
        <v>2</v>
      </c>
      <c r="J566" s="132">
        <v>71.081599999999995</v>
      </c>
      <c r="K566" s="226">
        <v>35.540799999999997</v>
      </c>
      <c r="L566" s="226">
        <v>2</v>
      </c>
      <c r="M566" s="226">
        <v>71.081599999999995</v>
      </c>
      <c r="N566" s="6" t="s">
        <v>1211</v>
      </c>
      <c r="O566" s="133">
        <v>45425</v>
      </c>
      <c r="P566" s="33" t="str">
        <f>HYPERLINK("https://my.zakupivli.pro/remote/dispatcher/state_purchase_view/50949996", "UA-2024-05-13-000046-a")</f>
        <v>UA-2024-05-13-000046-a</v>
      </c>
      <c r="Q566" s="226">
        <v>35.540799999999997</v>
      </c>
      <c r="R566" s="226">
        <v>2</v>
      </c>
      <c r="S566" s="226">
        <v>71.081599999999995</v>
      </c>
      <c r="T566" s="227">
        <v>45425</v>
      </c>
      <c r="U566" s="132"/>
      <c r="V566" s="226" t="s">
        <v>59</v>
      </c>
    </row>
    <row r="567" spans="1:22" ht="62.4" x14ac:dyDescent="0.3">
      <c r="A567" s="132">
        <v>561</v>
      </c>
      <c r="B567" s="228" t="s">
        <v>21</v>
      </c>
      <c r="C567" s="44" t="s">
        <v>1144</v>
      </c>
      <c r="D567" s="132"/>
      <c r="E567" s="228" t="s">
        <v>75</v>
      </c>
      <c r="F567" s="225" t="s">
        <v>1142</v>
      </c>
      <c r="G567" s="132" t="s">
        <v>186</v>
      </c>
      <c r="H567" s="132"/>
      <c r="I567" s="132">
        <v>3</v>
      </c>
      <c r="J567" s="132">
        <v>83.328999999999994</v>
      </c>
      <c r="K567" s="132"/>
      <c r="L567" s="228">
        <v>3</v>
      </c>
      <c r="M567" s="228">
        <v>83.328999999999994</v>
      </c>
      <c r="N567" s="6" t="s">
        <v>1212</v>
      </c>
      <c r="O567" s="133">
        <v>45426</v>
      </c>
      <c r="P567" s="33" t="str">
        <f>HYPERLINK("https://my.zakupivli.pro/remote/dispatcher/state_purchase_view/50999556", "UA-2024-05-14-010620-a")</f>
        <v>UA-2024-05-14-010620-a</v>
      </c>
      <c r="Q567" s="132"/>
      <c r="R567" s="228">
        <v>3</v>
      </c>
      <c r="S567" s="228">
        <v>83.328999999999994</v>
      </c>
      <c r="T567" s="229">
        <v>45426</v>
      </c>
      <c r="U567" s="132"/>
      <c r="V567" s="228" t="s">
        <v>59</v>
      </c>
    </row>
    <row r="568" spans="1:22" ht="46.8" x14ac:dyDescent="0.3">
      <c r="A568" s="132">
        <v>562</v>
      </c>
      <c r="B568" s="230" t="s">
        <v>21</v>
      </c>
      <c r="C568" s="41" t="s">
        <v>171</v>
      </c>
      <c r="D568" s="250" t="s">
        <v>58</v>
      </c>
      <c r="E568" s="230" t="s">
        <v>75</v>
      </c>
      <c r="F568" s="41" t="s">
        <v>1213</v>
      </c>
      <c r="G568" s="132" t="s">
        <v>186</v>
      </c>
      <c r="H568" s="132"/>
      <c r="I568" s="132">
        <v>4</v>
      </c>
      <c r="J568" s="132">
        <v>1247.7560000000001</v>
      </c>
      <c r="K568" s="132"/>
      <c r="L568" s="230">
        <v>4</v>
      </c>
      <c r="M568" s="230">
        <v>1247.7560000000001</v>
      </c>
      <c r="N568" s="6" t="s">
        <v>1214</v>
      </c>
      <c r="O568" s="133">
        <v>45429</v>
      </c>
      <c r="P568" s="42" t="str">
        <f>HYPERLINK("https://my.zakupivli.pro/remote/dispatcher/state_purchase_view/51062772", "UA-2024-05-17-000118-a")</f>
        <v>UA-2024-05-17-000118-a</v>
      </c>
      <c r="Q568" s="132"/>
      <c r="R568" s="132">
        <v>4</v>
      </c>
      <c r="S568" s="132">
        <v>1203.6524999999999</v>
      </c>
      <c r="T568" s="133">
        <v>45447</v>
      </c>
      <c r="U568" s="132"/>
      <c r="V568" s="132"/>
    </row>
    <row r="569" spans="1:22" ht="62.4" x14ac:dyDescent="0.3">
      <c r="A569" s="132">
        <v>563</v>
      </c>
      <c r="B569" s="231" t="s">
        <v>21</v>
      </c>
      <c r="C569" s="44" t="s">
        <v>30</v>
      </c>
      <c r="D569" s="132"/>
      <c r="E569" s="231" t="s">
        <v>75</v>
      </c>
      <c r="F569" s="225" t="s">
        <v>909</v>
      </c>
      <c r="G569" s="132" t="s">
        <v>186</v>
      </c>
      <c r="H569" s="132"/>
      <c r="I569" s="132">
        <v>2</v>
      </c>
      <c r="J569" s="132">
        <v>45.0839</v>
      </c>
      <c r="K569" s="132"/>
      <c r="L569" s="231">
        <v>2</v>
      </c>
      <c r="M569" s="231">
        <v>45.0839</v>
      </c>
      <c r="N569" s="6" t="s">
        <v>1215</v>
      </c>
      <c r="O569" s="133">
        <v>45432</v>
      </c>
      <c r="P569" s="33" t="str">
        <f>HYPERLINK("https://my.zakupivli.pro/remote/dispatcher/state_purchase_view/51111939", "UA-2024-05-20-009265-a")</f>
        <v>UA-2024-05-20-009265-a</v>
      </c>
      <c r="Q569" s="132"/>
      <c r="R569" s="231">
        <v>2</v>
      </c>
      <c r="S569" s="231">
        <v>45.0839</v>
      </c>
      <c r="T569" s="133">
        <v>45432</v>
      </c>
      <c r="U569" s="132"/>
      <c r="V569" s="231" t="s">
        <v>59</v>
      </c>
    </row>
    <row r="570" spans="1:22" ht="62.4" x14ac:dyDescent="0.3">
      <c r="A570" s="132">
        <v>564</v>
      </c>
      <c r="B570" s="232" t="s">
        <v>21</v>
      </c>
      <c r="C570" s="44" t="s">
        <v>30</v>
      </c>
      <c r="D570" s="132"/>
      <c r="E570" s="232" t="s">
        <v>75</v>
      </c>
      <c r="F570" s="225" t="s">
        <v>909</v>
      </c>
      <c r="G570" s="132" t="s">
        <v>186</v>
      </c>
      <c r="H570" s="132"/>
      <c r="I570" s="132">
        <v>9</v>
      </c>
      <c r="J570" s="132">
        <v>45.656959999999998</v>
      </c>
      <c r="K570" s="132"/>
      <c r="L570" s="232">
        <v>9</v>
      </c>
      <c r="M570" s="232">
        <v>45.656959999999998</v>
      </c>
      <c r="N570" s="6" t="s">
        <v>1216</v>
      </c>
      <c r="O570" s="133">
        <v>45433</v>
      </c>
      <c r="P570" s="33" t="str">
        <f>HYPERLINK("https://my.zakupivli.pro/remote/dispatcher/state_purchase_view/51125566", "UA-2024-05-21-002810-a")</f>
        <v>UA-2024-05-21-002810-a</v>
      </c>
      <c r="Q570" s="132"/>
      <c r="R570" s="232">
        <v>9</v>
      </c>
      <c r="S570" s="232">
        <v>45.656959999999998</v>
      </c>
      <c r="T570" s="133">
        <v>45432</v>
      </c>
      <c r="U570" s="132"/>
      <c r="V570" s="232" t="s">
        <v>59</v>
      </c>
    </row>
    <row r="571" spans="1:22" ht="62.4" x14ac:dyDescent="0.3">
      <c r="A571" s="132">
        <v>565</v>
      </c>
      <c r="B571" s="233" t="s">
        <v>21</v>
      </c>
      <c r="C571" s="239" t="s">
        <v>1218</v>
      </c>
      <c r="D571" s="132"/>
      <c r="E571" s="233" t="s">
        <v>75</v>
      </c>
      <c r="F571" s="236" t="s">
        <v>1217</v>
      </c>
      <c r="G571" s="132" t="s">
        <v>185</v>
      </c>
      <c r="H571" s="132"/>
      <c r="I571" s="132">
        <v>76</v>
      </c>
      <c r="J571" s="132">
        <v>215.93879999999999</v>
      </c>
      <c r="K571" s="132"/>
      <c r="L571" s="233">
        <v>76</v>
      </c>
      <c r="M571" s="233">
        <v>215.93879999999999</v>
      </c>
      <c r="N571" s="6" t="s">
        <v>1219</v>
      </c>
      <c r="O571" s="133">
        <v>45434</v>
      </c>
      <c r="P571" s="42" t="str">
        <f>HYPERLINK("https://my.zakupivli.pro/remote/dispatcher/state_purchase_view/51151129", "UA-2024-05-22-000727-a")</f>
        <v>UA-2024-05-22-000727-a</v>
      </c>
      <c r="Q571" s="132"/>
      <c r="R571" s="233">
        <v>76</v>
      </c>
      <c r="S571" s="233">
        <v>215.93879999999999</v>
      </c>
      <c r="T571" s="133">
        <v>45434</v>
      </c>
      <c r="U571" s="132"/>
      <c r="V571" s="233" t="s">
        <v>59</v>
      </c>
    </row>
    <row r="572" spans="1:22" ht="46.8" x14ac:dyDescent="0.3">
      <c r="A572" s="132">
        <v>566</v>
      </c>
      <c r="B572" s="43" t="s">
        <v>21</v>
      </c>
      <c r="C572" s="44" t="s">
        <v>1220</v>
      </c>
      <c r="D572" s="250" t="s">
        <v>58</v>
      </c>
      <c r="E572" s="234" t="s">
        <v>75</v>
      </c>
      <c r="F572" s="44" t="s">
        <v>1221</v>
      </c>
      <c r="G572" s="132" t="s">
        <v>1224</v>
      </c>
      <c r="H572" s="132"/>
      <c r="I572" s="132">
        <v>15</v>
      </c>
      <c r="J572" s="119">
        <v>1200</v>
      </c>
      <c r="K572" s="132"/>
      <c r="L572" s="234">
        <v>15</v>
      </c>
      <c r="M572" s="119">
        <v>1200</v>
      </c>
      <c r="N572" s="6" t="s">
        <v>1225</v>
      </c>
      <c r="O572" s="133">
        <v>45435</v>
      </c>
      <c r="P572" s="33" t="str">
        <f>HYPERLINK("https://my.zakupivli.pro/remote/dispatcher/state_purchase_view/51190701", "UA-2024-05-23-004824-a")</f>
        <v>UA-2024-05-23-004824-a</v>
      </c>
      <c r="Q572" s="132"/>
      <c r="R572" s="132">
        <v>15</v>
      </c>
      <c r="S572" s="119">
        <v>1000.5</v>
      </c>
      <c r="T572" s="133">
        <v>45467</v>
      </c>
      <c r="U572" s="132"/>
      <c r="V572" s="132"/>
    </row>
    <row r="573" spans="1:22" ht="62.4" x14ac:dyDescent="0.3">
      <c r="A573" s="132">
        <v>567</v>
      </c>
      <c r="B573" s="43" t="s">
        <v>21</v>
      </c>
      <c r="C573" s="44" t="s">
        <v>735</v>
      </c>
      <c r="D573" s="107"/>
      <c r="E573" s="234" t="s">
        <v>75</v>
      </c>
      <c r="F573" s="44" t="s">
        <v>1222</v>
      </c>
      <c r="G573" s="132" t="s">
        <v>185</v>
      </c>
      <c r="H573" s="132"/>
      <c r="I573" s="132">
        <v>60</v>
      </c>
      <c r="J573" s="119">
        <v>63.6</v>
      </c>
      <c r="K573" s="132"/>
      <c r="L573" s="234">
        <v>60</v>
      </c>
      <c r="M573" s="119">
        <v>63.6</v>
      </c>
      <c r="N573" s="6" t="s">
        <v>1226</v>
      </c>
      <c r="O573" s="133">
        <v>45435</v>
      </c>
      <c r="P573" s="33" t="str">
        <f>HYPERLINK("https://my.zakupivli.pro/remote/dispatcher/state_purchase_view/51180705", "UA-2024-05-23-000397-a")</f>
        <v>UA-2024-05-23-000397-a</v>
      </c>
      <c r="Q573" s="132"/>
      <c r="R573" s="234">
        <v>60</v>
      </c>
      <c r="S573" s="119">
        <v>63.6</v>
      </c>
      <c r="T573" s="235">
        <v>45434</v>
      </c>
      <c r="U573" s="132"/>
      <c r="V573" s="234" t="s">
        <v>59</v>
      </c>
    </row>
    <row r="574" spans="1:22" ht="62.4" x14ac:dyDescent="0.3">
      <c r="A574" s="132">
        <v>568</v>
      </c>
      <c r="B574" s="43" t="s">
        <v>21</v>
      </c>
      <c r="C574" s="44" t="s">
        <v>1134</v>
      </c>
      <c r="D574" s="107"/>
      <c r="E574" s="234" t="s">
        <v>75</v>
      </c>
      <c r="F574" s="44" t="s">
        <v>1223</v>
      </c>
      <c r="G574" s="132" t="s">
        <v>187</v>
      </c>
      <c r="H574" s="119">
        <v>93.8</v>
      </c>
      <c r="I574" s="132">
        <v>1</v>
      </c>
      <c r="J574" s="119">
        <v>93.8</v>
      </c>
      <c r="K574" s="119">
        <v>93.8</v>
      </c>
      <c r="L574" s="234">
        <v>1</v>
      </c>
      <c r="M574" s="119">
        <v>93.8</v>
      </c>
      <c r="N574" s="6" t="s">
        <v>1227</v>
      </c>
      <c r="O574" s="235">
        <v>45435</v>
      </c>
      <c r="P574" s="33" t="str">
        <f>HYPERLINK("https://my.zakupivli.pro/remote/dispatcher/state_purchase_view/51179925", "UA-2024-05-23-000094-a")</f>
        <v>UA-2024-05-23-000094-a</v>
      </c>
      <c r="Q574" s="119">
        <v>93.8</v>
      </c>
      <c r="R574" s="234">
        <v>1</v>
      </c>
      <c r="S574" s="119">
        <v>93.8</v>
      </c>
      <c r="T574" s="235">
        <v>45434</v>
      </c>
      <c r="U574" s="132"/>
      <c r="V574" s="234" t="s">
        <v>59</v>
      </c>
    </row>
    <row r="575" spans="1:22" ht="62.4" x14ac:dyDescent="0.3">
      <c r="A575" s="132">
        <v>569</v>
      </c>
      <c r="B575" s="43" t="s">
        <v>21</v>
      </c>
      <c r="C575" s="44" t="s">
        <v>36</v>
      </c>
      <c r="D575" s="132"/>
      <c r="E575" s="237" t="s">
        <v>75</v>
      </c>
      <c r="F575" s="44" t="s">
        <v>63</v>
      </c>
      <c r="G575" s="132" t="s">
        <v>185</v>
      </c>
      <c r="H575" s="132">
        <v>26.605779999999999</v>
      </c>
      <c r="I575" s="132">
        <v>2</v>
      </c>
      <c r="J575" s="132">
        <v>53.211559999999999</v>
      </c>
      <c r="K575" s="237">
        <v>26.605779999999999</v>
      </c>
      <c r="L575" s="237">
        <v>2</v>
      </c>
      <c r="M575" s="237">
        <v>53.211559999999999</v>
      </c>
      <c r="N575" s="6" t="s">
        <v>1235</v>
      </c>
      <c r="O575" s="133">
        <v>45439</v>
      </c>
      <c r="P575" s="33" t="str">
        <f>HYPERLINK("https://my.zakupivli.pro/remote/dispatcher/state_purchase_view/51263635", "UA-2024-05-27-011689-a")</f>
        <v>UA-2024-05-27-011689-a</v>
      </c>
      <c r="Q575" s="237">
        <v>26.605779999999999</v>
      </c>
      <c r="R575" s="237">
        <v>2</v>
      </c>
      <c r="S575" s="237">
        <v>53.211559999999999</v>
      </c>
      <c r="T575" s="238">
        <v>45439</v>
      </c>
      <c r="U575" s="132"/>
      <c r="V575" s="237" t="s">
        <v>59</v>
      </c>
    </row>
    <row r="576" spans="1:22" ht="62.4" x14ac:dyDescent="0.3">
      <c r="A576" s="132">
        <v>570</v>
      </c>
      <c r="B576" s="43" t="s">
        <v>40</v>
      </c>
      <c r="C576" s="44" t="s">
        <v>542</v>
      </c>
      <c r="D576" s="132"/>
      <c r="E576" s="237" t="s">
        <v>75</v>
      </c>
      <c r="F576" s="44" t="s">
        <v>1228</v>
      </c>
      <c r="G576" s="132" t="s">
        <v>184</v>
      </c>
      <c r="H576" s="119">
        <v>96.3</v>
      </c>
      <c r="I576" s="132">
        <v>1</v>
      </c>
      <c r="J576" s="119">
        <v>96.3</v>
      </c>
      <c r="K576" s="119">
        <v>96.3</v>
      </c>
      <c r="L576" s="237">
        <v>1</v>
      </c>
      <c r="M576" s="119">
        <v>96.3</v>
      </c>
      <c r="N576" s="6" t="s">
        <v>1236</v>
      </c>
      <c r="O576" s="238">
        <v>45439</v>
      </c>
      <c r="P576" s="33" t="str">
        <f>HYPERLINK("https://my.zakupivli.pro/remote/dispatcher/state_purchase_view/51253027", "UA-2024-05-27-006967-a")</f>
        <v>UA-2024-05-27-006967-a</v>
      </c>
      <c r="Q576" s="119">
        <v>96.3</v>
      </c>
      <c r="R576" s="237">
        <v>1</v>
      </c>
      <c r="S576" s="119">
        <v>96.3</v>
      </c>
      <c r="T576" s="238">
        <v>45439</v>
      </c>
      <c r="U576" s="132"/>
      <c r="V576" s="237" t="s">
        <v>59</v>
      </c>
    </row>
    <row r="577" spans="1:22" ht="62.4" x14ac:dyDescent="0.3">
      <c r="A577" s="132">
        <v>571</v>
      </c>
      <c r="B577" s="43" t="s">
        <v>40</v>
      </c>
      <c r="C577" s="44" t="s">
        <v>41</v>
      </c>
      <c r="D577" s="132"/>
      <c r="E577" s="237" t="s">
        <v>373</v>
      </c>
      <c r="F577" s="44" t="s">
        <v>1229</v>
      </c>
      <c r="G577" s="237" t="s">
        <v>184</v>
      </c>
      <c r="H577" s="132">
        <v>53.577910000000003</v>
      </c>
      <c r="I577" s="132">
        <v>1</v>
      </c>
      <c r="J577" s="237">
        <v>53.577910000000003</v>
      </c>
      <c r="K577" s="237">
        <v>53.577910000000003</v>
      </c>
      <c r="L577" s="237">
        <v>1</v>
      </c>
      <c r="M577" s="237">
        <v>53.577910000000003</v>
      </c>
      <c r="N577" s="6" t="s">
        <v>1237</v>
      </c>
      <c r="O577" s="238">
        <v>45439</v>
      </c>
      <c r="P577" s="33" t="str">
        <f>HYPERLINK("https://my.zakupivli.pro/remote/dispatcher/state_purchase_view/51251693", "UA-2024-05-27-006416-a")</f>
        <v>UA-2024-05-27-006416-a</v>
      </c>
      <c r="Q577" s="237">
        <v>53.577910000000003</v>
      </c>
      <c r="R577" s="237">
        <v>1</v>
      </c>
      <c r="S577" s="237">
        <v>53.577910000000003</v>
      </c>
      <c r="T577" s="238">
        <v>45439</v>
      </c>
      <c r="U577" s="132"/>
      <c r="V577" s="237" t="s">
        <v>59</v>
      </c>
    </row>
    <row r="578" spans="1:22" ht="78" x14ac:dyDescent="0.3">
      <c r="A578" s="132">
        <v>572</v>
      </c>
      <c r="B578" s="43" t="s">
        <v>40</v>
      </c>
      <c r="C578" s="44" t="s">
        <v>41</v>
      </c>
      <c r="D578" s="132"/>
      <c r="E578" s="237" t="s">
        <v>373</v>
      </c>
      <c r="F578" s="44" t="s">
        <v>1230</v>
      </c>
      <c r="G578" s="237" t="s">
        <v>184</v>
      </c>
      <c r="H578" s="132">
        <v>43.984520000000003</v>
      </c>
      <c r="I578" s="132">
        <v>1</v>
      </c>
      <c r="J578" s="237">
        <v>43.984520000000003</v>
      </c>
      <c r="K578" s="237">
        <v>43.984520000000003</v>
      </c>
      <c r="L578" s="237">
        <v>1</v>
      </c>
      <c r="M578" s="237">
        <v>43.984520000000003</v>
      </c>
      <c r="N578" s="6" t="s">
        <v>1238</v>
      </c>
      <c r="O578" s="238">
        <v>45439</v>
      </c>
      <c r="P578" s="33" t="str">
        <f>HYPERLINK("https://my.zakupivli.pro/remote/dispatcher/state_purchase_view/51251419", "UA-2024-05-27-006318-a")</f>
        <v>UA-2024-05-27-006318-a</v>
      </c>
      <c r="Q578" s="237">
        <v>43.984520000000003</v>
      </c>
      <c r="R578" s="237">
        <v>1</v>
      </c>
      <c r="S578" s="237">
        <v>43.984520000000003</v>
      </c>
      <c r="T578" s="238">
        <v>45439</v>
      </c>
      <c r="U578" s="132"/>
      <c r="V578" s="237" t="s">
        <v>59</v>
      </c>
    </row>
    <row r="579" spans="1:22" ht="62.4" x14ac:dyDescent="0.3">
      <c r="A579" s="132">
        <v>573</v>
      </c>
      <c r="B579" s="43" t="s">
        <v>40</v>
      </c>
      <c r="C579" s="44" t="s">
        <v>885</v>
      </c>
      <c r="D579" s="132"/>
      <c r="E579" s="237" t="s">
        <v>373</v>
      </c>
      <c r="F579" s="44" t="s">
        <v>1231</v>
      </c>
      <c r="G579" s="237" t="s">
        <v>184</v>
      </c>
      <c r="H579" s="132">
        <v>339.82227</v>
      </c>
      <c r="I579" s="132">
        <v>1</v>
      </c>
      <c r="J579" s="237">
        <v>339.82227</v>
      </c>
      <c r="K579" s="237">
        <v>339.82227</v>
      </c>
      <c r="L579" s="237">
        <v>1</v>
      </c>
      <c r="M579" s="237">
        <v>339.82227</v>
      </c>
      <c r="N579" s="6" t="s">
        <v>1239</v>
      </c>
      <c r="O579" s="238">
        <v>45439</v>
      </c>
      <c r="P579" s="33" t="str">
        <f>HYPERLINK("https://my.zakupivli.pro/remote/dispatcher/state_purchase_view/51251184", "UA-2024-05-27-006168-a")</f>
        <v>UA-2024-05-27-006168-a</v>
      </c>
      <c r="Q579" s="237">
        <v>339.82227</v>
      </c>
      <c r="R579" s="237">
        <v>1</v>
      </c>
      <c r="S579" s="237">
        <v>339.82227</v>
      </c>
      <c r="T579" s="238">
        <v>45439</v>
      </c>
      <c r="U579" s="132"/>
      <c r="V579" s="237" t="s">
        <v>59</v>
      </c>
    </row>
    <row r="580" spans="1:22" ht="62.4" x14ac:dyDescent="0.3">
      <c r="A580" s="132">
        <v>574</v>
      </c>
      <c r="B580" s="43" t="s">
        <v>40</v>
      </c>
      <c r="C580" s="44" t="s">
        <v>41</v>
      </c>
      <c r="D580" s="132"/>
      <c r="E580" s="237" t="s">
        <v>373</v>
      </c>
      <c r="F580" s="44" t="s">
        <v>1232</v>
      </c>
      <c r="G580" s="237" t="s">
        <v>184</v>
      </c>
      <c r="H580" s="132">
        <v>524.04791</v>
      </c>
      <c r="I580" s="132">
        <v>1</v>
      </c>
      <c r="J580" s="237">
        <v>524.04791</v>
      </c>
      <c r="K580" s="237">
        <v>524.04791</v>
      </c>
      <c r="L580" s="237">
        <v>1</v>
      </c>
      <c r="M580" s="237">
        <v>524.04791</v>
      </c>
      <c r="N580" s="6" t="s">
        <v>1240</v>
      </c>
      <c r="O580" s="238">
        <v>45439</v>
      </c>
      <c r="P580" s="33" t="str">
        <f>HYPERLINK("https://my.zakupivli.pro/remote/dispatcher/state_purchase_view/51251183", "UA-2024-05-27-006163-a")</f>
        <v>UA-2024-05-27-006163-a</v>
      </c>
      <c r="Q580" s="237">
        <v>524.04791</v>
      </c>
      <c r="R580" s="237">
        <v>1</v>
      </c>
      <c r="S580" s="237">
        <v>524.04791</v>
      </c>
      <c r="T580" s="238">
        <v>45439</v>
      </c>
      <c r="U580" s="132"/>
      <c r="V580" s="237" t="s">
        <v>59</v>
      </c>
    </row>
    <row r="581" spans="1:22" ht="109.2" x14ac:dyDescent="0.3">
      <c r="A581" s="132">
        <v>575</v>
      </c>
      <c r="B581" s="43" t="s">
        <v>40</v>
      </c>
      <c r="C581" s="44" t="s">
        <v>1234</v>
      </c>
      <c r="D581" s="132"/>
      <c r="E581" s="237" t="s">
        <v>373</v>
      </c>
      <c r="F581" s="44" t="s">
        <v>1233</v>
      </c>
      <c r="G581" s="237" t="s">
        <v>184</v>
      </c>
      <c r="H581" s="132">
        <v>365.49365</v>
      </c>
      <c r="I581" s="132">
        <v>1</v>
      </c>
      <c r="J581" s="237">
        <v>365.49365</v>
      </c>
      <c r="K581" s="237">
        <v>365.49365</v>
      </c>
      <c r="L581" s="237">
        <v>1</v>
      </c>
      <c r="M581" s="237">
        <v>365.49365</v>
      </c>
      <c r="N581" s="6" t="s">
        <v>1241</v>
      </c>
      <c r="O581" s="238">
        <v>45439</v>
      </c>
      <c r="P581" s="33" t="str">
        <f>HYPERLINK("https://my.zakupivli.pro/remote/dispatcher/state_purchase_view/51250880", "UA-2024-05-27-006049-a")</f>
        <v>UA-2024-05-27-006049-a</v>
      </c>
      <c r="Q581" s="237">
        <v>365.49365</v>
      </c>
      <c r="R581" s="237">
        <v>1</v>
      </c>
      <c r="S581" s="237">
        <v>365.49365</v>
      </c>
      <c r="T581" s="238">
        <v>45439</v>
      </c>
      <c r="U581" s="132"/>
      <c r="V581" s="237" t="s">
        <v>59</v>
      </c>
    </row>
    <row r="582" spans="1:22" ht="62.4" x14ac:dyDescent="0.3">
      <c r="A582" s="132">
        <v>576</v>
      </c>
      <c r="B582" s="43" t="s">
        <v>40</v>
      </c>
      <c r="C582" s="44" t="s">
        <v>73</v>
      </c>
      <c r="D582" s="132"/>
      <c r="E582" s="240" t="s">
        <v>75</v>
      </c>
      <c r="F582" s="44" t="s">
        <v>1242</v>
      </c>
      <c r="G582" s="240" t="s">
        <v>184</v>
      </c>
      <c r="H582" s="132">
        <v>316.29005000000001</v>
      </c>
      <c r="I582" s="132">
        <v>1</v>
      </c>
      <c r="J582" s="240">
        <v>316.29005000000001</v>
      </c>
      <c r="K582" s="240">
        <v>316.29005000000001</v>
      </c>
      <c r="L582" s="240">
        <v>1</v>
      </c>
      <c r="M582" s="240">
        <v>316.29005000000001</v>
      </c>
      <c r="N582" s="6" t="s">
        <v>1244</v>
      </c>
      <c r="O582" s="133">
        <v>45442</v>
      </c>
      <c r="P582" s="122" t="str">
        <f>HYPERLINK("https://my.zakupivli.pro/remote/dispatcher/state_purchase_view/51322354", "UA-2024-05-30-000099-a")</f>
        <v>UA-2024-05-30-000099-a</v>
      </c>
      <c r="Q582" s="240">
        <v>316.29005000000001</v>
      </c>
      <c r="R582" s="240">
        <v>1</v>
      </c>
      <c r="S582" s="240">
        <v>316.29005000000001</v>
      </c>
      <c r="T582" s="133">
        <v>45414</v>
      </c>
      <c r="U582" s="132"/>
      <c r="V582" s="240" t="s">
        <v>59</v>
      </c>
    </row>
    <row r="583" spans="1:22" ht="62.4" x14ac:dyDescent="0.3">
      <c r="A583" s="132">
        <v>577</v>
      </c>
      <c r="B583" s="43" t="s">
        <v>40</v>
      </c>
      <c r="C583" s="44" t="s">
        <v>73</v>
      </c>
      <c r="D583" s="132"/>
      <c r="E583" s="240" t="s">
        <v>75</v>
      </c>
      <c r="F583" s="44" t="s">
        <v>1243</v>
      </c>
      <c r="G583" s="240" t="s">
        <v>184</v>
      </c>
      <c r="H583" s="132">
        <v>368.45200999999997</v>
      </c>
      <c r="I583" s="132">
        <v>1</v>
      </c>
      <c r="J583" s="240">
        <v>368.45200999999997</v>
      </c>
      <c r="K583" s="240">
        <v>368.45200999999997</v>
      </c>
      <c r="L583" s="240">
        <v>1</v>
      </c>
      <c r="M583" s="240">
        <v>368.45200999999997</v>
      </c>
      <c r="N583" s="6" t="s">
        <v>1245</v>
      </c>
      <c r="O583" s="133">
        <v>45442</v>
      </c>
      <c r="P583" s="122" t="str">
        <f>HYPERLINK("https://my.zakupivli.pro/remote/dispatcher/state_purchase_view/51322404", "UA-2024-05-30-000116-a")</f>
        <v>UA-2024-05-30-000116-a</v>
      </c>
      <c r="Q583" s="240">
        <v>368.45200999999997</v>
      </c>
      <c r="R583" s="240">
        <v>1</v>
      </c>
      <c r="S583" s="240">
        <v>368.45200999999997</v>
      </c>
      <c r="T583" s="133">
        <v>45441</v>
      </c>
      <c r="U583" s="132"/>
      <c r="V583" s="240" t="s">
        <v>59</v>
      </c>
    </row>
    <row r="584" spans="1:22" ht="62.4" x14ac:dyDescent="0.3">
      <c r="A584" s="132">
        <v>578</v>
      </c>
      <c r="B584" s="43" t="s">
        <v>21</v>
      </c>
      <c r="C584" s="44" t="s">
        <v>1248</v>
      </c>
      <c r="D584" s="132"/>
      <c r="E584" s="242" t="s">
        <v>75</v>
      </c>
      <c r="F584" s="44" t="s">
        <v>1246</v>
      </c>
      <c r="G584" s="132" t="s">
        <v>186</v>
      </c>
      <c r="H584" s="132"/>
      <c r="I584" s="132">
        <v>4</v>
      </c>
      <c r="J584" s="132">
        <v>48.400799999999997</v>
      </c>
      <c r="K584" s="132"/>
      <c r="L584" s="242">
        <v>4</v>
      </c>
      <c r="M584" s="242">
        <v>48.400799999999997</v>
      </c>
      <c r="N584" s="6" t="s">
        <v>1250</v>
      </c>
      <c r="O584" s="133">
        <v>45443</v>
      </c>
      <c r="P584" s="33" t="str">
        <f>HYPERLINK("https://my.zakupivli.pro/remote/dispatcher/state_purchase_view/51354614", "UA-2024-05-31-003514-a")</f>
        <v>UA-2024-05-31-003514-a</v>
      </c>
      <c r="Q584" s="132"/>
      <c r="R584" s="242">
        <v>4</v>
      </c>
      <c r="S584" s="242">
        <v>48.400799999999997</v>
      </c>
      <c r="T584" s="241">
        <v>45443</v>
      </c>
      <c r="U584" s="132"/>
      <c r="V584" s="242" t="s">
        <v>59</v>
      </c>
    </row>
    <row r="585" spans="1:22" ht="62.4" x14ac:dyDescent="0.3">
      <c r="A585" s="132">
        <v>579</v>
      </c>
      <c r="B585" s="43" t="s">
        <v>40</v>
      </c>
      <c r="C585" s="44" t="s">
        <v>1249</v>
      </c>
      <c r="D585" s="132"/>
      <c r="E585" s="242" t="s">
        <v>75</v>
      </c>
      <c r="F585" s="44" t="s">
        <v>1247</v>
      </c>
      <c r="G585" s="242" t="s">
        <v>184</v>
      </c>
      <c r="H585" s="132">
        <v>287.89965999999998</v>
      </c>
      <c r="I585" s="132">
        <v>1</v>
      </c>
      <c r="J585" s="242">
        <v>287.89965999999998</v>
      </c>
      <c r="K585" s="242">
        <v>287.89965999999998</v>
      </c>
      <c r="L585" s="242">
        <v>1</v>
      </c>
      <c r="M585" s="242">
        <v>287.89965999999998</v>
      </c>
      <c r="N585" s="6" t="s">
        <v>1251</v>
      </c>
      <c r="O585" s="241">
        <v>45443</v>
      </c>
      <c r="P585" s="33" t="str">
        <f>HYPERLINK("https://my.zakupivli.pro/remote/dispatcher/state_purchase_view/51362144", "UA-2024-05-31-006948-a")</f>
        <v>UA-2024-05-31-006948-a</v>
      </c>
      <c r="Q585" s="242">
        <v>287.89965999999998</v>
      </c>
      <c r="R585" s="242">
        <v>1</v>
      </c>
      <c r="S585" s="242">
        <v>287.89965999999998</v>
      </c>
      <c r="T585" s="241">
        <v>45443</v>
      </c>
      <c r="U585" s="132"/>
      <c r="V585" s="242" t="s">
        <v>59</v>
      </c>
    </row>
    <row r="586" spans="1:22" ht="62.4" x14ac:dyDescent="0.3">
      <c r="A586" s="132">
        <v>580</v>
      </c>
      <c r="B586" s="43" t="s">
        <v>40</v>
      </c>
      <c r="C586" s="44" t="s">
        <v>73</v>
      </c>
      <c r="D586" s="132"/>
      <c r="E586" s="243" t="s">
        <v>75</v>
      </c>
      <c r="F586" s="44" t="s">
        <v>1252</v>
      </c>
      <c r="G586" s="243" t="s">
        <v>184</v>
      </c>
      <c r="H586" s="119">
        <v>79.86</v>
      </c>
      <c r="I586" s="132">
        <v>1</v>
      </c>
      <c r="J586" s="119">
        <v>79.86</v>
      </c>
      <c r="K586" s="119">
        <v>79.86</v>
      </c>
      <c r="L586" s="243">
        <v>1</v>
      </c>
      <c r="M586" s="119">
        <v>79.86</v>
      </c>
      <c r="N586" s="6" t="s">
        <v>1253</v>
      </c>
      <c r="O586" s="133">
        <v>45447</v>
      </c>
      <c r="P586" s="33" t="str">
        <f>HYPERLINK("https://my.zakupivli.pro/remote/dispatcher/state_purchase_view/51397532", "UA-2024-06-04-001790-a")</f>
        <v>UA-2024-06-04-001790-a</v>
      </c>
      <c r="Q586" s="119">
        <v>79.86</v>
      </c>
      <c r="R586" s="243">
        <v>1</v>
      </c>
      <c r="S586" s="119">
        <v>79.86</v>
      </c>
      <c r="T586" s="133">
        <v>45404</v>
      </c>
      <c r="U586" s="132"/>
      <c r="V586" s="243" t="s">
        <v>59</v>
      </c>
    </row>
    <row r="587" spans="1:22" ht="62.4" x14ac:dyDescent="0.3">
      <c r="A587" s="132">
        <v>581</v>
      </c>
      <c r="B587" s="43" t="s">
        <v>21</v>
      </c>
      <c r="C587" s="44" t="s">
        <v>175</v>
      </c>
      <c r="D587" s="132"/>
      <c r="E587" s="244" t="s">
        <v>75</v>
      </c>
      <c r="F587" s="225" t="s">
        <v>1254</v>
      </c>
      <c r="G587" s="132" t="s">
        <v>186</v>
      </c>
      <c r="H587" s="132"/>
      <c r="I587" s="132">
        <v>3</v>
      </c>
      <c r="J587" s="119">
        <v>52</v>
      </c>
      <c r="K587" s="132"/>
      <c r="L587" s="244">
        <v>3</v>
      </c>
      <c r="M587" s="119">
        <v>52</v>
      </c>
      <c r="N587" s="6" t="s">
        <v>1255</v>
      </c>
      <c r="O587" s="133">
        <v>45449</v>
      </c>
      <c r="P587" s="33" t="str">
        <f>HYPERLINK("https://my.zakupivli.pro/remote/dispatcher/state_purchase_view/51454131", "UA-2024-06-06-001299-a")</f>
        <v>UA-2024-06-06-001299-a</v>
      </c>
      <c r="Q587" s="132"/>
      <c r="R587" s="244">
        <v>3</v>
      </c>
      <c r="S587" s="119">
        <v>52</v>
      </c>
      <c r="T587" s="133">
        <v>45449</v>
      </c>
      <c r="U587" s="132"/>
      <c r="V587" s="244" t="s">
        <v>59</v>
      </c>
    </row>
    <row r="588" spans="1:22" ht="62.4" x14ac:dyDescent="0.3">
      <c r="A588" s="132">
        <v>582</v>
      </c>
      <c r="B588" s="43" t="s">
        <v>21</v>
      </c>
      <c r="C588" s="44" t="s">
        <v>413</v>
      </c>
      <c r="D588" s="132"/>
      <c r="E588" s="245" t="s">
        <v>75</v>
      </c>
      <c r="F588" s="225" t="s">
        <v>1256</v>
      </c>
      <c r="G588" s="132" t="s">
        <v>186</v>
      </c>
      <c r="H588" s="132"/>
      <c r="I588" s="132">
        <v>2</v>
      </c>
      <c r="J588" s="119">
        <v>82</v>
      </c>
      <c r="K588" s="132"/>
      <c r="L588" s="245">
        <v>2</v>
      </c>
      <c r="M588" s="119">
        <v>82</v>
      </c>
      <c r="N588" s="6" t="s">
        <v>1258</v>
      </c>
      <c r="O588" s="133">
        <v>45453</v>
      </c>
      <c r="P588" s="33" t="str">
        <f>HYPERLINK("https://my.zakupivli.pro/remote/dispatcher/state_purchase_view/51515216", "UA-2024-06-10-003519-a")</f>
        <v>UA-2024-06-10-003519-a</v>
      </c>
      <c r="Q588" s="132"/>
      <c r="R588" s="245">
        <v>2</v>
      </c>
      <c r="S588" s="119">
        <v>82</v>
      </c>
      <c r="T588" s="246">
        <v>45453</v>
      </c>
      <c r="U588" s="132"/>
      <c r="V588" s="245" t="s">
        <v>59</v>
      </c>
    </row>
    <row r="589" spans="1:22" ht="62.4" x14ac:dyDescent="0.3">
      <c r="A589" s="132">
        <v>583</v>
      </c>
      <c r="B589" s="43" t="s">
        <v>21</v>
      </c>
      <c r="C589" s="44" t="s">
        <v>30</v>
      </c>
      <c r="D589" s="132"/>
      <c r="E589" s="245" t="s">
        <v>75</v>
      </c>
      <c r="F589" s="225" t="s">
        <v>1257</v>
      </c>
      <c r="G589" s="132" t="s">
        <v>185</v>
      </c>
      <c r="H589" s="132"/>
      <c r="I589" s="132">
        <v>3</v>
      </c>
      <c r="J589" s="119">
        <v>76.95</v>
      </c>
      <c r="K589" s="132"/>
      <c r="L589" s="245">
        <v>3</v>
      </c>
      <c r="M589" s="119">
        <v>76.95</v>
      </c>
      <c r="N589" s="6" t="s">
        <v>1259</v>
      </c>
      <c r="O589" s="246">
        <v>45453</v>
      </c>
      <c r="P589" s="33" t="str">
        <f>HYPERLINK("https://my.zakupivli.pro/remote/dispatcher/state_purchase_view/51515365", "UA-2024-06-10-003597-a")</f>
        <v>UA-2024-06-10-003597-a</v>
      </c>
      <c r="Q589" s="132"/>
      <c r="R589" s="245">
        <v>3</v>
      </c>
      <c r="S589" s="119">
        <v>76.95</v>
      </c>
      <c r="T589" s="246">
        <v>45453</v>
      </c>
      <c r="U589" s="132"/>
      <c r="V589" s="245" t="s">
        <v>59</v>
      </c>
    </row>
    <row r="590" spans="1:22" ht="62.4" x14ac:dyDescent="0.3">
      <c r="A590" s="132">
        <v>584</v>
      </c>
      <c r="B590" s="43" t="s">
        <v>21</v>
      </c>
      <c r="C590" s="44" t="s">
        <v>173</v>
      </c>
      <c r="D590" s="132"/>
      <c r="E590" s="247" t="s">
        <v>75</v>
      </c>
      <c r="F590" s="225" t="s">
        <v>1260</v>
      </c>
      <c r="G590" s="132" t="s">
        <v>185</v>
      </c>
      <c r="H590" s="132"/>
      <c r="I590" s="132">
        <v>38</v>
      </c>
      <c r="J590" s="119">
        <v>78.09</v>
      </c>
      <c r="K590" s="132"/>
      <c r="L590" s="247">
        <v>38</v>
      </c>
      <c r="M590" s="119">
        <v>78.09</v>
      </c>
      <c r="N590" s="6" t="s">
        <v>1261</v>
      </c>
      <c r="O590" s="133">
        <v>45454</v>
      </c>
      <c r="P590" s="33" t="str">
        <f>HYPERLINK("https://my.zakupivli.pro/remote/dispatcher/state_purchase_view/51547469", "UA-2024-06-11-004453-a")</f>
        <v>UA-2024-06-11-004453-a</v>
      </c>
      <c r="Q590" s="132"/>
      <c r="R590" s="247">
        <v>38</v>
      </c>
      <c r="S590" s="119">
        <v>78.09</v>
      </c>
      <c r="T590" s="133">
        <v>45454</v>
      </c>
      <c r="U590" s="132"/>
      <c r="V590" s="247" t="s">
        <v>59</v>
      </c>
    </row>
    <row r="591" spans="1:22" ht="62.4" x14ac:dyDescent="0.3">
      <c r="A591" s="132">
        <v>585</v>
      </c>
      <c r="B591" s="43" t="s">
        <v>40</v>
      </c>
      <c r="C591" s="44" t="s">
        <v>885</v>
      </c>
      <c r="D591" s="132"/>
      <c r="E591" s="249" t="s">
        <v>75</v>
      </c>
      <c r="F591" s="44" t="s">
        <v>1262</v>
      </c>
      <c r="G591" s="249" t="s">
        <v>184</v>
      </c>
      <c r="H591" s="132">
        <v>259.27109999999999</v>
      </c>
      <c r="I591" s="132">
        <v>1</v>
      </c>
      <c r="J591" s="249">
        <v>259.27109999999999</v>
      </c>
      <c r="K591" s="249">
        <v>259.27109999999999</v>
      </c>
      <c r="L591" s="249">
        <v>1</v>
      </c>
      <c r="M591" s="249">
        <v>259.27109999999999</v>
      </c>
      <c r="N591" s="6" t="s">
        <v>1263</v>
      </c>
      <c r="O591" s="133">
        <v>45456</v>
      </c>
      <c r="P591" s="33" t="str">
        <f>HYPERLINK("https://my.zakupivli.pro/remote/dispatcher/state_purchase_view/51611381", "UA-2024-06-13-006939-a")</f>
        <v>UA-2024-06-13-006939-a</v>
      </c>
      <c r="Q591" s="249">
        <v>259.27109999999999</v>
      </c>
      <c r="R591" s="249">
        <v>1</v>
      </c>
      <c r="S591" s="249">
        <v>259.27109999999999</v>
      </c>
      <c r="T591" s="133">
        <v>45456</v>
      </c>
      <c r="U591" s="132"/>
      <c r="V591" s="249" t="s">
        <v>59</v>
      </c>
    </row>
    <row r="592" spans="1:22" ht="62.4" x14ac:dyDescent="0.3">
      <c r="A592" s="132">
        <v>586</v>
      </c>
      <c r="B592" s="43" t="s">
        <v>40</v>
      </c>
      <c r="C592" s="44" t="s">
        <v>41</v>
      </c>
      <c r="D592" s="132"/>
      <c r="E592" s="249" t="s">
        <v>75</v>
      </c>
      <c r="F592" s="44" t="s">
        <v>1264</v>
      </c>
      <c r="G592" s="249" t="s">
        <v>184</v>
      </c>
      <c r="H592" s="132">
        <v>72129.73</v>
      </c>
      <c r="I592" s="132">
        <v>1</v>
      </c>
      <c r="J592" s="249">
        <v>72129.73</v>
      </c>
      <c r="K592" s="249">
        <v>72129.73</v>
      </c>
      <c r="L592" s="249">
        <v>1</v>
      </c>
      <c r="M592" s="249">
        <v>72129.73</v>
      </c>
      <c r="N592" s="6" t="s">
        <v>1265</v>
      </c>
      <c r="O592" s="248">
        <v>45456</v>
      </c>
      <c r="P592" s="33" t="str">
        <f>HYPERLINK("https://my.zakupivli.pro/remote/dispatcher/state_purchase_view/51621292", "UA-2024-06-13-011394-a")</f>
        <v>UA-2024-06-13-011394-a</v>
      </c>
      <c r="Q592" s="249">
        <v>72129.73</v>
      </c>
      <c r="R592" s="249">
        <v>1</v>
      </c>
      <c r="S592" s="249">
        <v>72129.73</v>
      </c>
      <c r="T592" s="248">
        <v>45456</v>
      </c>
      <c r="U592" s="132"/>
      <c r="V592" s="249" t="s">
        <v>59</v>
      </c>
    </row>
    <row r="593" spans="1:22" ht="140.4" x14ac:dyDescent="0.3">
      <c r="A593" s="132">
        <v>587</v>
      </c>
      <c r="B593" s="43" t="s">
        <v>40</v>
      </c>
      <c r="C593" s="44" t="s">
        <v>41</v>
      </c>
      <c r="D593" s="250" t="s">
        <v>58</v>
      </c>
      <c r="E593" s="250" t="s">
        <v>373</v>
      </c>
      <c r="F593" s="44" t="s">
        <v>1266</v>
      </c>
      <c r="G593" s="250" t="s">
        <v>184</v>
      </c>
      <c r="H593" s="119">
        <v>1440</v>
      </c>
      <c r="I593" s="132">
        <v>1</v>
      </c>
      <c r="J593" s="119">
        <v>1440</v>
      </c>
      <c r="K593" s="119">
        <v>1440</v>
      </c>
      <c r="L593" s="250">
        <v>1</v>
      </c>
      <c r="M593" s="119">
        <v>1440</v>
      </c>
      <c r="N593" s="6" t="s">
        <v>1267</v>
      </c>
      <c r="O593" s="133">
        <v>45457</v>
      </c>
      <c r="P593" s="33" t="str">
        <f>HYPERLINK("https://my.zakupivli.pro/remote/dispatcher/state_purchase_view/51625477", "UA-2024-06-14-000434-a")</f>
        <v>UA-2024-06-14-000434-a</v>
      </c>
      <c r="Q593" s="119">
        <v>1368</v>
      </c>
      <c r="R593" s="132">
        <v>1</v>
      </c>
      <c r="S593" s="119">
        <v>1368</v>
      </c>
      <c r="T593" s="133">
        <v>45478</v>
      </c>
      <c r="U593" s="132"/>
      <c r="V593" s="132"/>
    </row>
    <row r="594" spans="1:22" ht="46.8" x14ac:dyDescent="0.3">
      <c r="A594" s="132">
        <v>588</v>
      </c>
      <c r="B594" s="43" t="s">
        <v>21</v>
      </c>
      <c r="C594" s="44" t="s">
        <v>36</v>
      </c>
      <c r="D594" s="251" t="s">
        <v>58</v>
      </c>
      <c r="E594" s="251" t="s">
        <v>75</v>
      </c>
      <c r="F594" s="44" t="s">
        <v>1268</v>
      </c>
      <c r="G594" s="132" t="s">
        <v>185</v>
      </c>
      <c r="H594" s="132"/>
      <c r="I594" s="132">
        <v>15</v>
      </c>
      <c r="J594" s="132">
        <v>1502.2974999999999</v>
      </c>
      <c r="K594" s="132"/>
      <c r="L594" s="251">
        <v>15</v>
      </c>
      <c r="M594" s="251">
        <v>1502.2974999999999</v>
      </c>
      <c r="N594" s="6" t="s">
        <v>1270</v>
      </c>
      <c r="O594" s="133">
        <v>45461</v>
      </c>
      <c r="P594" s="33" t="str">
        <f>HYPERLINK("https://my.zakupivli.pro/remote/dispatcher/state_purchase_view/51698131", "UA-2024-06-18-008358-a")</f>
        <v>UA-2024-06-18-008358-a</v>
      </c>
      <c r="Q594" s="132"/>
      <c r="R594" s="132">
        <v>15</v>
      </c>
      <c r="S594" s="132">
        <v>1495.6724999999999</v>
      </c>
      <c r="T594" s="133">
        <v>45476</v>
      </c>
      <c r="U594" s="132"/>
      <c r="V594" s="132"/>
    </row>
    <row r="595" spans="1:22" ht="109.2" x14ac:dyDescent="0.3">
      <c r="A595" s="132">
        <v>589</v>
      </c>
      <c r="B595" s="43" t="s">
        <v>21</v>
      </c>
      <c r="C595" s="44" t="s">
        <v>174</v>
      </c>
      <c r="D595" s="251" t="s">
        <v>58</v>
      </c>
      <c r="E595" s="251" t="s">
        <v>88</v>
      </c>
      <c r="F595" s="44" t="s">
        <v>1269</v>
      </c>
      <c r="G595" s="132" t="s">
        <v>187</v>
      </c>
      <c r="H595" s="132"/>
      <c r="I595" s="132">
        <v>33</v>
      </c>
      <c r="J595" s="119">
        <v>804.54</v>
      </c>
      <c r="K595" s="132"/>
      <c r="L595" s="251">
        <v>33</v>
      </c>
      <c r="M595" s="119">
        <v>804.54</v>
      </c>
      <c r="N595" s="6" t="s">
        <v>1271</v>
      </c>
      <c r="O595" s="252">
        <v>45461</v>
      </c>
      <c r="P595" s="33" t="str">
        <f>HYPERLINK("https://my.zakupivli.pro/remote/dispatcher/state_purchase_view/51701959", "UA-2024-06-18-010109-a")</f>
        <v>UA-2024-06-18-010109-a</v>
      </c>
      <c r="Q595" s="119">
        <v>686.4</v>
      </c>
      <c r="R595" s="132">
        <v>33</v>
      </c>
      <c r="S595" s="119">
        <v>686.4</v>
      </c>
      <c r="T595" s="133">
        <v>45495</v>
      </c>
      <c r="U595" s="132"/>
      <c r="V595" s="132"/>
    </row>
    <row r="596" spans="1:22" ht="62.4" x14ac:dyDescent="0.3">
      <c r="A596" s="132">
        <v>590</v>
      </c>
      <c r="B596" s="43" t="s">
        <v>21</v>
      </c>
      <c r="C596" s="44" t="s">
        <v>1144</v>
      </c>
      <c r="D596" s="132"/>
      <c r="E596" s="253" t="s">
        <v>75</v>
      </c>
      <c r="F596" s="44" t="s">
        <v>1142</v>
      </c>
      <c r="G596" s="132" t="s">
        <v>186</v>
      </c>
      <c r="H596" s="132"/>
      <c r="I596" s="132">
        <v>4</v>
      </c>
      <c r="J596" s="132">
        <v>75.792900000000003</v>
      </c>
      <c r="K596" s="132"/>
      <c r="L596" s="253">
        <v>4</v>
      </c>
      <c r="M596" s="253">
        <v>75.792900000000003</v>
      </c>
      <c r="N596" s="6" t="s">
        <v>1272</v>
      </c>
      <c r="O596" s="133">
        <v>45462</v>
      </c>
      <c r="P596" s="122" t="str">
        <f>HYPERLINK("https://my.zakupivli.pro/remote/dispatcher/state_purchase_view/51723896", "UA-2024-06-19-006845-a")</f>
        <v>UA-2024-06-19-006845-a</v>
      </c>
      <c r="Q596" s="132"/>
      <c r="R596" s="253">
        <v>4</v>
      </c>
      <c r="S596" s="253">
        <v>75.792900000000003</v>
      </c>
      <c r="T596" s="133">
        <v>45462</v>
      </c>
      <c r="U596" s="132"/>
      <c r="V596" s="253" t="s">
        <v>59</v>
      </c>
    </row>
    <row r="597" spans="1:22" ht="62.4" x14ac:dyDescent="0.3">
      <c r="A597" s="132">
        <v>591</v>
      </c>
      <c r="B597" s="43" t="s">
        <v>21</v>
      </c>
      <c r="C597" s="44" t="s">
        <v>413</v>
      </c>
      <c r="D597" s="132"/>
      <c r="E597" s="254" t="s">
        <v>75</v>
      </c>
      <c r="F597" s="225" t="s">
        <v>1273</v>
      </c>
      <c r="G597" s="132" t="s">
        <v>185</v>
      </c>
      <c r="H597" s="119">
        <v>8.1999999999999993</v>
      </c>
      <c r="I597" s="132">
        <v>10</v>
      </c>
      <c r="J597" s="119">
        <v>82</v>
      </c>
      <c r="K597" s="119">
        <v>8.1999999999999993</v>
      </c>
      <c r="L597" s="254">
        <v>10</v>
      </c>
      <c r="M597" s="119">
        <v>82</v>
      </c>
      <c r="N597" s="6" t="s">
        <v>1275</v>
      </c>
      <c r="O597" s="133">
        <v>45463</v>
      </c>
      <c r="P597" s="33" t="str">
        <f>HYPERLINK("https://my.zakupivli.pro/remote/dispatcher/state_purchase_view/51759699", "UA-2024-06-20-010267-a")</f>
        <v>UA-2024-06-20-010267-a</v>
      </c>
      <c r="Q597" s="119">
        <v>8.1999999999999993</v>
      </c>
      <c r="R597" s="254">
        <v>10</v>
      </c>
      <c r="S597" s="119">
        <v>82</v>
      </c>
      <c r="T597" s="255">
        <v>45463</v>
      </c>
      <c r="U597" s="132"/>
      <c r="V597" s="254" t="s">
        <v>59</v>
      </c>
    </row>
    <row r="598" spans="1:22" ht="62.4" x14ac:dyDescent="0.3">
      <c r="A598" s="132">
        <v>592</v>
      </c>
      <c r="B598" s="43" t="s">
        <v>21</v>
      </c>
      <c r="C598" s="44" t="s">
        <v>30</v>
      </c>
      <c r="D598" s="132"/>
      <c r="E598" s="254" t="s">
        <v>75</v>
      </c>
      <c r="F598" s="225" t="s">
        <v>909</v>
      </c>
      <c r="G598" s="132" t="s">
        <v>185</v>
      </c>
      <c r="H598" s="119">
        <v>25.65</v>
      </c>
      <c r="I598" s="132">
        <v>3</v>
      </c>
      <c r="J598" s="119">
        <v>76.95</v>
      </c>
      <c r="K598" s="119">
        <v>25.65</v>
      </c>
      <c r="L598" s="254">
        <v>3</v>
      </c>
      <c r="M598" s="119">
        <v>76.95</v>
      </c>
      <c r="N598" s="6" t="s">
        <v>1276</v>
      </c>
      <c r="O598" s="255">
        <v>45463</v>
      </c>
      <c r="P598" s="33" t="str">
        <f>HYPERLINK("https://my.zakupivli.pro/remote/dispatcher/state_purchase_view/51759838", "UA-2024-06-20-010243-a")</f>
        <v>UA-2024-06-20-010243-a</v>
      </c>
      <c r="Q598" s="119">
        <v>25.65</v>
      </c>
      <c r="R598" s="254">
        <v>3</v>
      </c>
      <c r="S598" s="119">
        <v>76.95</v>
      </c>
      <c r="T598" s="255">
        <v>45463</v>
      </c>
      <c r="U598" s="132"/>
      <c r="V598" s="254" t="s">
        <v>59</v>
      </c>
    </row>
    <row r="599" spans="1:22" ht="62.4" x14ac:dyDescent="0.3">
      <c r="A599" s="132">
        <v>593</v>
      </c>
      <c r="B599" s="43" t="s">
        <v>21</v>
      </c>
      <c r="C599" s="44" t="s">
        <v>32</v>
      </c>
      <c r="D599" s="132"/>
      <c r="E599" s="254" t="s">
        <v>75</v>
      </c>
      <c r="F599" s="225" t="s">
        <v>1274</v>
      </c>
      <c r="G599" s="132" t="s">
        <v>185</v>
      </c>
      <c r="H599" s="254">
        <v>59.770699999999998</v>
      </c>
      <c r="I599" s="132">
        <v>1</v>
      </c>
      <c r="J599" s="132">
        <v>59.770699999999998</v>
      </c>
      <c r="K599" s="254">
        <v>59.770699999999998</v>
      </c>
      <c r="L599" s="254">
        <v>1</v>
      </c>
      <c r="M599" s="254">
        <v>59.770699999999998</v>
      </c>
      <c r="N599" s="6" t="s">
        <v>1277</v>
      </c>
      <c r="O599" s="255">
        <v>45463</v>
      </c>
      <c r="P599" s="33" t="str">
        <f>HYPERLINK("https://my.zakupivli.pro/remote/dispatcher/state_purchase_view/51759365", "UA-2024-06-20-010026-a")</f>
        <v>UA-2024-06-20-010026-a</v>
      </c>
      <c r="Q599" s="254">
        <v>59.770699999999998</v>
      </c>
      <c r="R599" s="254">
        <v>1</v>
      </c>
      <c r="S599" s="254">
        <v>59.770699999999998</v>
      </c>
      <c r="T599" s="255">
        <v>45463</v>
      </c>
      <c r="U599" s="132"/>
      <c r="V599" s="254" t="s">
        <v>59</v>
      </c>
    </row>
    <row r="600" spans="1:22" ht="62.4" x14ac:dyDescent="0.3">
      <c r="A600" s="132">
        <v>594</v>
      </c>
      <c r="B600" s="43" t="s">
        <v>40</v>
      </c>
      <c r="C600" s="44" t="s">
        <v>885</v>
      </c>
      <c r="D600" s="132"/>
      <c r="E600" s="257" t="s">
        <v>373</v>
      </c>
      <c r="F600" s="44" t="s">
        <v>1278</v>
      </c>
      <c r="G600" s="132" t="s">
        <v>184</v>
      </c>
      <c r="H600" s="132">
        <v>133.03546</v>
      </c>
      <c r="I600" s="132">
        <v>1</v>
      </c>
      <c r="J600" s="257">
        <v>133.03546</v>
      </c>
      <c r="K600" s="257">
        <v>133.03546</v>
      </c>
      <c r="L600" s="257">
        <v>1</v>
      </c>
      <c r="M600" s="257">
        <v>133.03546</v>
      </c>
      <c r="N600" s="6" t="s">
        <v>1287</v>
      </c>
      <c r="O600" s="133">
        <v>45468</v>
      </c>
      <c r="P600" s="33" t="str">
        <f>HYPERLINK("https://my.zakupivli.pro/remote/dispatcher/state_purchase_view/51822469", "UA-2024-06-25-002869-a")</f>
        <v>UA-2024-06-25-002869-a</v>
      </c>
      <c r="Q600" s="257">
        <v>133.03546</v>
      </c>
      <c r="R600" s="257">
        <v>1</v>
      </c>
      <c r="S600" s="257">
        <v>133.03546</v>
      </c>
      <c r="T600" s="133">
        <v>45467</v>
      </c>
      <c r="U600" s="132"/>
      <c r="V600" s="257" t="s">
        <v>59</v>
      </c>
    </row>
    <row r="601" spans="1:22" ht="62.4" x14ac:dyDescent="0.3">
      <c r="A601" s="132">
        <v>595</v>
      </c>
      <c r="B601" s="43" t="s">
        <v>40</v>
      </c>
      <c r="C601" s="44" t="s">
        <v>885</v>
      </c>
      <c r="D601" s="132"/>
      <c r="E601" s="257" t="s">
        <v>373</v>
      </c>
      <c r="F601" s="44" t="s">
        <v>1279</v>
      </c>
      <c r="G601" s="257" t="s">
        <v>184</v>
      </c>
      <c r="H601" s="132">
        <v>140.55975000000001</v>
      </c>
      <c r="I601" s="132">
        <v>1</v>
      </c>
      <c r="J601" s="257">
        <v>140.55975000000001</v>
      </c>
      <c r="K601" s="257">
        <v>140.55975000000001</v>
      </c>
      <c r="L601" s="257">
        <v>1</v>
      </c>
      <c r="M601" s="257">
        <v>140.55975000000001</v>
      </c>
      <c r="N601" s="6" t="s">
        <v>1288</v>
      </c>
      <c r="O601" s="256">
        <v>45468</v>
      </c>
      <c r="P601" s="33" t="str">
        <f>HYPERLINK("https://my.zakupivli.pro/remote/dispatcher/state_purchase_view/51820402", "UA-2024-06-25-001923-a")</f>
        <v>UA-2024-06-25-001923-a</v>
      </c>
      <c r="Q601" s="257">
        <v>140.55975000000001</v>
      </c>
      <c r="R601" s="257">
        <v>1</v>
      </c>
      <c r="S601" s="257">
        <v>140.55975000000001</v>
      </c>
      <c r="T601" s="256">
        <v>45467</v>
      </c>
      <c r="U601" s="132"/>
      <c r="V601" s="257" t="s">
        <v>59</v>
      </c>
    </row>
    <row r="602" spans="1:22" ht="62.4" x14ac:dyDescent="0.3">
      <c r="A602" s="132">
        <v>596</v>
      </c>
      <c r="B602" s="43" t="s">
        <v>21</v>
      </c>
      <c r="C602" s="44" t="s">
        <v>1286</v>
      </c>
      <c r="D602" s="132"/>
      <c r="E602" s="257" t="s">
        <v>75</v>
      </c>
      <c r="F602" s="44" t="s">
        <v>1280</v>
      </c>
      <c r="G602" s="132" t="s">
        <v>186</v>
      </c>
      <c r="H602" s="257">
        <v>83.239199999999997</v>
      </c>
      <c r="I602" s="132">
        <v>1</v>
      </c>
      <c r="J602" s="132">
        <v>83.239199999999997</v>
      </c>
      <c r="K602" s="257">
        <v>83.239199999999997</v>
      </c>
      <c r="L602" s="257">
        <v>1</v>
      </c>
      <c r="M602" s="257">
        <v>83.239199999999997</v>
      </c>
      <c r="N602" s="6" t="s">
        <v>1289</v>
      </c>
      <c r="O602" s="256">
        <v>45468</v>
      </c>
      <c r="P602" s="33" t="str">
        <f>HYPERLINK("https://my.zakupivli.pro/remote/dispatcher/state_purchase_view/51818650", "UA-2024-06-25-001166-a")</f>
        <v>UA-2024-06-25-001166-a</v>
      </c>
      <c r="Q602" s="257">
        <v>83.239199999999997</v>
      </c>
      <c r="R602" s="257">
        <v>1</v>
      </c>
      <c r="S602" s="257">
        <v>83.239199999999997</v>
      </c>
      <c r="T602" s="256">
        <v>45468</v>
      </c>
      <c r="U602" s="132"/>
      <c r="V602" s="257" t="s">
        <v>59</v>
      </c>
    </row>
    <row r="603" spans="1:22" ht="78" x14ac:dyDescent="0.3">
      <c r="A603" s="132">
        <v>597</v>
      </c>
      <c r="B603" s="43" t="s">
        <v>40</v>
      </c>
      <c r="C603" s="44" t="s">
        <v>885</v>
      </c>
      <c r="D603" s="132"/>
      <c r="E603" s="257" t="s">
        <v>373</v>
      </c>
      <c r="F603" s="44" t="s">
        <v>1281</v>
      </c>
      <c r="G603" s="257" t="s">
        <v>184</v>
      </c>
      <c r="H603" s="132">
        <v>290.59892000000002</v>
      </c>
      <c r="I603" s="132">
        <v>1</v>
      </c>
      <c r="J603" s="257">
        <v>290.59892000000002</v>
      </c>
      <c r="K603" s="257">
        <v>290.59892000000002</v>
      </c>
      <c r="L603" s="257">
        <v>1</v>
      </c>
      <c r="M603" s="257">
        <v>290.59892000000002</v>
      </c>
      <c r="N603" s="6" t="s">
        <v>1290</v>
      </c>
      <c r="O603" s="256">
        <v>45468</v>
      </c>
      <c r="P603" s="33" t="str">
        <f>HYPERLINK("https://my.zakupivli.pro/remote/dispatcher/state_purchase_view/51817543", "UA-2024-06-25-000716-a")</f>
        <v>UA-2024-06-25-000716-a</v>
      </c>
      <c r="Q603" s="257">
        <v>290.59892000000002</v>
      </c>
      <c r="R603" s="257">
        <v>1</v>
      </c>
      <c r="S603" s="257">
        <v>290.59892000000002</v>
      </c>
      <c r="T603" s="256">
        <v>45467</v>
      </c>
      <c r="U603" s="132"/>
      <c r="V603" s="257" t="s">
        <v>59</v>
      </c>
    </row>
    <row r="604" spans="1:22" ht="78" x14ac:dyDescent="0.3">
      <c r="A604" s="132">
        <v>598</v>
      </c>
      <c r="B604" s="43" t="s">
        <v>40</v>
      </c>
      <c r="C604" s="44" t="s">
        <v>885</v>
      </c>
      <c r="D604" s="132"/>
      <c r="E604" s="257" t="s">
        <v>373</v>
      </c>
      <c r="F604" s="44" t="s">
        <v>1282</v>
      </c>
      <c r="G604" s="257" t="s">
        <v>184</v>
      </c>
      <c r="H604" s="132">
        <v>98.492909999999995</v>
      </c>
      <c r="I604" s="132">
        <v>1</v>
      </c>
      <c r="J604" s="257">
        <v>98.492909999999995</v>
      </c>
      <c r="K604" s="257">
        <v>98.492909999999995</v>
      </c>
      <c r="L604" s="257">
        <v>1</v>
      </c>
      <c r="M604" s="257">
        <v>98.492909999999995</v>
      </c>
      <c r="N604" s="6" t="s">
        <v>1291</v>
      </c>
      <c r="O604" s="256">
        <v>45468</v>
      </c>
      <c r="P604" s="33" t="str">
        <f>HYPERLINK("https://my.zakupivli.pro/remote/dispatcher/state_purchase_view/51817314", "UA-2024-06-25-000624-a")</f>
        <v>UA-2024-06-25-000624-a</v>
      </c>
      <c r="Q604" s="257">
        <v>98.492909999999995</v>
      </c>
      <c r="R604" s="257">
        <v>1</v>
      </c>
      <c r="S604" s="257">
        <v>98.492909999999995</v>
      </c>
      <c r="T604" s="256">
        <v>45467</v>
      </c>
      <c r="U604" s="132"/>
      <c r="V604" s="257" t="s">
        <v>59</v>
      </c>
    </row>
    <row r="605" spans="1:22" ht="78" x14ac:dyDescent="0.3">
      <c r="A605" s="132">
        <v>599</v>
      </c>
      <c r="B605" s="43" t="s">
        <v>40</v>
      </c>
      <c r="C605" s="44" t="s">
        <v>885</v>
      </c>
      <c r="D605" s="132"/>
      <c r="E605" s="257" t="s">
        <v>373</v>
      </c>
      <c r="F605" s="44" t="s">
        <v>1283</v>
      </c>
      <c r="G605" s="257" t="s">
        <v>184</v>
      </c>
      <c r="H605" s="132">
        <v>270.58053000000001</v>
      </c>
      <c r="I605" s="257">
        <v>1</v>
      </c>
      <c r="J605" s="257">
        <v>270.58053000000001</v>
      </c>
      <c r="K605" s="257">
        <v>270.58053000000001</v>
      </c>
      <c r="L605" s="257">
        <v>1</v>
      </c>
      <c r="M605" s="257">
        <v>270.58053000000001</v>
      </c>
      <c r="N605" s="6" t="s">
        <v>1292</v>
      </c>
      <c r="O605" s="256">
        <v>45468</v>
      </c>
      <c r="P605" s="33" t="str">
        <f>HYPERLINK("https://my.zakupivli.pro/remote/dispatcher/state_purchase_view/51817193", "UA-2024-06-25-000567-a")</f>
        <v>UA-2024-06-25-000567-a</v>
      </c>
      <c r="Q605" s="257">
        <v>270.58053000000001</v>
      </c>
      <c r="R605" s="257">
        <v>1</v>
      </c>
      <c r="S605" s="257">
        <v>270.58053000000001</v>
      </c>
      <c r="T605" s="256">
        <v>45467</v>
      </c>
      <c r="U605" s="132"/>
      <c r="V605" s="257" t="s">
        <v>59</v>
      </c>
    </row>
    <row r="606" spans="1:22" ht="62.4" x14ac:dyDescent="0.3">
      <c r="A606" s="132">
        <v>600</v>
      </c>
      <c r="B606" s="43" t="s">
        <v>40</v>
      </c>
      <c r="C606" s="44" t="s">
        <v>41</v>
      </c>
      <c r="D606" s="132"/>
      <c r="E606" s="257" t="s">
        <v>373</v>
      </c>
      <c r="F606" s="44" t="s">
        <v>1284</v>
      </c>
      <c r="G606" s="257" t="s">
        <v>184</v>
      </c>
      <c r="H606" s="132">
        <v>172.96986000000001</v>
      </c>
      <c r="I606" s="257">
        <v>1</v>
      </c>
      <c r="J606" s="257">
        <v>172.96986000000001</v>
      </c>
      <c r="K606" s="257">
        <v>172.96986000000001</v>
      </c>
      <c r="L606" s="257">
        <v>1</v>
      </c>
      <c r="M606" s="257">
        <v>172.96986000000001</v>
      </c>
      <c r="N606" s="6" t="s">
        <v>1293</v>
      </c>
      <c r="O606" s="256">
        <v>45468</v>
      </c>
      <c r="P606" s="33" t="str">
        <f>HYPERLINK("https://my.zakupivli.pro/remote/dispatcher/state_purchase_view/51817090", "UA-2024-06-25-000508-a")</f>
        <v>UA-2024-06-25-000508-a</v>
      </c>
      <c r="Q606" s="257">
        <v>172.96986000000001</v>
      </c>
      <c r="R606" s="257">
        <v>1</v>
      </c>
      <c r="S606" s="257">
        <v>172.96986000000001</v>
      </c>
      <c r="T606" s="256">
        <v>45467</v>
      </c>
      <c r="U606" s="132"/>
      <c r="V606" s="257" t="s">
        <v>59</v>
      </c>
    </row>
    <row r="607" spans="1:22" ht="78" x14ac:dyDescent="0.3">
      <c r="A607" s="132">
        <v>601</v>
      </c>
      <c r="B607" s="43" t="s">
        <v>40</v>
      </c>
      <c r="C607" s="44" t="s">
        <v>885</v>
      </c>
      <c r="D607" s="132"/>
      <c r="E607" s="257" t="s">
        <v>373</v>
      </c>
      <c r="F607" s="44" t="s">
        <v>1285</v>
      </c>
      <c r="G607" s="257" t="s">
        <v>184</v>
      </c>
      <c r="H607" s="132">
        <v>118.16503</v>
      </c>
      <c r="I607" s="257">
        <v>1</v>
      </c>
      <c r="J607" s="257">
        <v>118.16503</v>
      </c>
      <c r="K607" s="257">
        <v>118.16503</v>
      </c>
      <c r="L607" s="257">
        <v>1</v>
      </c>
      <c r="M607" s="257">
        <v>118.16503</v>
      </c>
      <c r="N607" s="6" t="s">
        <v>1294</v>
      </c>
      <c r="O607" s="256">
        <v>45468</v>
      </c>
      <c r="P607" s="33" t="str">
        <f>HYPERLINK("https://my.zakupivli.pro/remote/dispatcher/state_purchase_view/51816944", "UA-2024-06-25-000445-a")</f>
        <v>UA-2024-06-25-000445-a</v>
      </c>
      <c r="Q607" s="257">
        <v>118.16503</v>
      </c>
      <c r="R607" s="257">
        <v>1</v>
      </c>
      <c r="S607" s="257">
        <v>118.16503</v>
      </c>
      <c r="T607" s="256">
        <v>45467</v>
      </c>
      <c r="U607" s="132"/>
      <c r="V607" s="257" t="s">
        <v>59</v>
      </c>
    </row>
    <row r="608" spans="1:22" ht="62.4" x14ac:dyDescent="0.3">
      <c r="A608" s="132">
        <v>602</v>
      </c>
      <c r="B608" s="43" t="s">
        <v>40</v>
      </c>
      <c r="C608" s="44" t="s">
        <v>73</v>
      </c>
      <c r="D608" s="132"/>
      <c r="E608" s="258" t="s">
        <v>75</v>
      </c>
      <c r="F608" s="44" t="s">
        <v>1295</v>
      </c>
      <c r="G608" s="258" t="s">
        <v>184</v>
      </c>
      <c r="H608" s="132">
        <v>535.61528999999996</v>
      </c>
      <c r="I608" s="132">
        <v>1</v>
      </c>
      <c r="J608" s="258">
        <v>535.61528999999996</v>
      </c>
      <c r="K608" s="258">
        <v>535.61528999999996</v>
      </c>
      <c r="L608" s="258">
        <v>1</v>
      </c>
      <c r="M608" s="258">
        <v>535.61528999999996</v>
      </c>
      <c r="N608" s="6" t="s">
        <v>1296</v>
      </c>
      <c r="O608" s="133">
        <v>45469</v>
      </c>
      <c r="P608" s="33" t="str">
        <f>HYPERLINK("https://my.zakupivli.pro/remote/dispatcher/state_purchase_view/51864709", "UA-2024-06-26-010363-a")</f>
        <v>UA-2024-06-26-010363-a</v>
      </c>
      <c r="Q608" s="258">
        <v>535.61528999999996</v>
      </c>
      <c r="R608" s="258">
        <v>1</v>
      </c>
      <c r="S608" s="258">
        <v>535.61528999999996</v>
      </c>
      <c r="T608" s="133">
        <v>45469</v>
      </c>
      <c r="U608" s="132"/>
      <c r="V608" s="258" t="s">
        <v>59</v>
      </c>
    </row>
    <row r="609" spans="1:22" ht="62.4" x14ac:dyDescent="0.3">
      <c r="A609" s="132">
        <v>603</v>
      </c>
      <c r="B609" s="43" t="s">
        <v>21</v>
      </c>
      <c r="C609" s="44" t="s">
        <v>413</v>
      </c>
      <c r="D609" s="132"/>
      <c r="E609" s="259" t="s">
        <v>373</v>
      </c>
      <c r="F609" s="225" t="s">
        <v>1297</v>
      </c>
      <c r="G609" s="132" t="s">
        <v>185</v>
      </c>
      <c r="H609" s="132">
        <v>64.333330000000004</v>
      </c>
      <c r="I609" s="132">
        <v>1</v>
      </c>
      <c r="J609" s="259">
        <v>64.333330000000004</v>
      </c>
      <c r="K609" s="259">
        <v>64.333330000000004</v>
      </c>
      <c r="L609" s="259">
        <v>1</v>
      </c>
      <c r="M609" s="259">
        <v>64.333330000000004</v>
      </c>
      <c r="N609" s="6" t="s">
        <v>1298</v>
      </c>
      <c r="O609" s="133">
        <v>45474</v>
      </c>
      <c r="P609" s="33" t="str">
        <f>HYPERLINK("https://my.zakupivli.pro/remote/dispatcher/state_purchase_view/51920404", "UA-2024-07-01-004453-a")</f>
        <v>UA-2024-07-01-004453-a</v>
      </c>
      <c r="Q609" s="259">
        <v>64.333330000000004</v>
      </c>
      <c r="R609" s="259">
        <v>1</v>
      </c>
      <c r="S609" s="259">
        <v>64.333330000000004</v>
      </c>
      <c r="T609" s="133">
        <v>45474</v>
      </c>
      <c r="U609" s="132"/>
      <c r="V609" s="259" t="s">
        <v>59</v>
      </c>
    </row>
    <row r="610" spans="1:22" ht="62.4" x14ac:dyDescent="0.3">
      <c r="A610" s="132">
        <v>604</v>
      </c>
      <c r="B610" s="43" t="s">
        <v>40</v>
      </c>
      <c r="C610" s="44" t="s">
        <v>41</v>
      </c>
      <c r="D610" s="132"/>
      <c r="E610" s="260" t="s">
        <v>75</v>
      </c>
      <c r="F610" s="44" t="s">
        <v>1299</v>
      </c>
      <c r="G610" s="260" t="s">
        <v>184</v>
      </c>
      <c r="H610" s="132">
        <v>675.13612000000001</v>
      </c>
      <c r="I610" s="132">
        <v>1</v>
      </c>
      <c r="J610" s="260">
        <v>675.13612000000001</v>
      </c>
      <c r="K610" s="260">
        <v>675.13612000000001</v>
      </c>
      <c r="L610" s="260">
        <v>1</v>
      </c>
      <c r="M610" s="260">
        <v>675.13612000000001</v>
      </c>
      <c r="N610" s="6" t="s">
        <v>1300</v>
      </c>
      <c r="O610" s="133">
        <v>45475</v>
      </c>
      <c r="P610" s="122" t="str">
        <f>HYPERLINK("https://my.zakupivli.pro/remote/dispatcher/state_purchase_view/51931077", "UA-2024-07-02-000094-a")</f>
        <v>UA-2024-07-02-000094-a</v>
      </c>
      <c r="Q610" s="260">
        <v>675.13612000000001</v>
      </c>
      <c r="R610" s="260">
        <v>1</v>
      </c>
      <c r="S610" s="260">
        <v>675.13612000000001</v>
      </c>
      <c r="T610" s="133">
        <v>45475</v>
      </c>
      <c r="U610" s="132"/>
      <c r="V610" s="260" t="s">
        <v>59</v>
      </c>
    </row>
    <row r="611" spans="1:22" ht="62.4" x14ac:dyDescent="0.3">
      <c r="A611" s="132">
        <v>605</v>
      </c>
      <c r="B611" s="43" t="s">
        <v>21</v>
      </c>
      <c r="C611" s="44" t="s">
        <v>1303</v>
      </c>
      <c r="D611" s="132"/>
      <c r="E611" s="261" t="s">
        <v>75</v>
      </c>
      <c r="F611" s="44" t="s">
        <v>1301</v>
      </c>
      <c r="G611" s="132" t="s">
        <v>185</v>
      </c>
      <c r="H611" s="132">
        <v>71.025000000000006</v>
      </c>
      <c r="I611" s="132">
        <v>1</v>
      </c>
      <c r="J611" s="261">
        <v>71.025000000000006</v>
      </c>
      <c r="K611" s="261">
        <v>71.025000000000006</v>
      </c>
      <c r="L611" s="261">
        <v>1</v>
      </c>
      <c r="M611" s="261">
        <v>71.025000000000006</v>
      </c>
      <c r="N611" s="6" t="s">
        <v>1304</v>
      </c>
      <c r="O611" s="133">
        <v>45476</v>
      </c>
      <c r="P611" s="33" t="str">
        <f>HYPERLINK("https://my.zakupivli.pro/remote/dispatcher/state_purchase_view/51960186", "UA-2024-07-03-002336-a")</f>
        <v>UA-2024-07-03-002336-a</v>
      </c>
      <c r="Q611" s="261">
        <v>71.025000000000006</v>
      </c>
      <c r="R611" s="261">
        <v>1</v>
      </c>
      <c r="S611" s="261">
        <v>71.025000000000006</v>
      </c>
      <c r="T611" s="133">
        <v>45476</v>
      </c>
      <c r="U611" s="132"/>
      <c r="V611" s="261" t="s">
        <v>59</v>
      </c>
    </row>
    <row r="612" spans="1:22" ht="62.4" x14ac:dyDescent="0.3">
      <c r="A612" s="132">
        <v>606</v>
      </c>
      <c r="B612" s="43" t="s">
        <v>40</v>
      </c>
      <c r="C612" s="44" t="s">
        <v>73</v>
      </c>
      <c r="D612" s="132"/>
      <c r="E612" s="261" t="s">
        <v>75</v>
      </c>
      <c r="F612" s="44" t="s">
        <v>1302</v>
      </c>
      <c r="G612" s="132" t="s">
        <v>184</v>
      </c>
      <c r="H612" s="132">
        <v>184.85871</v>
      </c>
      <c r="I612" s="132">
        <v>1</v>
      </c>
      <c r="J612" s="261">
        <v>184.85871</v>
      </c>
      <c r="K612" s="261">
        <v>184.85871</v>
      </c>
      <c r="L612" s="261">
        <v>1</v>
      </c>
      <c r="M612" s="261">
        <v>184.85871</v>
      </c>
      <c r="N612" s="6" t="s">
        <v>1305</v>
      </c>
      <c r="O612" s="262">
        <v>45476</v>
      </c>
      <c r="P612" s="33" t="str">
        <f>HYPERLINK("https://my.zakupivli.pro/remote/dispatcher/state_purchase_view/51971165", "UA-2024-07-03-007270-a")</f>
        <v>UA-2024-07-03-007270-a</v>
      </c>
      <c r="Q612" s="261">
        <v>184.85871</v>
      </c>
      <c r="R612" s="261">
        <v>1</v>
      </c>
      <c r="S612" s="261">
        <v>184.85871</v>
      </c>
      <c r="T612" s="262">
        <v>45476</v>
      </c>
      <c r="U612" s="132"/>
      <c r="V612" s="261" t="s">
        <v>59</v>
      </c>
    </row>
    <row r="613" spans="1:22" ht="62.4" x14ac:dyDescent="0.3">
      <c r="A613" s="132">
        <v>607</v>
      </c>
      <c r="B613" s="43" t="s">
        <v>21</v>
      </c>
      <c r="C613" s="44" t="s">
        <v>895</v>
      </c>
      <c r="D613" s="132"/>
      <c r="E613" s="264" t="s">
        <v>75</v>
      </c>
      <c r="F613" s="44" t="s">
        <v>1306</v>
      </c>
      <c r="G613" s="132" t="s">
        <v>185</v>
      </c>
      <c r="H613" s="119">
        <v>16.5</v>
      </c>
      <c r="I613" s="132">
        <v>5</v>
      </c>
      <c r="J613" s="119">
        <v>82.5</v>
      </c>
      <c r="K613" s="119">
        <v>16.5</v>
      </c>
      <c r="L613" s="264">
        <v>5</v>
      </c>
      <c r="M613" s="119">
        <v>82.5</v>
      </c>
      <c r="N613" s="6" t="s">
        <v>1308</v>
      </c>
      <c r="O613" s="133">
        <v>45481</v>
      </c>
      <c r="P613" s="33" t="str">
        <f>HYPERLINK("https://my.zakupivli.pro/remote/dispatcher/state_purchase_view/52043167", "UA-2024-07-08-006396-a")</f>
        <v>UA-2024-07-08-006396-a</v>
      </c>
      <c r="Q613" s="119">
        <v>16.5</v>
      </c>
      <c r="R613" s="264">
        <v>5</v>
      </c>
      <c r="S613" s="119">
        <v>82.5</v>
      </c>
      <c r="T613" s="263">
        <v>45481</v>
      </c>
      <c r="U613" s="132"/>
      <c r="V613" s="264" t="s">
        <v>59</v>
      </c>
    </row>
    <row r="614" spans="1:22" ht="62.4" x14ac:dyDescent="0.3">
      <c r="A614" s="132">
        <v>608</v>
      </c>
      <c r="B614" s="43" t="s">
        <v>21</v>
      </c>
      <c r="C614" s="44" t="s">
        <v>32</v>
      </c>
      <c r="D614" s="132"/>
      <c r="E614" s="264" t="s">
        <v>75</v>
      </c>
      <c r="F614" s="44" t="s">
        <v>1307</v>
      </c>
      <c r="G614" s="132" t="s">
        <v>185</v>
      </c>
      <c r="H614" s="119">
        <v>36</v>
      </c>
      <c r="I614" s="132">
        <v>2</v>
      </c>
      <c r="J614" s="119">
        <v>72</v>
      </c>
      <c r="K614" s="119">
        <v>36</v>
      </c>
      <c r="L614" s="264">
        <v>2</v>
      </c>
      <c r="M614" s="119">
        <v>72</v>
      </c>
      <c r="N614" s="6" t="s">
        <v>1309</v>
      </c>
      <c r="O614" s="263">
        <v>45481</v>
      </c>
      <c r="P614" s="33" t="str">
        <f>HYPERLINK("https://my.zakupivli.pro/remote/dispatcher/state_purchase_view/52044369", "UA-2024-07-08-006915-a")</f>
        <v>UA-2024-07-08-006915-a</v>
      </c>
      <c r="Q614" s="119">
        <v>36</v>
      </c>
      <c r="R614" s="264">
        <v>2</v>
      </c>
      <c r="S614" s="119">
        <v>72</v>
      </c>
      <c r="T614" s="263">
        <v>45481</v>
      </c>
      <c r="U614" s="132"/>
      <c r="V614" s="264" t="s">
        <v>59</v>
      </c>
    </row>
    <row r="615" spans="1:22" ht="62.4" x14ac:dyDescent="0.3">
      <c r="A615" s="132">
        <v>609</v>
      </c>
      <c r="B615" s="43" t="s">
        <v>40</v>
      </c>
      <c r="C615" s="44" t="s">
        <v>73</v>
      </c>
      <c r="D615" s="132"/>
      <c r="E615" s="265" t="s">
        <v>75</v>
      </c>
      <c r="F615" s="44" t="s">
        <v>1310</v>
      </c>
      <c r="G615" s="265" t="s">
        <v>184</v>
      </c>
      <c r="H615" s="119">
        <v>98</v>
      </c>
      <c r="I615" s="132">
        <v>1</v>
      </c>
      <c r="J615" s="119">
        <v>98</v>
      </c>
      <c r="K615" s="119">
        <v>98</v>
      </c>
      <c r="L615" s="265">
        <v>1</v>
      </c>
      <c r="M615" s="119">
        <v>98</v>
      </c>
      <c r="N615" s="6" t="s">
        <v>1311</v>
      </c>
      <c r="O615" s="133">
        <v>45483</v>
      </c>
      <c r="P615" s="33" t="str">
        <f>HYPERLINK("https://my.zakupivli.pro/remote/dispatcher/state_purchase_view/52095853", "UA-2024-07-10-008265-a")</f>
        <v>UA-2024-07-10-008265-a</v>
      </c>
      <c r="Q615" s="119">
        <v>98</v>
      </c>
      <c r="R615" s="265">
        <v>1</v>
      </c>
      <c r="S615" s="119">
        <v>98</v>
      </c>
      <c r="T615" s="266">
        <v>45483</v>
      </c>
      <c r="U615" s="132"/>
      <c r="V615" s="265" t="s">
        <v>59</v>
      </c>
    </row>
    <row r="616" spans="1:22" ht="62.4" x14ac:dyDescent="0.3">
      <c r="A616" s="132">
        <v>610</v>
      </c>
      <c r="B616" s="43" t="s">
        <v>40</v>
      </c>
      <c r="C616" s="44" t="s">
        <v>885</v>
      </c>
      <c r="D616" s="132"/>
      <c r="E616" s="267" t="s">
        <v>373</v>
      </c>
      <c r="F616" s="44" t="s">
        <v>1312</v>
      </c>
      <c r="G616" s="267" t="s">
        <v>184</v>
      </c>
      <c r="H616" s="132">
        <v>961.83731999999998</v>
      </c>
      <c r="I616" s="132">
        <v>1</v>
      </c>
      <c r="J616" s="267">
        <v>961.83731999999998</v>
      </c>
      <c r="K616" s="267">
        <v>961.83731999999998</v>
      </c>
      <c r="L616" s="267">
        <v>1</v>
      </c>
      <c r="M616" s="267">
        <v>961.83731999999998</v>
      </c>
      <c r="N616" s="6" t="s">
        <v>1316</v>
      </c>
      <c r="O616" s="268">
        <v>45488</v>
      </c>
      <c r="P616" s="33" t="str">
        <f>HYPERLINK("https://my.zakupivli.pro/remote/dispatcher/state_purchase_view/52153166", "UA-2024-07-15-002029-a")</f>
        <v>UA-2024-07-15-002029-a</v>
      </c>
      <c r="Q616" s="267">
        <v>961.83731999999998</v>
      </c>
      <c r="R616" s="267">
        <v>1</v>
      </c>
      <c r="S616" s="267">
        <v>961.83731999999998</v>
      </c>
      <c r="T616" s="133">
        <v>45485</v>
      </c>
      <c r="U616" s="132"/>
      <c r="V616" s="267" t="s">
        <v>59</v>
      </c>
    </row>
    <row r="617" spans="1:22" ht="62.4" x14ac:dyDescent="0.3">
      <c r="A617" s="132">
        <v>611</v>
      </c>
      <c r="B617" s="43" t="s">
        <v>40</v>
      </c>
      <c r="C617" s="44" t="s">
        <v>885</v>
      </c>
      <c r="D617" s="132"/>
      <c r="E617" s="267" t="s">
        <v>373</v>
      </c>
      <c r="F617" s="44" t="s">
        <v>1313</v>
      </c>
      <c r="G617" s="267" t="s">
        <v>184</v>
      </c>
      <c r="H617" s="132">
        <v>270.08897000000002</v>
      </c>
      <c r="I617" s="132">
        <v>1</v>
      </c>
      <c r="J617" s="267">
        <v>270.08897000000002</v>
      </c>
      <c r="K617" s="267">
        <v>270.08897000000002</v>
      </c>
      <c r="L617" s="267">
        <v>1</v>
      </c>
      <c r="M617" s="267">
        <v>270.08897000000002</v>
      </c>
      <c r="N617" s="6" t="s">
        <v>1317</v>
      </c>
      <c r="O617" s="268">
        <v>45488</v>
      </c>
      <c r="P617" s="33" t="str">
        <f>HYPERLINK("https://my.zakupivli.pro/remote/dispatcher/state_purchase_view/52153696", "UA-2024-07-15-002322-a")</f>
        <v>UA-2024-07-15-002322-a</v>
      </c>
      <c r="Q617" s="267">
        <v>270.08897000000002</v>
      </c>
      <c r="R617" s="267">
        <v>1</v>
      </c>
      <c r="S617" s="267">
        <v>270.08897000000002</v>
      </c>
      <c r="T617" s="268">
        <v>45485</v>
      </c>
      <c r="U617" s="132"/>
      <c r="V617" s="267" t="s">
        <v>59</v>
      </c>
    </row>
    <row r="618" spans="1:22" ht="93.6" x14ac:dyDescent="0.3">
      <c r="A618" s="132">
        <v>612</v>
      </c>
      <c r="B618" s="43" t="s">
        <v>21</v>
      </c>
      <c r="C618" s="44" t="s">
        <v>1315</v>
      </c>
      <c r="D618" s="132"/>
      <c r="E618" s="267" t="s">
        <v>75</v>
      </c>
      <c r="F618" s="44" t="s">
        <v>1314</v>
      </c>
      <c r="G618" s="132" t="s">
        <v>186</v>
      </c>
      <c r="H618" s="132"/>
      <c r="I618" s="132">
        <v>14</v>
      </c>
      <c r="J618" s="132">
        <v>46.283360000000002</v>
      </c>
      <c r="K618" s="132"/>
      <c r="L618" s="267">
        <v>14</v>
      </c>
      <c r="M618" s="267">
        <v>46.283360000000002</v>
      </c>
      <c r="N618" s="6" t="s">
        <v>1318</v>
      </c>
      <c r="O618" s="268">
        <v>45488</v>
      </c>
      <c r="P618" s="33" t="str">
        <f>HYPERLINK("https://my.zakupivli.pro/remote/dispatcher/state_purchase_view/52158746", "UA-2024-07-15-004574-a")</f>
        <v>UA-2024-07-15-004574-a</v>
      </c>
      <c r="Q618" s="132"/>
      <c r="R618" s="267">
        <v>14</v>
      </c>
      <c r="S618" s="267">
        <v>46.283360000000002</v>
      </c>
      <c r="T618" s="133">
        <v>45488</v>
      </c>
      <c r="U618" s="132"/>
      <c r="V618" s="267" t="s">
        <v>59</v>
      </c>
    </row>
    <row r="619" spans="1:22" ht="62.4" x14ac:dyDescent="0.3">
      <c r="A619" s="132">
        <v>613</v>
      </c>
      <c r="B619" s="43" t="s">
        <v>40</v>
      </c>
      <c r="C619" s="44" t="s">
        <v>885</v>
      </c>
      <c r="D619" s="132"/>
      <c r="E619" s="269" t="s">
        <v>373</v>
      </c>
      <c r="F619" s="44" t="s">
        <v>1319</v>
      </c>
      <c r="G619" s="269" t="s">
        <v>184</v>
      </c>
      <c r="H619" s="132">
        <v>194.94922</v>
      </c>
      <c r="I619" s="132">
        <v>1</v>
      </c>
      <c r="J619" s="269">
        <v>194.94922</v>
      </c>
      <c r="K619" s="269">
        <v>194.94922</v>
      </c>
      <c r="L619" s="269">
        <v>1</v>
      </c>
      <c r="M619" s="269">
        <v>194.94922</v>
      </c>
      <c r="N619" s="6" t="s">
        <v>1320</v>
      </c>
      <c r="O619" s="133">
        <v>45489</v>
      </c>
      <c r="P619" s="33" t="str">
        <f>HYPERLINK("https://my.zakupivli.pro/remote/dispatcher/state_purchase_view/52186008", "UA-2024-07-16-006910-a")</f>
        <v>UA-2024-07-16-006910-a</v>
      </c>
      <c r="Q619" s="269">
        <v>194.94922</v>
      </c>
      <c r="R619" s="269">
        <v>1</v>
      </c>
      <c r="S619" s="269">
        <v>194.94922</v>
      </c>
      <c r="T619" s="270">
        <v>45489</v>
      </c>
      <c r="U619" s="132"/>
      <c r="V619" s="269" t="s">
        <v>59</v>
      </c>
    </row>
    <row r="620" spans="1:22" ht="62.4" x14ac:dyDescent="0.3">
      <c r="A620" s="132">
        <v>614</v>
      </c>
      <c r="B620" s="43" t="s">
        <v>1151</v>
      </c>
      <c r="C620" s="44" t="s">
        <v>1323</v>
      </c>
      <c r="D620" s="132"/>
      <c r="E620" s="271" t="s">
        <v>75</v>
      </c>
      <c r="F620" s="44" t="s">
        <v>1321</v>
      </c>
      <c r="G620" s="132" t="s">
        <v>1150</v>
      </c>
      <c r="H620" s="132">
        <v>83.293670000000006</v>
      </c>
      <c r="I620" s="132">
        <v>1</v>
      </c>
      <c r="J620" s="271">
        <v>83.293670000000006</v>
      </c>
      <c r="K620" s="271">
        <v>83.293670000000006</v>
      </c>
      <c r="L620" s="271">
        <v>1</v>
      </c>
      <c r="M620" s="271">
        <v>83.293670000000006</v>
      </c>
      <c r="N620" s="6" t="s">
        <v>1324</v>
      </c>
      <c r="O620" s="133">
        <v>45491</v>
      </c>
      <c r="P620" s="33" t="str">
        <f>HYPERLINK("https://my.zakupivli.pro/remote/dispatcher/state_purchase_view/52220424", "UA-2024-07-18-003108-a")</f>
        <v>UA-2024-07-18-003108-a</v>
      </c>
      <c r="Q620" s="271">
        <v>83.293670000000006</v>
      </c>
      <c r="R620" s="271">
        <v>1</v>
      </c>
      <c r="S620" s="271">
        <v>83.293670000000006</v>
      </c>
      <c r="T620" s="272">
        <v>45491</v>
      </c>
      <c r="U620" s="132"/>
      <c r="V620" s="271" t="s">
        <v>59</v>
      </c>
    </row>
    <row r="621" spans="1:22" ht="62.4" x14ac:dyDescent="0.3">
      <c r="A621" s="132">
        <v>615</v>
      </c>
      <c r="B621" s="43" t="s">
        <v>21</v>
      </c>
      <c r="C621" s="44" t="s">
        <v>1069</v>
      </c>
      <c r="D621" s="132"/>
      <c r="E621" s="271" t="s">
        <v>75</v>
      </c>
      <c r="F621" s="44" t="s">
        <v>1322</v>
      </c>
      <c r="G621" s="132" t="s">
        <v>185</v>
      </c>
      <c r="H621" s="132"/>
      <c r="I621" s="132">
        <v>44</v>
      </c>
      <c r="J621" s="132">
        <v>70.007000000000005</v>
      </c>
      <c r="K621" s="132"/>
      <c r="L621" s="271">
        <v>44</v>
      </c>
      <c r="M621" s="271">
        <v>70.007000000000005</v>
      </c>
      <c r="N621" s="6" t="s">
        <v>1325</v>
      </c>
      <c r="O621" s="272">
        <v>45491</v>
      </c>
      <c r="P621" s="33" t="str">
        <f>HYPERLINK("https://my.zakupivli.pro/remote/dispatcher/state_purchase_view/52221727", "UA-2024-07-18-003762-a")</f>
        <v>UA-2024-07-18-003762-a</v>
      </c>
      <c r="Q621" s="132"/>
      <c r="R621" s="271">
        <v>44</v>
      </c>
      <c r="S621" s="271">
        <v>70.007000000000005</v>
      </c>
      <c r="T621" s="272">
        <v>45491</v>
      </c>
      <c r="U621" s="132"/>
      <c r="V621" s="271" t="s">
        <v>59</v>
      </c>
    </row>
    <row r="622" spans="1:22" ht="62.4" x14ac:dyDescent="0.3">
      <c r="A622" s="132">
        <v>616</v>
      </c>
      <c r="B622" s="43" t="s">
        <v>40</v>
      </c>
      <c r="C622" s="44" t="s">
        <v>885</v>
      </c>
      <c r="D622" s="132"/>
      <c r="E622" s="273" t="s">
        <v>373</v>
      </c>
      <c r="F622" s="44" t="s">
        <v>1326</v>
      </c>
      <c r="G622" s="273" t="s">
        <v>184</v>
      </c>
      <c r="H622" s="132">
        <v>163.80811</v>
      </c>
      <c r="I622" s="132">
        <v>1</v>
      </c>
      <c r="J622" s="273">
        <v>163.80811</v>
      </c>
      <c r="K622" s="273">
        <v>163.80811</v>
      </c>
      <c r="L622" s="273">
        <v>1</v>
      </c>
      <c r="M622" s="273">
        <v>163.80811</v>
      </c>
      <c r="N622" s="6" t="s">
        <v>1331</v>
      </c>
      <c r="O622" s="133">
        <v>45495</v>
      </c>
      <c r="P622" s="33" t="str">
        <f>HYPERLINK("https://my.zakupivli.pro/remote/dispatcher/state_purchase_view/52265646", "UA-2024-07-22-001735-a")</f>
        <v>UA-2024-07-22-001735-a</v>
      </c>
      <c r="Q622" s="273">
        <v>163.80811</v>
      </c>
      <c r="R622" s="273">
        <v>1</v>
      </c>
      <c r="S622" s="273">
        <v>163.80811</v>
      </c>
      <c r="T622" s="274">
        <v>45492</v>
      </c>
      <c r="U622" s="132"/>
      <c r="V622" s="273" t="s">
        <v>59</v>
      </c>
    </row>
    <row r="623" spans="1:22" ht="62.4" x14ac:dyDescent="0.3">
      <c r="A623" s="132">
        <v>617</v>
      </c>
      <c r="B623" s="43" t="s">
        <v>40</v>
      </c>
      <c r="C623" s="44" t="s">
        <v>885</v>
      </c>
      <c r="D623" s="132"/>
      <c r="E623" s="273" t="s">
        <v>373</v>
      </c>
      <c r="F623" s="44" t="s">
        <v>1327</v>
      </c>
      <c r="G623" s="273" t="s">
        <v>184</v>
      </c>
      <c r="H623" s="132">
        <v>304.15636000000001</v>
      </c>
      <c r="I623" s="273">
        <v>1</v>
      </c>
      <c r="J623" s="273">
        <v>304.15636000000001</v>
      </c>
      <c r="K623" s="273">
        <v>304.15636000000001</v>
      </c>
      <c r="L623" s="273">
        <v>1</v>
      </c>
      <c r="M623" s="273">
        <v>304.15636000000001</v>
      </c>
      <c r="N623" s="6" t="s">
        <v>1332</v>
      </c>
      <c r="O623" s="274">
        <v>45495</v>
      </c>
      <c r="P623" s="33" t="str">
        <f>HYPERLINK("https://my.zakupivli.pro/remote/dispatcher/state_purchase_view/52266655", "UA-2024-07-22-002244-a")</f>
        <v>UA-2024-07-22-002244-a</v>
      </c>
      <c r="Q623" s="273">
        <v>304.15636000000001</v>
      </c>
      <c r="R623" s="273">
        <v>1</v>
      </c>
      <c r="S623" s="273">
        <v>304.15636000000001</v>
      </c>
      <c r="T623" s="274">
        <v>45492</v>
      </c>
      <c r="U623" s="132"/>
      <c r="V623" s="273" t="s">
        <v>59</v>
      </c>
    </row>
    <row r="624" spans="1:22" ht="62.4" x14ac:dyDescent="0.3">
      <c r="A624" s="132">
        <v>618</v>
      </c>
      <c r="B624" s="43" t="s">
        <v>21</v>
      </c>
      <c r="C624" s="44" t="s">
        <v>413</v>
      </c>
      <c r="D624" s="132"/>
      <c r="E624" s="273" t="s">
        <v>373</v>
      </c>
      <c r="F624" s="44" t="s">
        <v>1328</v>
      </c>
      <c r="G624" s="273" t="s">
        <v>185</v>
      </c>
      <c r="H624" s="119">
        <v>64.5</v>
      </c>
      <c r="I624" s="273">
        <v>1</v>
      </c>
      <c r="J624" s="119">
        <v>64.5</v>
      </c>
      <c r="K624" s="119">
        <v>64.5</v>
      </c>
      <c r="L624" s="273">
        <v>1</v>
      </c>
      <c r="M624" s="119">
        <v>64.5</v>
      </c>
      <c r="N624" s="6" t="s">
        <v>1333</v>
      </c>
      <c r="O624" s="274">
        <v>45495</v>
      </c>
      <c r="P624" s="33" t="str">
        <f>HYPERLINK("https://my.zakupivli.pro/remote/dispatcher/state_purchase_view/52281063", "UA-2024-07-22-008778-a")</f>
        <v>UA-2024-07-22-008778-a</v>
      </c>
      <c r="Q624" s="119">
        <v>64.5</v>
      </c>
      <c r="R624" s="273">
        <v>1</v>
      </c>
      <c r="S624" s="119">
        <v>64.5</v>
      </c>
      <c r="T624" s="274">
        <v>45495</v>
      </c>
      <c r="U624" s="132"/>
      <c r="V624" s="273" t="s">
        <v>59</v>
      </c>
    </row>
    <row r="625" spans="1:22" ht="62.4" x14ac:dyDescent="0.3">
      <c r="A625" s="132">
        <v>619</v>
      </c>
      <c r="B625" s="43" t="s">
        <v>40</v>
      </c>
      <c r="C625" s="44" t="s">
        <v>885</v>
      </c>
      <c r="D625" s="132"/>
      <c r="E625" s="273" t="s">
        <v>373</v>
      </c>
      <c r="F625" s="44" t="s">
        <v>1329</v>
      </c>
      <c r="G625" s="273" t="s">
        <v>184</v>
      </c>
      <c r="H625" s="132">
        <v>388.76083999999997</v>
      </c>
      <c r="I625" s="273">
        <v>1</v>
      </c>
      <c r="J625" s="273">
        <v>388.76083999999997</v>
      </c>
      <c r="K625" s="273">
        <v>388.76083999999997</v>
      </c>
      <c r="L625" s="273">
        <v>1</v>
      </c>
      <c r="M625" s="273">
        <v>388.76083999999997</v>
      </c>
      <c r="N625" s="6" t="s">
        <v>1334</v>
      </c>
      <c r="O625" s="274">
        <v>45495</v>
      </c>
      <c r="P625" s="33" t="str">
        <f>HYPERLINK("https://my.zakupivli.pro/remote/dispatcher/state_purchase_view/52281767", "UA-2024-07-22-009143-a")</f>
        <v>UA-2024-07-22-009143-a</v>
      </c>
      <c r="Q625" s="273">
        <v>388.76083999999997</v>
      </c>
      <c r="R625" s="273">
        <v>1</v>
      </c>
      <c r="S625" s="273">
        <v>388.76083999999997</v>
      </c>
      <c r="T625" s="133">
        <v>45485</v>
      </c>
      <c r="U625" s="132"/>
      <c r="V625" s="273" t="s">
        <v>59</v>
      </c>
    </row>
    <row r="626" spans="1:22" ht="62.4" x14ac:dyDescent="0.3">
      <c r="A626" s="132">
        <v>620</v>
      </c>
      <c r="B626" s="43" t="s">
        <v>40</v>
      </c>
      <c r="C626" s="44" t="s">
        <v>885</v>
      </c>
      <c r="D626" s="132"/>
      <c r="E626" s="273" t="s">
        <v>373</v>
      </c>
      <c r="F626" s="44" t="s">
        <v>1330</v>
      </c>
      <c r="G626" s="273" t="s">
        <v>184</v>
      </c>
      <c r="H626" s="132">
        <v>89.494219999999999</v>
      </c>
      <c r="I626" s="273">
        <v>1</v>
      </c>
      <c r="J626" s="273">
        <v>89.494219999999999</v>
      </c>
      <c r="K626" s="273">
        <v>89.494219999999999</v>
      </c>
      <c r="L626" s="273">
        <v>1</v>
      </c>
      <c r="M626" s="273">
        <v>89.494219999999999</v>
      </c>
      <c r="N626" s="6" t="s">
        <v>1335</v>
      </c>
      <c r="O626" s="274">
        <v>45495</v>
      </c>
      <c r="P626" s="33" t="str">
        <f>HYPERLINK("https://my.zakupivli.pro/remote/dispatcher/state_purchase_view/52282158", "UA-2024-07-22-009312-a")</f>
        <v>UA-2024-07-22-009312-a</v>
      </c>
      <c r="Q626" s="273">
        <v>89.494219999999999</v>
      </c>
      <c r="R626" s="273">
        <v>1</v>
      </c>
      <c r="S626" s="273">
        <v>89.494219999999999</v>
      </c>
      <c r="T626" s="274">
        <v>45485</v>
      </c>
      <c r="U626" s="132"/>
      <c r="V626" s="273" t="s">
        <v>59</v>
      </c>
    </row>
    <row r="627" spans="1:22" ht="62.4" x14ac:dyDescent="0.3">
      <c r="A627" s="132">
        <v>621</v>
      </c>
      <c r="B627" s="43" t="s">
        <v>40</v>
      </c>
      <c r="C627" s="44" t="s">
        <v>885</v>
      </c>
      <c r="D627" s="132"/>
      <c r="E627" s="275" t="s">
        <v>373</v>
      </c>
      <c r="F627" s="44" t="s">
        <v>1336</v>
      </c>
      <c r="G627" s="275" t="s">
        <v>184</v>
      </c>
      <c r="H627" s="132">
        <v>293.29867999999999</v>
      </c>
      <c r="I627" s="275">
        <v>1</v>
      </c>
      <c r="J627" s="275">
        <v>293.29867999999999</v>
      </c>
      <c r="K627" s="275">
        <v>293.29867999999999</v>
      </c>
      <c r="L627" s="275">
        <v>1</v>
      </c>
      <c r="M627" s="275">
        <v>293.29867999999999</v>
      </c>
      <c r="N627" s="6" t="s">
        <v>1338</v>
      </c>
      <c r="O627" s="133">
        <v>45496</v>
      </c>
      <c r="P627" s="33" t="str">
        <f>HYPERLINK("https://my.zakupivli.pro/remote/dispatcher/state_purchase_view/52298726", "UA-2024-07-23-006360-a")</f>
        <v>UA-2024-07-23-006360-a</v>
      </c>
      <c r="Q627" s="275">
        <v>293.29867999999999</v>
      </c>
      <c r="R627" s="275">
        <v>1</v>
      </c>
      <c r="S627" s="275">
        <v>293.29867999999999</v>
      </c>
      <c r="T627" s="276">
        <v>45496</v>
      </c>
      <c r="U627" s="132"/>
      <c r="V627" s="275" t="s">
        <v>59</v>
      </c>
    </row>
    <row r="628" spans="1:22" ht="62.4" x14ac:dyDescent="0.3">
      <c r="A628" s="132">
        <v>622</v>
      </c>
      <c r="B628" s="43" t="s">
        <v>40</v>
      </c>
      <c r="C628" s="44" t="s">
        <v>73</v>
      </c>
      <c r="D628" s="132"/>
      <c r="E628" s="275" t="s">
        <v>75</v>
      </c>
      <c r="F628" s="44" t="s">
        <v>1337</v>
      </c>
      <c r="G628" s="275" t="s">
        <v>184</v>
      </c>
      <c r="H628" s="132">
        <v>404.05291999999997</v>
      </c>
      <c r="I628" s="275">
        <v>1</v>
      </c>
      <c r="J628" s="275">
        <v>404.05291999999997</v>
      </c>
      <c r="K628" s="275">
        <v>404.05291999999997</v>
      </c>
      <c r="L628" s="275">
        <v>1</v>
      </c>
      <c r="M628" s="275">
        <v>404.05291999999997</v>
      </c>
      <c r="N628" s="6" t="s">
        <v>1339</v>
      </c>
      <c r="O628" s="276">
        <v>45496</v>
      </c>
      <c r="P628" s="33" t="str">
        <f>HYPERLINK("https://my.zakupivli.pro/remote/dispatcher/state_purchase_view/52299011", "UA-2024-07-23-006477-a")</f>
        <v>UA-2024-07-23-006477-a</v>
      </c>
      <c r="Q628" s="275">
        <v>404.05291999999997</v>
      </c>
      <c r="R628" s="275">
        <v>1</v>
      </c>
      <c r="S628" s="275">
        <v>404.05291999999997</v>
      </c>
      <c r="T628" s="276">
        <v>45496</v>
      </c>
      <c r="U628" s="132"/>
      <c r="V628" s="275" t="s">
        <v>59</v>
      </c>
    </row>
    <row r="629" spans="1:22" ht="78" x14ac:dyDescent="0.3">
      <c r="A629" s="132">
        <v>623</v>
      </c>
      <c r="B629" s="43" t="s">
        <v>40</v>
      </c>
      <c r="C629" s="44" t="s">
        <v>885</v>
      </c>
      <c r="D629" s="132"/>
      <c r="E629" s="277" t="s">
        <v>373</v>
      </c>
      <c r="F629" s="44" t="s">
        <v>1340</v>
      </c>
      <c r="G629" s="277" t="s">
        <v>184</v>
      </c>
      <c r="H629" s="132">
        <v>89.274900000000002</v>
      </c>
      <c r="I629" s="277">
        <v>1</v>
      </c>
      <c r="J629" s="277">
        <v>89.274900000000002</v>
      </c>
      <c r="K629" s="277">
        <v>89.274900000000002</v>
      </c>
      <c r="L629" s="277">
        <v>1</v>
      </c>
      <c r="M629" s="277">
        <v>89.274900000000002</v>
      </c>
      <c r="N629" s="6" t="s">
        <v>1344</v>
      </c>
      <c r="O629" s="133">
        <v>45497</v>
      </c>
      <c r="P629" s="281" t="str">
        <f>HYPERLINK("https://my.zakupivli.pro/remote/dispatcher/state_purchase_view/52314049", "UA-2024-07-24-001383-a")</f>
        <v>UA-2024-07-24-001383-a</v>
      </c>
      <c r="Q629" s="277">
        <v>89.274900000000002</v>
      </c>
      <c r="R629" s="277">
        <v>1</v>
      </c>
      <c r="S629" s="277">
        <v>89.274900000000002</v>
      </c>
      <c r="T629" s="278">
        <v>45496</v>
      </c>
      <c r="U629" s="132"/>
      <c r="V629" s="277" t="s">
        <v>59</v>
      </c>
    </row>
    <row r="630" spans="1:22" ht="78" x14ac:dyDescent="0.3">
      <c r="A630" s="132">
        <v>624</v>
      </c>
      <c r="B630" s="43" t="s">
        <v>40</v>
      </c>
      <c r="C630" s="44" t="s">
        <v>885</v>
      </c>
      <c r="D630" s="132"/>
      <c r="E630" s="277" t="s">
        <v>373</v>
      </c>
      <c r="F630" s="44" t="s">
        <v>1341</v>
      </c>
      <c r="G630" s="277" t="s">
        <v>184</v>
      </c>
      <c r="H630" s="132">
        <v>294.02537999999998</v>
      </c>
      <c r="I630" s="277">
        <v>1</v>
      </c>
      <c r="J630" s="277">
        <v>294.02537999999998</v>
      </c>
      <c r="K630" s="277">
        <v>294.02537999999998</v>
      </c>
      <c r="L630" s="277">
        <v>1</v>
      </c>
      <c r="M630" s="277">
        <v>294.02537999999998</v>
      </c>
      <c r="N630" s="6" t="s">
        <v>1345</v>
      </c>
      <c r="O630" s="278">
        <v>45497</v>
      </c>
      <c r="P630" s="281" t="str">
        <f>HYPERLINK("https://my.zakupivli.pro/remote/dispatcher/state_purchase_view/52314938", "UA-2024-07-24-001792-a")</f>
        <v>UA-2024-07-24-001792-a</v>
      </c>
      <c r="Q630" s="277">
        <v>294.02537999999998</v>
      </c>
      <c r="R630" s="277">
        <v>1</v>
      </c>
      <c r="S630" s="277">
        <v>294.02537999999998</v>
      </c>
      <c r="T630" s="278">
        <v>45496</v>
      </c>
      <c r="U630" s="132"/>
      <c r="V630" s="277" t="s">
        <v>59</v>
      </c>
    </row>
    <row r="631" spans="1:22" ht="78" x14ac:dyDescent="0.3">
      <c r="A631" s="132">
        <v>625</v>
      </c>
      <c r="B631" s="43" t="s">
        <v>40</v>
      </c>
      <c r="C631" s="44" t="s">
        <v>41</v>
      </c>
      <c r="D631" s="132"/>
      <c r="E631" s="277" t="s">
        <v>373</v>
      </c>
      <c r="F631" s="44" t="s">
        <v>1342</v>
      </c>
      <c r="G631" s="277" t="s">
        <v>184</v>
      </c>
      <c r="H631" s="132">
        <v>106.82431</v>
      </c>
      <c r="I631" s="277">
        <v>1</v>
      </c>
      <c r="J631" s="277">
        <v>106.82431</v>
      </c>
      <c r="K631" s="277">
        <v>106.82431</v>
      </c>
      <c r="L631" s="277">
        <v>1</v>
      </c>
      <c r="M631" s="277">
        <v>106.82431</v>
      </c>
      <c r="N631" s="6" t="s">
        <v>1346</v>
      </c>
      <c r="O631" s="278">
        <v>45497</v>
      </c>
      <c r="P631" s="281" t="str">
        <f>HYPERLINK("https://my.zakupivli.pro/remote/dispatcher/state_purchase_view/52315339", "UA-2024-07-24-001967-a")</f>
        <v>UA-2024-07-24-001967-a</v>
      </c>
      <c r="Q631" s="277">
        <v>106.82431</v>
      </c>
      <c r="R631" s="277">
        <v>1</v>
      </c>
      <c r="S631" s="277">
        <v>106.82431</v>
      </c>
      <c r="T631" s="278">
        <v>45496</v>
      </c>
      <c r="U631" s="132"/>
      <c r="V631" s="277" t="s">
        <v>59</v>
      </c>
    </row>
    <row r="632" spans="1:22" ht="140.4" x14ac:dyDescent="0.3">
      <c r="A632" s="132">
        <v>626</v>
      </c>
      <c r="B632" s="43" t="s">
        <v>40</v>
      </c>
      <c r="C632" s="44" t="s">
        <v>41</v>
      </c>
      <c r="D632" s="277" t="s">
        <v>58</v>
      </c>
      <c r="E632" s="277" t="s">
        <v>373</v>
      </c>
      <c r="F632" s="44" t="s">
        <v>1343</v>
      </c>
      <c r="G632" s="277" t="s">
        <v>184</v>
      </c>
      <c r="H632" s="132">
        <v>1809.5909999999999</v>
      </c>
      <c r="I632" s="277">
        <v>1</v>
      </c>
      <c r="J632" s="277">
        <v>1809.5909999999999</v>
      </c>
      <c r="K632" s="277">
        <v>1809.5909999999999</v>
      </c>
      <c r="L632" s="277">
        <v>1</v>
      </c>
      <c r="M632" s="277">
        <v>1809.5909999999999</v>
      </c>
      <c r="N632" s="6" t="s">
        <v>1347</v>
      </c>
      <c r="O632" s="278">
        <v>45497</v>
      </c>
      <c r="P632" s="281" t="str">
        <f>HYPERLINK("https://my.zakupivli.pro/remote/dispatcher/state_purchase_view/52333680", "UA-2024-07-24-010258-a")</f>
        <v>UA-2024-07-24-010258-a</v>
      </c>
      <c r="Q632" s="313">
        <v>1809.5909999999999</v>
      </c>
      <c r="R632" s="132">
        <v>1</v>
      </c>
      <c r="S632" s="132">
        <v>1809.5909999999999</v>
      </c>
      <c r="T632" s="133">
        <v>45512</v>
      </c>
      <c r="U632" s="132"/>
      <c r="V632" s="277"/>
    </row>
    <row r="633" spans="1:22" ht="78" x14ac:dyDescent="0.3">
      <c r="A633" s="132">
        <v>627</v>
      </c>
      <c r="B633" s="43" t="s">
        <v>40</v>
      </c>
      <c r="C633" s="44" t="s">
        <v>885</v>
      </c>
      <c r="D633" s="132"/>
      <c r="E633" s="291" t="s">
        <v>373</v>
      </c>
      <c r="F633" s="44" t="s">
        <v>1352</v>
      </c>
      <c r="G633" s="279" t="s">
        <v>184</v>
      </c>
      <c r="H633" s="132">
        <v>359.43135000000001</v>
      </c>
      <c r="I633" s="132">
        <v>1</v>
      </c>
      <c r="J633" s="279">
        <v>359.43135000000001</v>
      </c>
      <c r="K633" s="279">
        <v>359.43135000000001</v>
      </c>
      <c r="L633" s="279">
        <v>1</v>
      </c>
      <c r="M633" s="279">
        <v>359.43135000000001</v>
      </c>
      <c r="N633" s="6" t="s">
        <v>1353</v>
      </c>
      <c r="O633" s="133">
        <v>45498</v>
      </c>
      <c r="P633" s="33" t="str">
        <f>HYPERLINK("https://my.zakupivli.pro/remote/dispatcher/state_purchase_view/52342173", "UA-2024-07-25-002699-a")</f>
        <v>UA-2024-07-25-002699-a</v>
      </c>
      <c r="Q633" s="279">
        <v>359.43135000000001</v>
      </c>
      <c r="R633" s="279">
        <v>1</v>
      </c>
      <c r="S633" s="279">
        <v>359.43135000000001</v>
      </c>
      <c r="T633" s="280">
        <v>45497</v>
      </c>
      <c r="U633" s="132"/>
      <c r="V633" s="279" t="s">
        <v>59</v>
      </c>
    </row>
    <row r="634" spans="1:22" ht="78" x14ac:dyDescent="0.3">
      <c r="A634" s="132">
        <v>628</v>
      </c>
      <c r="B634" s="43" t="s">
        <v>40</v>
      </c>
      <c r="C634" s="44" t="s">
        <v>885</v>
      </c>
      <c r="D634" s="132"/>
      <c r="E634" s="291" t="s">
        <v>373</v>
      </c>
      <c r="F634" s="44" t="s">
        <v>1351</v>
      </c>
      <c r="G634" s="279" t="s">
        <v>184</v>
      </c>
      <c r="H634" s="132">
        <v>298.44211000000001</v>
      </c>
      <c r="I634" s="132">
        <v>1</v>
      </c>
      <c r="J634" s="279">
        <v>298.44211000000001</v>
      </c>
      <c r="K634" s="279">
        <v>298.44211000000001</v>
      </c>
      <c r="L634" s="279">
        <v>1</v>
      </c>
      <c r="M634" s="279">
        <v>298.44211000000001</v>
      </c>
      <c r="N634" s="6" t="s">
        <v>1354</v>
      </c>
      <c r="O634" s="280">
        <v>45498</v>
      </c>
      <c r="P634" s="33" t="str">
        <f>HYPERLINK("https://my.zakupivli.pro/remote/dispatcher/state_purchase_view/52343625", "UA-2024-07-25-003393-a")</f>
        <v>UA-2024-07-25-003393-a</v>
      </c>
      <c r="Q634" s="279">
        <v>298.44211000000001</v>
      </c>
      <c r="R634" s="279">
        <v>1</v>
      </c>
      <c r="S634" s="279">
        <v>298.44211000000001</v>
      </c>
      <c r="T634" s="280">
        <v>45497</v>
      </c>
      <c r="U634" s="132"/>
      <c r="V634" s="279" t="s">
        <v>59</v>
      </c>
    </row>
    <row r="635" spans="1:22" ht="78" x14ac:dyDescent="0.3">
      <c r="A635" s="132">
        <v>629</v>
      </c>
      <c r="B635" s="43" t="s">
        <v>40</v>
      </c>
      <c r="C635" s="44" t="s">
        <v>885</v>
      </c>
      <c r="D635" s="132"/>
      <c r="E635" s="291" t="s">
        <v>373</v>
      </c>
      <c r="F635" s="44" t="s">
        <v>1350</v>
      </c>
      <c r="G635" s="279" t="s">
        <v>184</v>
      </c>
      <c r="H635" s="132">
        <v>278.61887000000002</v>
      </c>
      <c r="I635" s="132">
        <v>1</v>
      </c>
      <c r="J635" s="279">
        <v>278.61887000000002</v>
      </c>
      <c r="K635" s="279">
        <v>278.61887000000002</v>
      </c>
      <c r="L635" s="279">
        <v>1</v>
      </c>
      <c r="M635" s="279">
        <v>278.61887000000002</v>
      </c>
      <c r="N635" s="6" t="s">
        <v>1355</v>
      </c>
      <c r="O635" s="280">
        <v>45498</v>
      </c>
      <c r="P635" s="33" t="str">
        <f>HYPERLINK("https://my.zakupivli.pro/remote/dispatcher/state_purchase_view/52344173", "UA-2024-07-25-003656-a")</f>
        <v>UA-2024-07-25-003656-a</v>
      </c>
      <c r="Q635" s="279">
        <v>278.61887000000002</v>
      </c>
      <c r="R635" s="279">
        <v>1</v>
      </c>
      <c r="S635" s="279">
        <v>278.61887000000002</v>
      </c>
      <c r="T635" s="280">
        <v>45497</v>
      </c>
      <c r="U635" s="132"/>
      <c r="V635" s="279" t="s">
        <v>59</v>
      </c>
    </row>
    <row r="636" spans="1:22" ht="62.4" x14ac:dyDescent="0.3">
      <c r="A636" s="132">
        <v>630</v>
      </c>
      <c r="B636" s="43" t="s">
        <v>21</v>
      </c>
      <c r="C636" s="44" t="s">
        <v>406</v>
      </c>
      <c r="D636" s="279" t="s">
        <v>58</v>
      </c>
      <c r="E636" s="291" t="s">
        <v>75</v>
      </c>
      <c r="F636" s="44" t="s">
        <v>1349</v>
      </c>
      <c r="G636" s="132" t="s">
        <v>185</v>
      </c>
      <c r="H636" s="119">
        <v>562.5</v>
      </c>
      <c r="I636" s="132">
        <v>1</v>
      </c>
      <c r="J636" s="119">
        <v>562.5</v>
      </c>
      <c r="K636" s="119">
        <v>562.5</v>
      </c>
      <c r="L636" s="279">
        <v>1</v>
      </c>
      <c r="M636" s="119">
        <v>562.5</v>
      </c>
      <c r="N636" s="6" t="s">
        <v>1356</v>
      </c>
      <c r="O636" s="280">
        <v>45498</v>
      </c>
      <c r="P636" s="33" t="str">
        <f>HYPERLINK("https://my.zakupivli.pro/remote/dispatcher/state_purchase_view/52349219", "UA-2024-07-25-005997-a")</f>
        <v>UA-2024-07-25-005997-a</v>
      </c>
      <c r="Q636" s="119">
        <v>350</v>
      </c>
      <c r="R636" s="132">
        <v>1</v>
      </c>
      <c r="S636" s="119">
        <v>350</v>
      </c>
      <c r="T636" s="133">
        <v>45538</v>
      </c>
      <c r="U636" s="132"/>
      <c r="V636" s="132"/>
    </row>
    <row r="637" spans="1:22" ht="62.4" x14ac:dyDescent="0.3">
      <c r="A637" s="132">
        <v>631</v>
      </c>
      <c r="B637" s="43" t="s">
        <v>21</v>
      </c>
      <c r="C637" s="44" t="s">
        <v>805</v>
      </c>
      <c r="D637" s="132"/>
      <c r="E637" s="291" t="s">
        <v>75</v>
      </c>
      <c r="F637" s="44" t="s">
        <v>1348</v>
      </c>
      <c r="G637" s="132" t="s">
        <v>185</v>
      </c>
      <c r="H637" s="132">
        <v>16.698</v>
      </c>
      <c r="I637" s="132">
        <v>4</v>
      </c>
      <c r="J637" s="132">
        <v>66.792000000000002</v>
      </c>
      <c r="K637" s="279">
        <v>16.698</v>
      </c>
      <c r="L637" s="279">
        <v>4</v>
      </c>
      <c r="M637" s="279">
        <v>66.792000000000002</v>
      </c>
      <c r="N637" s="6" t="s">
        <v>1357</v>
      </c>
      <c r="O637" s="280">
        <v>45498</v>
      </c>
      <c r="P637" s="33" t="str">
        <f>HYPERLINK("https://my.zakupivli.pro/remote/dispatcher/state_purchase_view/52353571", "UA-2024-07-25-008020-a")</f>
        <v>UA-2024-07-25-008020-a</v>
      </c>
      <c r="Q637" s="279">
        <v>16.698</v>
      </c>
      <c r="R637" s="279">
        <v>4</v>
      </c>
      <c r="S637" s="279">
        <v>66.792000000000002</v>
      </c>
      <c r="T637" s="280">
        <v>45498</v>
      </c>
      <c r="U637" s="132"/>
      <c r="V637" s="279" t="s">
        <v>59</v>
      </c>
    </row>
    <row r="638" spans="1:22" ht="62.4" x14ac:dyDescent="0.3">
      <c r="A638" s="132">
        <v>632</v>
      </c>
      <c r="B638" s="43" t="s">
        <v>21</v>
      </c>
      <c r="C638" s="44" t="s">
        <v>413</v>
      </c>
      <c r="D638" s="132"/>
      <c r="E638" s="282" t="s">
        <v>373</v>
      </c>
      <c r="F638" s="225" t="s">
        <v>1358</v>
      </c>
      <c r="G638" s="132" t="s">
        <v>185</v>
      </c>
      <c r="H638" s="119">
        <v>64.5</v>
      </c>
      <c r="I638" s="132">
        <v>1</v>
      </c>
      <c r="J638" s="119">
        <v>64.5</v>
      </c>
      <c r="K638" s="119">
        <v>64.5</v>
      </c>
      <c r="L638" s="282">
        <v>1</v>
      </c>
      <c r="M638" s="119">
        <v>64.5</v>
      </c>
      <c r="N638" s="6" t="s">
        <v>1359</v>
      </c>
      <c r="O638" s="133">
        <v>45502</v>
      </c>
      <c r="P638" s="33" t="str">
        <f>HYPERLINK("https://my.zakupivli.pro/remote/dispatcher/state_purchase_view/52388202", "UA-2024-07-29-002334-a")</f>
        <v>UA-2024-07-29-002334-a</v>
      </c>
      <c r="Q638" s="119">
        <v>64.5</v>
      </c>
      <c r="R638" s="282">
        <v>1</v>
      </c>
      <c r="S638" s="119">
        <v>64.5</v>
      </c>
      <c r="T638" s="283">
        <v>45502</v>
      </c>
      <c r="U638" s="132"/>
      <c r="V638" s="282" t="s">
        <v>59</v>
      </c>
    </row>
    <row r="639" spans="1:22" ht="62.4" x14ac:dyDescent="0.3">
      <c r="A639" s="132">
        <v>633</v>
      </c>
      <c r="B639" s="43" t="s">
        <v>40</v>
      </c>
      <c r="C639" s="44" t="s">
        <v>885</v>
      </c>
      <c r="D639" s="132"/>
      <c r="E639" s="284" t="s">
        <v>373</v>
      </c>
      <c r="F639" s="44" t="s">
        <v>1360</v>
      </c>
      <c r="G639" s="284" t="s">
        <v>184</v>
      </c>
      <c r="H639" s="132">
        <v>68.618139999999997</v>
      </c>
      <c r="I639" s="132">
        <v>1</v>
      </c>
      <c r="J639" s="284">
        <v>68.618139999999997</v>
      </c>
      <c r="K639" s="284">
        <v>68.618139999999997</v>
      </c>
      <c r="L639" s="284">
        <v>1</v>
      </c>
      <c r="M639" s="284">
        <v>68.618139999999997</v>
      </c>
      <c r="N639" s="6" t="s">
        <v>1361</v>
      </c>
      <c r="O639" s="133">
        <v>45505</v>
      </c>
      <c r="P639" s="33" t="str">
        <f>HYPERLINK("https://my.zakupivli.pro/remote/dispatcher/state_purchase_view/52465821", "UA-2024-08-01-006484-a")</f>
        <v>UA-2024-08-01-006484-a</v>
      </c>
      <c r="Q639" s="284">
        <v>68.618139999999997</v>
      </c>
      <c r="R639" s="284">
        <v>1</v>
      </c>
      <c r="S639" s="284">
        <v>68.618139999999997</v>
      </c>
      <c r="T639" s="133">
        <v>45505</v>
      </c>
      <c r="U639" s="132"/>
      <c r="V639" s="284" t="s">
        <v>59</v>
      </c>
    </row>
    <row r="640" spans="1:22" ht="62.4" x14ac:dyDescent="0.3">
      <c r="A640" s="132">
        <v>634</v>
      </c>
      <c r="B640" s="43" t="s">
        <v>40</v>
      </c>
      <c r="C640" s="44" t="s">
        <v>73</v>
      </c>
      <c r="D640" s="132"/>
      <c r="E640" s="285" t="s">
        <v>75</v>
      </c>
      <c r="F640" s="44" t="s">
        <v>1362</v>
      </c>
      <c r="G640" s="285" t="s">
        <v>184</v>
      </c>
      <c r="H640" s="132">
        <v>188.19801000000001</v>
      </c>
      <c r="I640" s="132">
        <v>1</v>
      </c>
      <c r="J640" s="285">
        <v>188.19801000000001</v>
      </c>
      <c r="K640" s="285">
        <v>188.19801000000001</v>
      </c>
      <c r="L640" s="285">
        <v>1</v>
      </c>
      <c r="M640" s="285">
        <v>188.19801000000001</v>
      </c>
      <c r="N640" s="6" t="s">
        <v>1366</v>
      </c>
      <c r="O640" s="133">
        <v>45509</v>
      </c>
      <c r="P640" s="33" t="str">
        <f>HYPERLINK("https://my.zakupivli.pro/remote/dispatcher/state_purchase_view/52516319", "UA-2024-08-05-006471-a")</f>
        <v>UA-2024-08-05-006471-a</v>
      </c>
      <c r="Q640" s="285">
        <v>188.19801000000001</v>
      </c>
      <c r="R640" s="285">
        <v>1</v>
      </c>
      <c r="S640" s="285">
        <v>188.19801000000001</v>
      </c>
      <c r="T640" s="286">
        <v>45509</v>
      </c>
      <c r="U640" s="132"/>
      <c r="V640" s="285" t="s">
        <v>59</v>
      </c>
    </row>
    <row r="641" spans="1:22" ht="62.4" x14ac:dyDescent="0.3">
      <c r="A641" s="132">
        <v>635</v>
      </c>
      <c r="B641" s="43" t="s">
        <v>40</v>
      </c>
      <c r="C641" s="44" t="s">
        <v>73</v>
      </c>
      <c r="D641" s="132"/>
      <c r="E641" s="285" t="s">
        <v>75</v>
      </c>
      <c r="F641" s="44" t="s">
        <v>1363</v>
      </c>
      <c r="G641" s="285" t="s">
        <v>184</v>
      </c>
      <c r="H641" s="132">
        <v>116.893</v>
      </c>
      <c r="I641" s="132">
        <v>1</v>
      </c>
      <c r="J641" s="285">
        <v>116.893</v>
      </c>
      <c r="K641" s="285">
        <v>116.893</v>
      </c>
      <c r="L641" s="285">
        <v>1</v>
      </c>
      <c r="M641" s="285">
        <v>116.893</v>
      </c>
      <c r="N641" s="6" t="s">
        <v>1367</v>
      </c>
      <c r="O641" s="286">
        <v>45509</v>
      </c>
      <c r="P641" s="33" t="str">
        <f>HYPERLINK("https://my.zakupivli.pro/remote/dispatcher/state_purchase_view/52516741", "UA-2024-08-05-006635-a")</f>
        <v>UA-2024-08-05-006635-a</v>
      </c>
      <c r="Q641" s="285">
        <v>116.893</v>
      </c>
      <c r="R641" s="285">
        <v>1</v>
      </c>
      <c r="S641" s="285">
        <v>116.893</v>
      </c>
      <c r="T641" s="286">
        <v>45509</v>
      </c>
      <c r="U641" s="132"/>
      <c r="V641" s="285" t="s">
        <v>59</v>
      </c>
    </row>
    <row r="642" spans="1:22" ht="93.6" x14ac:dyDescent="0.3">
      <c r="A642" s="132">
        <v>636</v>
      </c>
      <c r="B642" s="43" t="s">
        <v>21</v>
      </c>
      <c r="C642" s="44" t="s">
        <v>1315</v>
      </c>
      <c r="D642" s="132"/>
      <c r="E642" s="285" t="s">
        <v>75</v>
      </c>
      <c r="F642" s="44" t="s">
        <v>1314</v>
      </c>
      <c r="G642" s="132" t="s">
        <v>186</v>
      </c>
      <c r="H642" s="132"/>
      <c r="I642" s="132">
        <v>11</v>
      </c>
      <c r="J642" s="132">
        <v>51.401679999999999</v>
      </c>
      <c r="K642" s="132"/>
      <c r="L642" s="285">
        <v>11</v>
      </c>
      <c r="M642" s="285">
        <v>51.401679999999999</v>
      </c>
      <c r="N642" s="6" t="s">
        <v>1368</v>
      </c>
      <c r="O642" s="286">
        <v>45509</v>
      </c>
      <c r="P642" s="33" t="str">
        <f>HYPERLINK("https://my.zakupivli.pro/remote/dispatcher/state_purchase_view/52519045", "UA-2024-08-05-007656-a")</f>
        <v>UA-2024-08-05-007656-a</v>
      </c>
      <c r="Q642" s="132"/>
      <c r="R642" s="285">
        <v>11</v>
      </c>
      <c r="S642" s="285">
        <v>51.401679999999999</v>
      </c>
      <c r="T642" s="286">
        <v>45509</v>
      </c>
      <c r="U642" s="132"/>
      <c r="V642" s="285" t="s">
        <v>59</v>
      </c>
    </row>
    <row r="643" spans="1:22" ht="78" x14ac:dyDescent="0.3">
      <c r="A643" s="132">
        <v>637</v>
      </c>
      <c r="B643" s="43" t="s">
        <v>21</v>
      </c>
      <c r="C643" s="44" t="s">
        <v>1365</v>
      </c>
      <c r="D643" s="132"/>
      <c r="E643" s="285" t="s">
        <v>75</v>
      </c>
      <c r="F643" s="44" t="s">
        <v>1364</v>
      </c>
      <c r="G643" s="132" t="s">
        <v>186</v>
      </c>
      <c r="H643" s="132"/>
      <c r="I643" s="132">
        <v>6</v>
      </c>
      <c r="J643" s="132">
        <v>91.116</v>
      </c>
      <c r="K643" s="132"/>
      <c r="L643" s="285">
        <v>6</v>
      </c>
      <c r="M643" s="285">
        <v>91.116</v>
      </c>
      <c r="N643" s="6" t="s">
        <v>1369</v>
      </c>
      <c r="O643" s="286">
        <v>45509</v>
      </c>
      <c r="P643" s="33" t="str">
        <f>HYPERLINK("https://my.zakupivli.pro/remote/dispatcher/state_purchase_view/52524003", "UA-2024-08-05-009986-a")</f>
        <v>UA-2024-08-05-009986-a</v>
      </c>
      <c r="Q643" s="132"/>
      <c r="R643" s="285">
        <v>6</v>
      </c>
      <c r="S643" s="285">
        <v>91.116</v>
      </c>
      <c r="T643" s="286">
        <v>45509</v>
      </c>
      <c r="U643" s="132"/>
      <c r="V643" s="285" t="s">
        <v>59</v>
      </c>
    </row>
    <row r="644" spans="1:22" ht="62.4" x14ac:dyDescent="0.3">
      <c r="A644" s="132">
        <v>638</v>
      </c>
      <c r="B644" s="43" t="s">
        <v>21</v>
      </c>
      <c r="C644" s="44" t="s">
        <v>177</v>
      </c>
      <c r="D644" s="132"/>
      <c r="E644" s="287" t="s">
        <v>75</v>
      </c>
      <c r="F644" s="44" t="s">
        <v>1370</v>
      </c>
      <c r="G644" s="132" t="s">
        <v>185</v>
      </c>
      <c r="H644" s="132">
        <v>2.7027000000000001</v>
      </c>
      <c r="I644" s="132">
        <v>36</v>
      </c>
      <c r="J644" s="132">
        <v>97.297200000000004</v>
      </c>
      <c r="K644" s="287">
        <v>2.7027000000000001</v>
      </c>
      <c r="L644" s="287">
        <v>36</v>
      </c>
      <c r="M644" s="287">
        <v>97.297200000000004</v>
      </c>
      <c r="N644" s="6" t="s">
        <v>1374</v>
      </c>
      <c r="O644" s="133">
        <v>45512</v>
      </c>
      <c r="P644" s="33" t="str">
        <f>HYPERLINK("https://my.zakupivli.pro/remote/dispatcher/state_purchase_view/52587377", "UA-2024-08-08-003012-a")</f>
        <v>UA-2024-08-08-003012-a</v>
      </c>
      <c r="Q644" s="287">
        <v>2.7027000000000001</v>
      </c>
      <c r="R644" s="287">
        <v>36</v>
      </c>
      <c r="S644" s="287">
        <v>97.297200000000004</v>
      </c>
      <c r="T644" s="288">
        <v>45512</v>
      </c>
      <c r="U644" s="132"/>
      <c r="V644" s="287" t="s">
        <v>59</v>
      </c>
    </row>
    <row r="645" spans="1:22" ht="78" x14ac:dyDescent="0.3">
      <c r="A645" s="287">
        <v>639</v>
      </c>
      <c r="B645" s="43" t="s">
        <v>40</v>
      </c>
      <c r="C645" s="44" t="s">
        <v>885</v>
      </c>
      <c r="D645" s="287"/>
      <c r="E645" s="287" t="s">
        <v>373</v>
      </c>
      <c r="F645" s="44" t="s">
        <v>1371</v>
      </c>
      <c r="G645" s="287" t="s">
        <v>184</v>
      </c>
      <c r="H645" s="287">
        <v>182.08945</v>
      </c>
      <c r="I645" s="287">
        <v>1</v>
      </c>
      <c r="J645" s="287">
        <v>182.08945</v>
      </c>
      <c r="K645" s="287">
        <v>182.08945</v>
      </c>
      <c r="L645" s="287">
        <v>1</v>
      </c>
      <c r="M645" s="287">
        <v>182.08945</v>
      </c>
      <c r="N645" s="6" t="s">
        <v>1375</v>
      </c>
      <c r="O645" s="288">
        <v>45512</v>
      </c>
      <c r="P645" s="33" t="str">
        <f>HYPERLINK("https://my.zakupivli.pro/remote/dispatcher/state_purchase_view/52587767", "UA-2024-08-08-003155-a")</f>
        <v>UA-2024-08-08-003155-a</v>
      </c>
      <c r="Q645" s="287">
        <v>182.08945</v>
      </c>
      <c r="R645" s="287">
        <v>1</v>
      </c>
      <c r="S645" s="287">
        <v>182.08945</v>
      </c>
      <c r="T645" s="288">
        <v>45512</v>
      </c>
      <c r="U645" s="287"/>
      <c r="V645" s="287" t="s">
        <v>59</v>
      </c>
    </row>
    <row r="646" spans="1:22" ht="62.4" x14ac:dyDescent="0.3">
      <c r="A646" s="287">
        <v>640</v>
      </c>
      <c r="B646" s="43" t="s">
        <v>1151</v>
      </c>
      <c r="C646" s="44" t="s">
        <v>1373</v>
      </c>
      <c r="D646" s="287"/>
      <c r="E646" s="287" t="s">
        <v>75</v>
      </c>
      <c r="F646" s="44" t="s">
        <v>1372</v>
      </c>
      <c r="G646" s="287" t="s">
        <v>1150</v>
      </c>
      <c r="H646" s="287">
        <v>44.824170000000002</v>
      </c>
      <c r="I646" s="287">
        <v>1</v>
      </c>
      <c r="J646" s="287">
        <v>44.824170000000002</v>
      </c>
      <c r="K646" s="287">
        <v>44.824170000000002</v>
      </c>
      <c r="L646" s="287">
        <v>1</v>
      </c>
      <c r="M646" s="287">
        <v>44.824170000000002</v>
      </c>
      <c r="N646" s="6" t="s">
        <v>1376</v>
      </c>
      <c r="O646" s="288">
        <v>45512</v>
      </c>
      <c r="P646" s="33" t="str">
        <f>HYPERLINK("https://my.zakupivli.pro/remote/dispatcher/state_purchase_view/52589055", "UA-2024-08-08-003747-a")</f>
        <v>UA-2024-08-08-003747-a</v>
      </c>
      <c r="Q646" s="287">
        <v>44.824170000000002</v>
      </c>
      <c r="R646" s="287">
        <v>1</v>
      </c>
      <c r="S646" s="287">
        <v>44.824170000000002</v>
      </c>
      <c r="T646" s="288">
        <v>45512</v>
      </c>
      <c r="U646" s="287"/>
      <c r="V646" s="287" t="s">
        <v>59</v>
      </c>
    </row>
    <row r="647" spans="1:22" ht="78" x14ac:dyDescent="0.3">
      <c r="A647" s="289">
        <v>641</v>
      </c>
      <c r="B647" s="43" t="s">
        <v>40</v>
      </c>
      <c r="C647" s="44" t="s">
        <v>885</v>
      </c>
      <c r="D647" s="289"/>
      <c r="E647" s="289" t="s">
        <v>373</v>
      </c>
      <c r="F647" s="44" t="s">
        <v>1377</v>
      </c>
      <c r="G647" s="289" t="s">
        <v>184</v>
      </c>
      <c r="H647" s="289">
        <v>486.64211999999998</v>
      </c>
      <c r="I647" s="289">
        <v>1</v>
      </c>
      <c r="J647" s="289">
        <v>486.64211999999998</v>
      </c>
      <c r="K647" s="289">
        <v>486.64211999999998</v>
      </c>
      <c r="L647" s="289">
        <v>1</v>
      </c>
      <c r="M647" s="289">
        <v>486.64211999999998</v>
      </c>
      <c r="N647" s="6" t="s">
        <v>1381</v>
      </c>
      <c r="O647" s="290">
        <v>45512</v>
      </c>
      <c r="P647" s="33" t="str">
        <f>HYPERLINK("https://my.zakupivli.pro/remote/dispatcher/state_purchase_view/52604904", "UA-2024-08-08-010883-a")</f>
        <v>UA-2024-08-08-010883-a</v>
      </c>
      <c r="Q647" s="289">
        <v>486.64211999999998</v>
      </c>
      <c r="R647" s="289">
        <v>1</v>
      </c>
      <c r="S647" s="289">
        <v>486.64211999999998</v>
      </c>
      <c r="T647" s="290">
        <v>45512</v>
      </c>
      <c r="U647" s="289"/>
      <c r="V647" s="289" t="s">
        <v>59</v>
      </c>
    </row>
    <row r="648" spans="1:22" ht="62.4" x14ac:dyDescent="0.3">
      <c r="A648" s="289">
        <v>642</v>
      </c>
      <c r="B648" s="43" t="s">
        <v>40</v>
      </c>
      <c r="C648" s="44" t="s">
        <v>885</v>
      </c>
      <c r="D648" s="289"/>
      <c r="E648" s="289" t="s">
        <v>373</v>
      </c>
      <c r="F648" s="44" t="s">
        <v>1378</v>
      </c>
      <c r="G648" s="289" t="s">
        <v>184</v>
      </c>
      <c r="H648" s="289">
        <v>336.18543</v>
      </c>
      <c r="I648" s="289">
        <v>1</v>
      </c>
      <c r="J648" s="289">
        <v>336.18543</v>
      </c>
      <c r="K648" s="289">
        <v>336.18543</v>
      </c>
      <c r="L648" s="289">
        <v>1</v>
      </c>
      <c r="M648" s="289">
        <v>336.18543</v>
      </c>
      <c r="N648" s="6" t="s">
        <v>1382</v>
      </c>
      <c r="O648" s="290">
        <v>45512</v>
      </c>
      <c r="P648" s="33" t="str">
        <f>HYPERLINK("https://my.zakupivli.pro/remote/dispatcher/state_purchase_view/52605117", "UA-2024-08-08-010980-a")</f>
        <v>UA-2024-08-08-010980-a</v>
      </c>
      <c r="Q648" s="289">
        <v>336.18543</v>
      </c>
      <c r="R648" s="289">
        <v>1</v>
      </c>
      <c r="S648" s="289">
        <v>336.18543</v>
      </c>
      <c r="T648" s="290">
        <v>45512</v>
      </c>
      <c r="U648" s="289"/>
      <c r="V648" s="289" t="s">
        <v>59</v>
      </c>
    </row>
    <row r="649" spans="1:22" ht="62.4" x14ac:dyDescent="0.3">
      <c r="A649" s="289">
        <v>643</v>
      </c>
      <c r="B649" s="43" t="s">
        <v>40</v>
      </c>
      <c r="C649" s="44" t="s">
        <v>885</v>
      </c>
      <c r="D649" s="289"/>
      <c r="E649" s="289" t="s">
        <v>373</v>
      </c>
      <c r="F649" s="44" t="s">
        <v>1379</v>
      </c>
      <c r="G649" s="289" t="s">
        <v>184</v>
      </c>
      <c r="H649" s="289">
        <v>82.491569999999996</v>
      </c>
      <c r="I649" s="289">
        <v>1</v>
      </c>
      <c r="J649" s="289">
        <v>82.491569999999996</v>
      </c>
      <c r="K649" s="289">
        <v>82.491569999999996</v>
      </c>
      <c r="L649" s="289">
        <v>1</v>
      </c>
      <c r="M649" s="289">
        <v>82.491569999999996</v>
      </c>
      <c r="N649" s="6" t="s">
        <v>1383</v>
      </c>
      <c r="O649" s="290">
        <v>45512</v>
      </c>
      <c r="P649" s="33" t="str">
        <f>HYPERLINK("https://my.zakupivli.pro/remote/dispatcher/state_purchase_view/52605307", "UA-2024-08-08-011072-a")</f>
        <v>UA-2024-08-08-011072-a</v>
      </c>
      <c r="Q649" s="289">
        <v>82.491569999999996</v>
      </c>
      <c r="R649" s="289">
        <v>1</v>
      </c>
      <c r="S649" s="289">
        <v>82.491569999999996</v>
      </c>
      <c r="T649" s="290">
        <v>45512</v>
      </c>
      <c r="U649" s="289"/>
      <c r="V649" s="289" t="s">
        <v>59</v>
      </c>
    </row>
    <row r="650" spans="1:22" ht="62.4" x14ac:dyDescent="0.3">
      <c r="A650" s="289">
        <v>644</v>
      </c>
      <c r="B650" s="43" t="s">
        <v>40</v>
      </c>
      <c r="C650" s="44" t="s">
        <v>885</v>
      </c>
      <c r="D650" s="289"/>
      <c r="E650" s="289" t="s">
        <v>373</v>
      </c>
      <c r="F650" s="44" t="s">
        <v>1380</v>
      </c>
      <c r="G650" s="289" t="s">
        <v>184</v>
      </c>
      <c r="H650" s="289">
        <v>55.581209999999999</v>
      </c>
      <c r="I650" s="289">
        <v>1</v>
      </c>
      <c r="J650" s="289">
        <v>55.581209999999999</v>
      </c>
      <c r="K650" s="289">
        <v>55.581209999999999</v>
      </c>
      <c r="L650" s="289">
        <v>1</v>
      </c>
      <c r="M650" s="289">
        <v>55.581209999999999</v>
      </c>
      <c r="N650" s="6" t="s">
        <v>1384</v>
      </c>
      <c r="O650" s="290">
        <v>45512</v>
      </c>
      <c r="P650" s="33" t="str">
        <f>HYPERLINK("https://my.zakupivli.pro/remote/dispatcher/state_purchase_view/52605472", "UA-2024-08-08-011169-a")</f>
        <v>UA-2024-08-08-011169-a</v>
      </c>
      <c r="Q650" s="289">
        <v>55.581209999999999</v>
      </c>
      <c r="R650" s="289">
        <v>1</v>
      </c>
      <c r="S650" s="289">
        <v>55.581209999999999</v>
      </c>
      <c r="T650" s="290">
        <v>45512</v>
      </c>
      <c r="U650" s="289"/>
      <c r="V650" s="289" t="s">
        <v>59</v>
      </c>
    </row>
    <row r="651" spans="1:22" ht="62.4" x14ac:dyDescent="0.3">
      <c r="A651" s="291">
        <v>645</v>
      </c>
      <c r="B651" s="43" t="s">
        <v>40</v>
      </c>
      <c r="C651" s="44" t="s">
        <v>41</v>
      </c>
      <c r="D651" s="291"/>
      <c r="E651" s="291" t="s">
        <v>75</v>
      </c>
      <c r="F651" s="44" t="s">
        <v>1385</v>
      </c>
      <c r="G651" s="291" t="s">
        <v>184</v>
      </c>
      <c r="H651" s="291">
        <v>475.04106000000002</v>
      </c>
      <c r="I651" s="291">
        <v>1</v>
      </c>
      <c r="J651" s="291">
        <v>475.04106000000002</v>
      </c>
      <c r="K651" s="291">
        <v>475.04106000000002</v>
      </c>
      <c r="L651" s="291">
        <v>1</v>
      </c>
      <c r="M651" s="291">
        <v>475.04106000000002</v>
      </c>
      <c r="N651" s="6" t="s">
        <v>1404</v>
      </c>
      <c r="O651" s="292">
        <v>45526</v>
      </c>
      <c r="P651" s="33" t="str">
        <f>HYPERLINK("https://my.zakupivli.pro/remote/dispatcher/state_purchase_view/52855486", "UA-2024-08-22-004345-a")</f>
        <v>UA-2024-08-22-004345-a</v>
      </c>
      <c r="Q651" s="291">
        <v>475.04106000000002</v>
      </c>
      <c r="R651" s="291">
        <v>1</v>
      </c>
      <c r="S651" s="291">
        <v>475.04106000000002</v>
      </c>
      <c r="T651" s="292">
        <v>45526</v>
      </c>
      <c r="U651" s="291"/>
      <c r="V651" s="291" t="s">
        <v>59</v>
      </c>
    </row>
    <row r="652" spans="1:22" ht="62.4" x14ac:dyDescent="0.3">
      <c r="A652" s="291">
        <v>646</v>
      </c>
      <c r="B652" s="43" t="s">
        <v>40</v>
      </c>
      <c r="C652" s="44" t="s">
        <v>41</v>
      </c>
      <c r="D652" s="291"/>
      <c r="E652" s="291" t="s">
        <v>75</v>
      </c>
      <c r="F652" s="44" t="s">
        <v>1386</v>
      </c>
      <c r="G652" s="291" t="s">
        <v>184</v>
      </c>
      <c r="H652" s="291">
        <v>428.27992</v>
      </c>
      <c r="I652" s="291">
        <v>1</v>
      </c>
      <c r="J652" s="291">
        <v>428.27992</v>
      </c>
      <c r="K652" s="291">
        <v>428.27992</v>
      </c>
      <c r="L652" s="291">
        <v>1</v>
      </c>
      <c r="M652" s="291">
        <v>428.27992</v>
      </c>
      <c r="N652" s="6" t="s">
        <v>1405</v>
      </c>
      <c r="O652" s="292">
        <v>45526</v>
      </c>
      <c r="P652" s="33" t="str">
        <f>HYPERLINK("https://my.zakupivli.pro/remote/dispatcher/state_purchase_view/52855277", "UA-2024-08-22-004238-a")</f>
        <v>UA-2024-08-22-004238-a</v>
      </c>
      <c r="Q652" s="291">
        <v>428.27992</v>
      </c>
      <c r="R652" s="291">
        <v>1</v>
      </c>
      <c r="S652" s="291">
        <v>428.27992</v>
      </c>
      <c r="T652" s="292">
        <v>45526</v>
      </c>
      <c r="U652" s="291"/>
      <c r="V652" s="291" t="s">
        <v>59</v>
      </c>
    </row>
    <row r="653" spans="1:22" ht="62.4" x14ac:dyDescent="0.3">
      <c r="A653" s="291">
        <v>647</v>
      </c>
      <c r="B653" s="43" t="s">
        <v>21</v>
      </c>
      <c r="C653" s="44" t="s">
        <v>413</v>
      </c>
      <c r="D653" s="291"/>
      <c r="E653" s="291" t="s">
        <v>373</v>
      </c>
      <c r="F653" s="44" t="s">
        <v>1387</v>
      </c>
      <c r="G653" s="291" t="s">
        <v>185</v>
      </c>
      <c r="H653" s="119">
        <v>64.5</v>
      </c>
      <c r="I653" s="291">
        <v>1</v>
      </c>
      <c r="J653" s="119">
        <v>64.5</v>
      </c>
      <c r="K653" s="119">
        <v>64.5</v>
      </c>
      <c r="L653" s="291">
        <v>1</v>
      </c>
      <c r="M653" s="119">
        <v>64.5</v>
      </c>
      <c r="N653" s="6" t="s">
        <v>1406</v>
      </c>
      <c r="O653" s="292">
        <v>45526</v>
      </c>
      <c r="P653" s="33" t="str">
        <f>HYPERLINK("https://my.zakupivli.pro/remote/dispatcher/state_purchase_view/52854599", "UA-2024-08-22-003941-a")</f>
        <v>UA-2024-08-22-003941-a</v>
      </c>
      <c r="Q653" s="119">
        <v>64.5</v>
      </c>
      <c r="R653" s="291">
        <v>1</v>
      </c>
      <c r="S653" s="119">
        <v>64.5</v>
      </c>
      <c r="T653" s="292">
        <v>45526</v>
      </c>
      <c r="U653" s="291"/>
      <c r="V653" s="291" t="s">
        <v>59</v>
      </c>
    </row>
    <row r="654" spans="1:22" ht="62.4" x14ac:dyDescent="0.3">
      <c r="A654" s="291">
        <v>648</v>
      </c>
      <c r="B654" s="43" t="s">
        <v>40</v>
      </c>
      <c r="C654" s="44" t="s">
        <v>885</v>
      </c>
      <c r="D654" s="291"/>
      <c r="E654" s="291" t="s">
        <v>373</v>
      </c>
      <c r="F654" s="44" t="s">
        <v>1388</v>
      </c>
      <c r="G654" s="291" t="s">
        <v>184</v>
      </c>
      <c r="H654" s="291">
        <v>222.38373999999999</v>
      </c>
      <c r="I654" s="291">
        <v>1</v>
      </c>
      <c r="J654" s="291">
        <v>222.38373999999999</v>
      </c>
      <c r="K654" s="291">
        <v>222.38373999999999</v>
      </c>
      <c r="L654" s="291">
        <v>1</v>
      </c>
      <c r="M654" s="291">
        <v>222.38373999999999</v>
      </c>
      <c r="N654" s="6" t="s">
        <v>1407</v>
      </c>
      <c r="O654" s="292">
        <v>45525</v>
      </c>
      <c r="P654" s="33" t="str">
        <f>HYPERLINK("https://my.zakupivli.pro/remote/dispatcher/state_purchase_view/52826404", "UA-2024-08-21-003135-a")</f>
        <v>UA-2024-08-21-003135-a</v>
      </c>
      <c r="Q654" s="291">
        <v>222.38373999999999</v>
      </c>
      <c r="R654" s="291">
        <v>1</v>
      </c>
      <c r="S654" s="291">
        <v>222.38373999999999</v>
      </c>
      <c r="T654" s="292">
        <v>45525</v>
      </c>
      <c r="U654" s="291"/>
      <c r="V654" s="291" t="s">
        <v>59</v>
      </c>
    </row>
    <row r="655" spans="1:22" ht="62.4" x14ac:dyDescent="0.3">
      <c r="A655" s="291">
        <v>649</v>
      </c>
      <c r="B655" s="43" t="s">
        <v>40</v>
      </c>
      <c r="C655" s="44" t="s">
        <v>885</v>
      </c>
      <c r="D655" s="291"/>
      <c r="E655" s="291" t="s">
        <v>373</v>
      </c>
      <c r="F655" s="44" t="s">
        <v>1389</v>
      </c>
      <c r="G655" s="291" t="s">
        <v>184</v>
      </c>
      <c r="H655" s="291">
        <v>632.85871999999995</v>
      </c>
      <c r="I655" s="291">
        <v>1</v>
      </c>
      <c r="J655" s="291">
        <v>632.85871999999995</v>
      </c>
      <c r="K655" s="291">
        <v>632.85871999999995</v>
      </c>
      <c r="L655" s="291">
        <v>1</v>
      </c>
      <c r="M655" s="291">
        <v>632.85871999999995</v>
      </c>
      <c r="N655" s="6" t="s">
        <v>1408</v>
      </c>
      <c r="O655" s="292">
        <v>45525</v>
      </c>
      <c r="P655" s="33" t="str">
        <f>HYPERLINK("https://my.zakupivli.pro/remote/dispatcher/state_purchase_view/52828280", "UA-2024-08-21-003975-a")</f>
        <v>UA-2024-08-21-003975-a</v>
      </c>
      <c r="Q655" s="291">
        <v>632.85871999999995</v>
      </c>
      <c r="R655" s="291">
        <v>1</v>
      </c>
      <c r="S655" s="291">
        <v>632.85871999999995</v>
      </c>
      <c r="T655" s="292">
        <v>45525</v>
      </c>
      <c r="U655" s="291"/>
      <c r="V655" s="291" t="s">
        <v>59</v>
      </c>
    </row>
    <row r="656" spans="1:22" ht="62.4" x14ac:dyDescent="0.3">
      <c r="A656" s="291">
        <v>650</v>
      </c>
      <c r="B656" s="43" t="s">
        <v>40</v>
      </c>
      <c r="C656" s="44" t="s">
        <v>885</v>
      </c>
      <c r="D656" s="291"/>
      <c r="E656" s="291" t="s">
        <v>373</v>
      </c>
      <c r="F656" s="44" t="s">
        <v>1390</v>
      </c>
      <c r="G656" s="291" t="s">
        <v>184</v>
      </c>
      <c r="H656" s="291">
        <v>68.669600000000003</v>
      </c>
      <c r="I656" s="291">
        <v>1</v>
      </c>
      <c r="J656" s="291">
        <v>68.669600000000003</v>
      </c>
      <c r="K656" s="291">
        <v>68.669600000000003</v>
      </c>
      <c r="L656" s="291">
        <v>1</v>
      </c>
      <c r="M656" s="291">
        <v>68.669600000000003</v>
      </c>
      <c r="N656" s="6" t="s">
        <v>1409</v>
      </c>
      <c r="O656" s="292">
        <v>45525</v>
      </c>
      <c r="P656" s="33" t="str">
        <f>HYPERLINK("https://my.zakupivli.pro/remote/dispatcher/state_purchase_view/52827119", "UA-2024-08-21-003447-a")</f>
        <v>UA-2024-08-21-003447-a</v>
      </c>
      <c r="Q656" s="291">
        <v>68.669600000000003</v>
      </c>
      <c r="R656" s="291">
        <v>1</v>
      </c>
      <c r="S656" s="291">
        <v>68.669600000000003</v>
      </c>
      <c r="T656" s="292">
        <v>45525</v>
      </c>
      <c r="U656" s="291"/>
      <c r="V656" s="291" t="s">
        <v>59</v>
      </c>
    </row>
    <row r="657" spans="1:22" ht="62.4" x14ac:dyDescent="0.3">
      <c r="A657" s="291">
        <v>651</v>
      </c>
      <c r="B657" s="291" t="s">
        <v>1151</v>
      </c>
      <c r="C657" s="44" t="s">
        <v>1401</v>
      </c>
      <c r="D657" s="291"/>
      <c r="E657" s="291" t="s">
        <v>75</v>
      </c>
      <c r="F657" s="44" t="s">
        <v>1391</v>
      </c>
      <c r="G657" s="291" t="s">
        <v>1150</v>
      </c>
      <c r="H657" s="291">
        <v>76.848349999999996</v>
      </c>
      <c r="I657" s="291">
        <v>1</v>
      </c>
      <c r="J657" s="291">
        <v>76.848349999999996</v>
      </c>
      <c r="K657" s="291">
        <v>76.848349999999996</v>
      </c>
      <c r="L657" s="291">
        <v>1</v>
      </c>
      <c r="M657" s="291">
        <v>76.848349999999996</v>
      </c>
      <c r="N657" s="6" t="s">
        <v>1410</v>
      </c>
      <c r="O657" s="292">
        <v>45524</v>
      </c>
      <c r="P657" s="33" t="str">
        <f>HYPERLINK("https://my.zakupivli.pro/remote/dispatcher/state_purchase_view/52816266", "UA-2024-08-20-011009-a")</f>
        <v>UA-2024-08-20-011009-a</v>
      </c>
      <c r="Q657" s="291">
        <v>76.848349999999996</v>
      </c>
      <c r="R657" s="291">
        <v>1</v>
      </c>
      <c r="S657" s="291">
        <v>76.848349999999996</v>
      </c>
      <c r="T657" s="292">
        <v>45524</v>
      </c>
      <c r="U657" s="291"/>
      <c r="V657" s="291" t="s">
        <v>59</v>
      </c>
    </row>
    <row r="658" spans="1:22" ht="202.8" x14ac:dyDescent="0.3">
      <c r="A658" s="291">
        <v>652</v>
      </c>
      <c r="B658" s="291" t="s">
        <v>21</v>
      </c>
      <c r="C658" s="44" t="s">
        <v>174</v>
      </c>
      <c r="D658" s="315" t="s">
        <v>58</v>
      </c>
      <c r="E658" s="291" t="s">
        <v>88</v>
      </c>
      <c r="F658" s="44" t="s">
        <v>1392</v>
      </c>
      <c r="G658" s="291" t="s">
        <v>187</v>
      </c>
      <c r="H658" s="291"/>
      <c r="I658" s="291">
        <v>34</v>
      </c>
      <c r="J658" s="291">
        <v>921.16</v>
      </c>
      <c r="K658" s="291"/>
      <c r="L658" s="291">
        <v>34</v>
      </c>
      <c r="M658" s="291">
        <v>921.16</v>
      </c>
      <c r="N658" s="6" t="s">
        <v>1411</v>
      </c>
      <c r="O658" s="292">
        <v>45520</v>
      </c>
      <c r="P658" s="33" t="str">
        <f>HYPERLINK("https://my.zakupivli.pro/remote/dispatcher/state_purchase_view/52746547", "UA-2024-08-16-002910-a")</f>
        <v>UA-2024-08-16-002910-a</v>
      </c>
      <c r="Q658" s="291"/>
      <c r="R658" s="291"/>
      <c r="S658" s="291"/>
      <c r="T658" s="292"/>
      <c r="U658" s="291"/>
      <c r="V658" s="291"/>
    </row>
    <row r="659" spans="1:22" ht="78" x14ac:dyDescent="0.3">
      <c r="A659" s="291">
        <v>653</v>
      </c>
      <c r="B659" s="291" t="s">
        <v>21</v>
      </c>
      <c r="C659" s="44" t="s">
        <v>1365</v>
      </c>
      <c r="D659" s="291"/>
      <c r="E659" s="291" t="s">
        <v>75</v>
      </c>
      <c r="F659" s="44" t="s">
        <v>1393</v>
      </c>
      <c r="G659" s="291" t="s">
        <v>185</v>
      </c>
      <c r="H659" s="119">
        <v>65</v>
      </c>
      <c r="I659" s="291">
        <v>1</v>
      </c>
      <c r="J659" s="119">
        <v>65</v>
      </c>
      <c r="K659" s="119">
        <v>65</v>
      </c>
      <c r="L659" s="291">
        <v>1</v>
      </c>
      <c r="M659" s="119">
        <v>65</v>
      </c>
      <c r="N659" s="6" t="s">
        <v>1412</v>
      </c>
      <c r="O659" s="292">
        <v>45519</v>
      </c>
      <c r="P659" s="33" t="str">
        <f>HYPERLINK("https://my.zakupivli.pro/remote/dispatcher/state_purchase_view/52745815", "UA-2024-08-16-002605-a")</f>
        <v>UA-2024-08-16-002605-a</v>
      </c>
      <c r="Q659" s="119">
        <v>65</v>
      </c>
      <c r="R659" s="291">
        <v>1</v>
      </c>
      <c r="S659" s="119">
        <v>65</v>
      </c>
      <c r="T659" s="292">
        <v>45519</v>
      </c>
      <c r="U659" s="291"/>
      <c r="V659" s="291" t="s">
        <v>59</v>
      </c>
    </row>
    <row r="660" spans="1:22" ht="62.4" x14ac:dyDescent="0.3">
      <c r="A660" s="291">
        <v>654</v>
      </c>
      <c r="B660" s="291" t="s">
        <v>21</v>
      </c>
      <c r="C660" s="44" t="s">
        <v>1402</v>
      </c>
      <c r="D660" s="291"/>
      <c r="E660" s="291" t="s">
        <v>75</v>
      </c>
      <c r="F660" s="44" t="s">
        <v>1394</v>
      </c>
      <c r="G660" s="291" t="s">
        <v>185</v>
      </c>
      <c r="H660" s="119">
        <v>87.6</v>
      </c>
      <c r="I660" s="291">
        <v>3</v>
      </c>
      <c r="J660" s="119">
        <v>87.6</v>
      </c>
      <c r="K660" s="119">
        <v>87.6</v>
      </c>
      <c r="L660" s="291">
        <v>3</v>
      </c>
      <c r="M660" s="119">
        <v>87.6</v>
      </c>
      <c r="N660" s="6" t="s">
        <v>1413</v>
      </c>
      <c r="O660" s="292">
        <v>45520</v>
      </c>
      <c r="P660" s="33" t="str">
        <f>HYPERLINK("https://my.zakupivli.pro/remote/dispatcher/state_purchase_view/52749428", "UA-2024-08-16-004297-a")</f>
        <v>UA-2024-08-16-004297-a</v>
      </c>
      <c r="Q660" s="119">
        <v>87.6</v>
      </c>
      <c r="R660" s="291">
        <v>3</v>
      </c>
      <c r="S660" s="119">
        <v>87.6</v>
      </c>
      <c r="T660" s="292">
        <v>45520</v>
      </c>
      <c r="U660" s="291"/>
      <c r="V660" s="291" t="s">
        <v>59</v>
      </c>
    </row>
    <row r="661" spans="1:22" ht="78" x14ac:dyDescent="0.3">
      <c r="A661" s="291">
        <v>655</v>
      </c>
      <c r="B661" s="291" t="s">
        <v>21</v>
      </c>
      <c r="C661" s="44" t="s">
        <v>176</v>
      </c>
      <c r="D661" s="315" t="s">
        <v>58</v>
      </c>
      <c r="E661" s="291" t="s">
        <v>88</v>
      </c>
      <c r="F661" s="44" t="s">
        <v>1395</v>
      </c>
      <c r="G661" s="291" t="s">
        <v>185</v>
      </c>
      <c r="H661" s="291"/>
      <c r="I661" s="291">
        <v>1374</v>
      </c>
      <c r="J661" s="119">
        <v>2486.4</v>
      </c>
      <c r="K661" s="291"/>
      <c r="L661" s="291">
        <v>1374</v>
      </c>
      <c r="M661" s="119">
        <v>2486.4</v>
      </c>
      <c r="N661" s="6" t="s">
        <v>1414</v>
      </c>
      <c r="O661" s="292">
        <v>45520</v>
      </c>
      <c r="P661" s="33" t="str">
        <f>HYPERLINK("https://my.zakupivli.pro/remote/dispatcher/state_purchase_view/52757356", "UA-2024-08-16-007878-a")</f>
        <v>UA-2024-08-16-007878-a</v>
      </c>
      <c r="Q661" s="291"/>
      <c r="R661" s="291">
        <v>1374</v>
      </c>
      <c r="S661" s="119">
        <v>2486.4</v>
      </c>
      <c r="T661" s="292">
        <v>45544</v>
      </c>
      <c r="U661" s="291"/>
      <c r="V661" s="291"/>
    </row>
    <row r="662" spans="1:22" ht="62.4" x14ac:dyDescent="0.3">
      <c r="A662" s="291">
        <v>656</v>
      </c>
      <c r="B662" s="291" t="s">
        <v>21</v>
      </c>
      <c r="C662" s="44" t="s">
        <v>406</v>
      </c>
      <c r="D662" s="315" t="s">
        <v>58</v>
      </c>
      <c r="E662" s="291" t="s">
        <v>88</v>
      </c>
      <c r="F662" s="44" t="s">
        <v>1396</v>
      </c>
      <c r="G662" s="291" t="s">
        <v>185</v>
      </c>
      <c r="H662" s="291"/>
      <c r="I662" s="291">
        <v>54</v>
      </c>
      <c r="J662" s="291">
        <v>8192.5128000000004</v>
      </c>
      <c r="K662" s="291"/>
      <c r="L662" s="291">
        <v>54</v>
      </c>
      <c r="M662" s="291">
        <v>8192.5128000000004</v>
      </c>
      <c r="N662" s="6" t="s">
        <v>1415</v>
      </c>
      <c r="O662" s="292">
        <v>45520</v>
      </c>
      <c r="P662" s="33" t="str">
        <f>HYPERLINK("https://my.zakupivli.pro/remote/dispatcher/state_purchase_view/52758416", "UA-2024-08-16-008358-a")</f>
        <v>UA-2024-08-16-008358-a</v>
      </c>
      <c r="Q662" s="291"/>
      <c r="R662" s="291">
        <v>54</v>
      </c>
      <c r="S662" s="291">
        <v>8166.96</v>
      </c>
      <c r="T662" s="292">
        <v>45543</v>
      </c>
      <c r="U662" s="291"/>
      <c r="V662" s="291"/>
    </row>
    <row r="663" spans="1:22" ht="62.4" x14ac:dyDescent="0.3">
      <c r="A663" s="291">
        <v>657</v>
      </c>
      <c r="B663" s="291" t="s">
        <v>21</v>
      </c>
      <c r="C663" s="44" t="s">
        <v>32</v>
      </c>
      <c r="D663" s="315" t="s">
        <v>58</v>
      </c>
      <c r="E663" s="291" t="s">
        <v>88</v>
      </c>
      <c r="F663" s="44" t="s">
        <v>1397</v>
      </c>
      <c r="G663" s="291" t="s">
        <v>185</v>
      </c>
      <c r="H663" s="291"/>
      <c r="I663" s="291">
        <v>129</v>
      </c>
      <c r="J663" s="291">
        <v>103.26</v>
      </c>
      <c r="K663" s="291"/>
      <c r="L663" s="291">
        <v>129</v>
      </c>
      <c r="M663" s="291">
        <v>103.26</v>
      </c>
      <c r="N663" s="6" t="s">
        <v>1416</v>
      </c>
      <c r="O663" s="292">
        <v>45520</v>
      </c>
      <c r="P663" s="33" t="str">
        <f>HYPERLINK("https://my.zakupivli.pro/remote/dispatcher/state_purchase_view/52758890", "UA-2024-08-16-008563-a")</f>
        <v>UA-2024-08-16-008563-a</v>
      </c>
      <c r="Q663" s="291"/>
      <c r="R663" s="291">
        <v>129</v>
      </c>
      <c r="S663" s="291">
        <v>102.61499999999999</v>
      </c>
      <c r="T663" s="314">
        <v>45544</v>
      </c>
      <c r="U663" s="291"/>
      <c r="V663" s="291"/>
    </row>
    <row r="664" spans="1:22" ht="62.4" x14ac:dyDescent="0.3">
      <c r="A664" s="291">
        <v>658</v>
      </c>
      <c r="B664" s="291" t="s">
        <v>40</v>
      </c>
      <c r="C664" s="44" t="s">
        <v>885</v>
      </c>
      <c r="D664" s="291"/>
      <c r="E664" s="291" t="s">
        <v>373</v>
      </c>
      <c r="F664" s="44" t="s">
        <v>1398</v>
      </c>
      <c r="G664" s="291" t="s">
        <v>184</v>
      </c>
      <c r="H664" s="291">
        <v>54.13823</v>
      </c>
      <c r="I664" s="291">
        <v>1</v>
      </c>
      <c r="J664" s="291">
        <v>54.13823</v>
      </c>
      <c r="K664" s="291">
        <v>54.13823</v>
      </c>
      <c r="L664" s="291">
        <v>1</v>
      </c>
      <c r="M664" s="291">
        <v>54.13823</v>
      </c>
      <c r="N664" s="6" t="s">
        <v>1417</v>
      </c>
      <c r="O664" s="292">
        <v>45519</v>
      </c>
      <c r="P664" s="33" t="str">
        <f>HYPERLINK("https://my.zakupivli.pro/remote/dispatcher/state_purchase_view/52723728", "UA-2024-08-15-004257-a")</f>
        <v>UA-2024-08-15-004257-a</v>
      </c>
      <c r="Q664" s="291">
        <v>54.13823</v>
      </c>
      <c r="R664" s="291">
        <v>1</v>
      </c>
      <c r="S664" s="291">
        <v>54.13823</v>
      </c>
      <c r="T664" s="292">
        <v>45519</v>
      </c>
      <c r="U664" s="291"/>
      <c r="V664" s="291" t="s">
        <v>59</v>
      </c>
    </row>
    <row r="665" spans="1:22" ht="62.4" x14ac:dyDescent="0.3">
      <c r="A665" s="291">
        <v>659</v>
      </c>
      <c r="B665" s="291" t="s">
        <v>40</v>
      </c>
      <c r="C665" s="44" t="s">
        <v>885</v>
      </c>
      <c r="D665" s="291"/>
      <c r="E665" s="291" t="s">
        <v>373</v>
      </c>
      <c r="F665" s="44" t="s">
        <v>1399</v>
      </c>
      <c r="G665" s="291" t="s">
        <v>184</v>
      </c>
      <c r="H665" s="291">
        <v>72.478120000000004</v>
      </c>
      <c r="I665" s="291">
        <v>1</v>
      </c>
      <c r="J665" s="291">
        <v>72.478120000000004</v>
      </c>
      <c r="K665" s="291">
        <v>72.478120000000004</v>
      </c>
      <c r="L665" s="291">
        <v>1</v>
      </c>
      <c r="M665" s="291">
        <v>72.478120000000004</v>
      </c>
      <c r="N665" s="6" t="s">
        <v>1418</v>
      </c>
      <c r="O665" s="292">
        <v>45519</v>
      </c>
      <c r="P665" s="33" t="str">
        <f>HYPERLINK("https://my.zakupivli.pro/remote/dispatcher/state_purchase_view/52723515", "UA-2024-08-15-004128-a")</f>
        <v>UA-2024-08-15-004128-a</v>
      </c>
      <c r="Q665" s="291">
        <v>72.478120000000004</v>
      </c>
      <c r="R665" s="291">
        <v>1</v>
      </c>
      <c r="S665" s="291">
        <v>72.478120000000004</v>
      </c>
      <c r="T665" s="292">
        <v>45519</v>
      </c>
      <c r="U665" s="291"/>
      <c r="V665" s="291" t="s">
        <v>59</v>
      </c>
    </row>
    <row r="666" spans="1:22" ht="62.4" x14ac:dyDescent="0.3">
      <c r="A666" s="291">
        <v>660</v>
      </c>
      <c r="B666" s="291" t="s">
        <v>21</v>
      </c>
      <c r="C666" s="44" t="s">
        <v>761</v>
      </c>
      <c r="D666" s="291"/>
      <c r="E666" s="291" t="s">
        <v>75</v>
      </c>
      <c r="F666" s="44" t="s">
        <v>1400</v>
      </c>
      <c r="G666" s="291" t="s">
        <v>185</v>
      </c>
      <c r="H666" s="291">
        <v>60.012999999999998</v>
      </c>
      <c r="I666" s="291">
        <v>1</v>
      </c>
      <c r="J666" s="291">
        <v>60.012999999999998</v>
      </c>
      <c r="K666" s="291">
        <v>60.012999999999998</v>
      </c>
      <c r="L666" s="291">
        <v>1</v>
      </c>
      <c r="M666" s="291">
        <v>60.012999999999998</v>
      </c>
      <c r="N666" s="6" t="s">
        <v>1419</v>
      </c>
      <c r="O666" s="292">
        <v>45519</v>
      </c>
      <c r="P666" s="33" t="str">
        <f>HYPERLINK("https://my.zakupivli.pro/remote/dispatcher/state_purchase_view/52687668", "UA-2024-08-14-000304-a")</f>
        <v>UA-2024-08-14-000304-a</v>
      </c>
      <c r="Q666" s="291">
        <v>60.012999999999998</v>
      </c>
      <c r="R666" s="291">
        <v>1</v>
      </c>
      <c r="S666" s="291">
        <v>60.012999999999998</v>
      </c>
      <c r="T666" s="292">
        <v>45519</v>
      </c>
      <c r="U666" s="291"/>
      <c r="V666" s="291" t="s">
        <v>59</v>
      </c>
    </row>
    <row r="667" spans="1:22" ht="78" x14ac:dyDescent="0.3">
      <c r="A667" s="291">
        <v>661</v>
      </c>
      <c r="B667" s="291" t="s">
        <v>40</v>
      </c>
      <c r="C667" s="44" t="s">
        <v>73</v>
      </c>
      <c r="D667" s="291"/>
      <c r="E667" s="291" t="s">
        <v>75</v>
      </c>
      <c r="F667" s="44" t="s">
        <v>1403</v>
      </c>
      <c r="G667" s="291" t="s">
        <v>184</v>
      </c>
      <c r="H667" s="291">
        <v>92.021000000000001</v>
      </c>
      <c r="I667" s="291">
        <v>1</v>
      </c>
      <c r="J667" s="291">
        <v>92.021000000000001</v>
      </c>
      <c r="K667" s="291">
        <v>92.021000000000001</v>
      </c>
      <c r="L667" s="291">
        <v>1</v>
      </c>
      <c r="M667" s="291">
        <v>92.021000000000001</v>
      </c>
      <c r="N667" s="6" t="s">
        <v>1420</v>
      </c>
      <c r="O667" s="292">
        <v>45518</v>
      </c>
      <c r="P667" s="33" t="str">
        <f>HYPERLINK("https://my.zakupivli.pro/remote/dispatcher/state_purchase_view/52706129", "UA-2024-08-14-008653-a")</f>
        <v>UA-2024-08-14-008653-a</v>
      </c>
      <c r="Q667" s="291">
        <v>92.021000000000001</v>
      </c>
      <c r="R667" s="291">
        <v>1</v>
      </c>
      <c r="S667" s="291">
        <v>92.021000000000001</v>
      </c>
      <c r="T667" s="292">
        <v>45518</v>
      </c>
      <c r="U667" s="291"/>
      <c r="V667" s="291" t="s">
        <v>59</v>
      </c>
    </row>
    <row r="668" spans="1:22" ht="62.4" x14ac:dyDescent="0.3">
      <c r="A668" s="291">
        <v>662</v>
      </c>
      <c r="B668" s="291" t="s">
        <v>21</v>
      </c>
      <c r="C668" s="44" t="s">
        <v>1144</v>
      </c>
      <c r="D668" s="291"/>
      <c r="E668" s="291" t="s">
        <v>75</v>
      </c>
      <c r="F668" s="44" t="s">
        <v>1142</v>
      </c>
      <c r="G668" s="291" t="s">
        <v>186</v>
      </c>
      <c r="H668" s="291"/>
      <c r="I668" s="291">
        <v>3</v>
      </c>
      <c r="J668" s="291">
        <v>52.291200000000003</v>
      </c>
      <c r="K668" s="291"/>
      <c r="L668" s="291">
        <v>3</v>
      </c>
      <c r="M668" s="291">
        <v>52.291200000000003</v>
      </c>
      <c r="N668" s="6" t="s">
        <v>1421</v>
      </c>
      <c r="O668" s="292">
        <v>45517</v>
      </c>
      <c r="P668" s="33" t="str">
        <f>HYPERLINK("https://my.zakupivli.pro/remote/dispatcher/state_purchase_view/52684518", "UA-2024-08-13-010928-a")</f>
        <v>UA-2024-08-13-010928-a</v>
      </c>
      <c r="Q668" s="291"/>
      <c r="R668" s="291">
        <v>3</v>
      </c>
      <c r="S668" s="291">
        <v>52.291200000000003</v>
      </c>
      <c r="T668" s="292">
        <v>45517</v>
      </c>
      <c r="U668" s="291"/>
      <c r="V668" s="291" t="s">
        <v>59</v>
      </c>
    </row>
    <row r="669" spans="1:22" ht="62.4" x14ac:dyDescent="0.3">
      <c r="A669" s="291">
        <v>663</v>
      </c>
      <c r="B669" s="291" t="s">
        <v>21</v>
      </c>
      <c r="C669" s="44" t="s">
        <v>413</v>
      </c>
      <c r="D669" s="291"/>
      <c r="E669" s="291" t="s">
        <v>373</v>
      </c>
      <c r="F669" s="44" t="s">
        <v>1297</v>
      </c>
      <c r="G669" s="291" t="s">
        <v>185</v>
      </c>
      <c r="H669" s="119">
        <v>64.5</v>
      </c>
      <c r="I669" s="291">
        <v>1</v>
      </c>
      <c r="J669" s="119">
        <v>64.5</v>
      </c>
      <c r="K669" s="119">
        <v>64.5</v>
      </c>
      <c r="L669" s="291">
        <v>1</v>
      </c>
      <c r="M669" s="119">
        <v>64.5</v>
      </c>
      <c r="N669" s="6" t="s">
        <v>1422</v>
      </c>
      <c r="O669" s="292">
        <v>45516</v>
      </c>
      <c r="P669" s="33" t="str">
        <f>HYPERLINK("https://my.zakupivli.pro/remote/dispatcher/state_purchase_view/52648015", "UA-2024-08-12-006182-a")</f>
        <v>UA-2024-08-12-006182-a</v>
      </c>
      <c r="Q669" s="119">
        <v>64.5</v>
      </c>
      <c r="R669" s="291">
        <v>1</v>
      </c>
      <c r="S669" s="119">
        <v>64.5</v>
      </c>
      <c r="T669" s="292">
        <v>45516</v>
      </c>
      <c r="U669" s="291"/>
      <c r="V669" s="291" t="s">
        <v>59</v>
      </c>
    </row>
    <row r="670" spans="1:22" ht="62.4" x14ac:dyDescent="0.3">
      <c r="A670" s="291">
        <v>664</v>
      </c>
      <c r="B670" s="291" t="s">
        <v>21</v>
      </c>
      <c r="C670" s="44" t="s">
        <v>761</v>
      </c>
      <c r="D670" s="291"/>
      <c r="E670" s="291" t="s">
        <v>75</v>
      </c>
      <c r="F670" s="44" t="s">
        <v>1400</v>
      </c>
      <c r="G670" s="291" t="s">
        <v>185</v>
      </c>
      <c r="H670" s="291">
        <v>66.013000000000005</v>
      </c>
      <c r="I670" s="291">
        <v>1</v>
      </c>
      <c r="J670" s="291">
        <v>66.013000000000005</v>
      </c>
      <c r="K670" s="291">
        <v>66.013000000000005</v>
      </c>
      <c r="L670" s="291">
        <v>1</v>
      </c>
      <c r="M670" s="291">
        <v>66.013000000000005</v>
      </c>
      <c r="N670" s="6" t="s">
        <v>1423</v>
      </c>
      <c r="O670" s="292">
        <v>45513</v>
      </c>
      <c r="P670" s="33" t="str">
        <f>HYPERLINK("https://my.zakupivli.pro/remote/dispatcher/state_purchase_view/52614637", "UA-2024-08-09-003010-a")</f>
        <v>UA-2024-08-09-003010-a</v>
      </c>
      <c r="Q670" s="291">
        <v>66.013000000000005</v>
      </c>
      <c r="R670" s="291">
        <v>1</v>
      </c>
      <c r="S670" s="291">
        <v>66.013000000000005</v>
      </c>
      <c r="T670" s="292">
        <v>45513</v>
      </c>
      <c r="U670" s="291"/>
      <c r="V670" s="291" t="s">
        <v>59</v>
      </c>
    </row>
    <row r="671" spans="1:22" ht="62.4" x14ac:dyDescent="0.3">
      <c r="A671" s="291">
        <v>665</v>
      </c>
      <c r="B671" s="293" t="s">
        <v>21</v>
      </c>
      <c r="C671" s="44" t="s">
        <v>1426</v>
      </c>
      <c r="D671" s="315" t="s">
        <v>58</v>
      </c>
      <c r="E671" s="293" t="s">
        <v>88</v>
      </c>
      <c r="F671" s="44" t="s">
        <v>1424</v>
      </c>
      <c r="G671" s="291" t="s">
        <v>185</v>
      </c>
      <c r="H671" s="291"/>
      <c r="I671" s="291">
        <v>17</v>
      </c>
      <c r="J671" s="291">
        <v>1144.2850000000001</v>
      </c>
      <c r="K671" s="291"/>
      <c r="L671" s="293">
        <v>17</v>
      </c>
      <c r="M671" s="293">
        <v>1144.2850000000001</v>
      </c>
      <c r="N671" s="6" t="s">
        <v>1428</v>
      </c>
      <c r="O671" s="292">
        <v>45533</v>
      </c>
      <c r="P671" s="33" t="str">
        <f>HYPERLINK("https://my.zakupivli.pro/remote/dispatcher/state_purchase_view/52989866", "UA-2024-08-29-007868-a")</f>
        <v>UA-2024-08-29-007868-a</v>
      </c>
      <c r="Q671" s="291"/>
      <c r="R671" s="291">
        <v>17</v>
      </c>
      <c r="S671" s="291"/>
      <c r="T671" s="292"/>
      <c r="U671" s="291"/>
      <c r="V671" s="291"/>
    </row>
    <row r="672" spans="1:22" ht="78" x14ac:dyDescent="0.3">
      <c r="A672" s="291">
        <v>666</v>
      </c>
      <c r="B672" s="293" t="s">
        <v>21</v>
      </c>
      <c r="C672" s="44" t="s">
        <v>1427</v>
      </c>
      <c r="D672" s="315" t="s">
        <v>58</v>
      </c>
      <c r="E672" s="293" t="s">
        <v>88</v>
      </c>
      <c r="F672" s="44" t="s">
        <v>1425</v>
      </c>
      <c r="G672" s="291" t="s">
        <v>185</v>
      </c>
      <c r="H672" s="291"/>
      <c r="I672" s="291">
        <v>16</v>
      </c>
      <c r="J672" s="291">
        <v>457.49416000000002</v>
      </c>
      <c r="K672" s="291"/>
      <c r="L672" s="293">
        <v>16</v>
      </c>
      <c r="M672" s="293">
        <v>457.49416000000002</v>
      </c>
      <c r="N672" s="6" t="s">
        <v>1429</v>
      </c>
      <c r="O672" s="294">
        <v>45533</v>
      </c>
      <c r="P672" s="33" t="str">
        <f>HYPERLINK("https://my.zakupivli.pro/remote/dispatcher/state_purchase_view/52990788", "UA-2024-08-29-008281-a")</f>
        <v>UA-2024-08-29-008281-a</v>
      </c>
      <c r="Q672" s="291"/>
      <c r="R672" s="291">
        <v>16</v>
      </c>
      <c r="S672" s="291">
        <v>457.49417</v>
      </c>
      <c r="T672" s="292">
        <v>45551</v>
      </c>
      <c r="U672" s="291"/>
      <c r="V672" s="291"/>
    </row>
    <row r="673" spans="1:22" ht="62.4" x14ac:dyDescent="0.3">
      <c r="A673" s="291">
        <v>667</v>
      </c>
      <c r="B673" s="291" t="s">
        <v>1151</v>
      </c>
      <c r="C673" s="41" t="s">
        <v>1401</v>
      </c>
      <c r="D673" s="291"/>
      <c r="E673" s="296" t="s">
        <v>75</v>
      </c>
      <c r="F673" s="52" t="s">
        <v>1430</v>
      </c>
      <c r="G673" s="291" t="s">
        <v>1150</v>
      </c>
      <c r="H673" s="119">
        <v>78</v>
      </c>
      <c r="I673" s="291">
        <v>1</v>
      </c>
      <c r="J673" s="119">
        <v>78</v>
      </c>
      <c r="K673" s="119">
        <v>78</v>
      </c>
      <c r="L673" s="296">
        <v>1</v>
      </c>
      <c r="M673" s="119">
        <v>78</v>
      </c>
      <c r="N673" s="6" t="s">
        <v>1431</v>
      </c>
      <c r="O673" s="292">
        <v>45537</v>
      </c>
      <c r="P673" s="42" t="str">
        <f>HYPERLINK("https://my.zakupivli.pro/remote/dispatcher/state_purchase_view/53031151", "UA-2024-09-02-005487-a")</f>
        <v>UA-2024-09-02-005487-a</v>
      </c>
      <c r="Q673" s="119">
        <v>78</v>
      </c>
      <c r="R673" s="296">
        <v>1</v>
      </c>
      <c r="S673" s="119">
        <v>78</v>
      </c>
      <c r="T673" s="295">
        <v>45537</v>
      </c>
      <c r="U673" s="291"/>
      <c r="V673" s="296" t="s">
        <v>59</v>
      </c>
    </row>
    <row r="674" spans="1:22" ht="62.4" x14ac:dyDescent="0.3">
      <c r="A674" s="291">
        <v>668</v>
      </c>
      <c r="B674" s="291" t="s">
        <v>21</v>
      </c>
      <c r="C674" s="44" t="s">
        <v>30</v>
      </c>
      <c r="D674" s="291"/>
      <c r="E674" s="297" t="s">
        <v>75</v>
      </c>
      <c r="F674" s="225" t="s">
        <v>1432</v>
      </c>
      <c r="G674" s="291" t="s">
        <v>186</v>
      </c>
      <c r="H674" s="291"/>
      <c r="I674" s="291">
        <v>2</v>
      </c>
      <c r="J674" s="291">
        <v>79.25</v>
      </c>
      <c r="K674" s="291"/>
      <c r="L674" s="297">
        <v>2</v>
      </c>
      <c r="M674" s="297">
        <v>79.25</v>
      </c>
      <c r="N674" s="6" t="s">
        <v>1433</v>
      </c>
      <c r="O674" s="292">
        <v>45541</v>
      </c>
      <c r="P674" s="33" t="str">
        <f>HYPERLINK("https://my.zakupivli.pro/remote/dispatcher/state_purchase_view/53131375", "UA-2024-09-06-000103-a")</f>
        <v>UA-2024-09-06-000103-a</v>
      </c>
      <c r="Q674" s="291"/>
      <c r="R674" s="297">
        <v>2</v>
      </c>
      <c r="S674" s="297">
        <v>79.25</v>
      </c>
      <c r="T674" s="292">
        <v>45540</v>
      </c>
      <c r="U674" s="291"/>
      <c r="V674" s="297" t="s">
        <v>59</v>
      </c>
    </row>
    <row r="675" spans="1:22" ht="109.2" x14ac:dyDescent="0.3">
      <c r="A675" s="291">
        <v>669</v>
      </c>
      <c r="B675" s="298" t="s">
        <v>21</v>
      </c>
      <c r="C675" s="44" t="s">
        <v>1436</v>
      </c>
      <c r="D675" s="315" t="s">
        <v>58</v>
      </c>
      <c r="E675" s="298" t="s">
        <v>88</v>
      </c>
      <c r="F675" s="44" t="s">
        <v>1434</v>
      </c>
      <c r="G675" s="291" t="s">
        <v>185</v>
      </c>
      <c r="H675" s="291"/>
      <c r="I675" s="291">
        <v>33</v>
      </c>
      <c r="J675" s="291">
        <v>566.9425</v>
      </c>
      <c r="K675" s="291"/>
      <c r="L675" s="298">
        <v>33</v>
      </c>
      <c r="M675" s="298">
        <v>566.9425</v>
      </c>
      <c r="N675" s="6" t="s">
        <v>1437</v>
      </c>
      <c r="O675" s="299">
        <v>45544</v>
      </c>
      <c r="P675" s="33" t="str">
        <f>HYPERLINK("https://my.zakupivli.pro/remote/dispatcher/state_purchase_view/53177341", "UA-2024-09-09-007168-a")</f>
        <v>UA-2024-09-09-007168-a</v>
      </c>
      <c r="Q675" s="291"/>
      <c r="R675" s="291">
        <v>33</v>
      </c>
      <c r="S675" s="291"/>
      <c r="T675" s="292"/>
      <c r="U675" s="291" t="s">
        <v>1490</v>
      </c>
      <c r="V675" s="291"/>
    </row>
    <row r="676" spans="1:22" ht="78" x14ac:dyDescent="0.3">
      <c r="A676" s="291">
        <v>670</v>
      </c>
      <c r="B676" s="298" t="s">
        <v>40</v>
      </c>
      <c r="C676" s="44" t="s">
        <v>41</v>
      </c>
      <c r="D676" s="291"/>
      <c r="E676" s="298" t="s">
        <v>373</v>
      </c>
      <c r="F676" s="44" t="s">
        <v>1435</v>
      </c>
      <c r="G676" s="291" t="s">
        <v>184</v>
      </c>
      <c r="H676" s="291">
        <v>608.66445999999996</v>
      </c>
      <c r="I676" s="291">
        <v>1</v>
      </c>
      <c r="J676" s="298">
        <v>608.66445999999996</v>
      </c>
      <c r="K676" s="298">
        <v>608.66445999999996</v>
      </c>
      <c r="L676" s="298">
        <v>1</v>
      </c>
      <c r="M676" s="298">
        <v>608.66445999999996</v>
      </c>
      <c r="N676" s="6" t="s">
        <v>1438</v>
      </c>
      <c r="O676" s="292">
        <v>45544</v>
      </c>
      <c r="P676" s="33" t="str">
        <f>HYPERLINK("https://my.zakupivli.pro/remote/dispatcher/state_purchase_view/53189619", "UA-2024-09-09-012658-a")</f>
        <v>UA-2024-09-09-012658-a</v>
      </c>
      <c r="Q676" s="298">
        <v>608.66445999999996</v>
      </c>
      <c r="R676" s="298">
        <v>1</v>
      </c>
      <c r="S676" s="298">
        <v>608.66445999999996</v>
      </c>
      <c r="T676" s="299">
        <v>45544</v>
      </c>
      <c r="U676" s="291"/>
      <c r="V676" s="298" t="s">
        <v>59</v>
      </c>
    </row>
    <row r="677" spans="1:22" ht="62.4" x14ac:dyDescent="0.3">
      <c r="A677" s="291">
        <v>671</v>
      </c>
      <c r="B677" s="300" t="s">
        <v>40</v>
      </c>
      <c r="C677" s="44" t="s">
        <v>73</v>
      </c>
      <c r="D677" s="291"/>
      <c r="E677" s="300" t="s">
        <v>75</v>
      </c>
      <c r="F677" s="44" t="s">
        <v>1439</v>
      </c>
      <c r="G677" s="291" t="s">
        <v>184</v>
      </c>
      <c r="H677" s="291">
        <v>127.15318000000001</v>
      </c>
      <c r="I677" s="291">
        <v>1</v>
      </c>
      <c r="J677" s="300">
        <v>127.15318000000001</v>
      </c>
      <c r="K677" s="300">
        <v>127.15318000000001</v>
      </c>
      <c r="L677" s="300">
        <v>1</v>
      </c>
      <c r="M677" s="300">
        <v>127.15318000000001</v>
      </c>
      <c r="N677" s="6" t="s">
        <v>1440</v>
      </c>
      <c r="O677" s="301">
        <v>45544</v>
      </c>
      <c r="P677" s="33" t="str">
        <f>HYPERLINK("https://my.zakupivli.pro/remote/dispatcher/state_purchase_view/53208764", "UA-2024-09-10-007035-a")</f>
        <v>UA-2024-09-10-007035-a</v>
      </c>
      <c r="Q677" s="300">
        <v>127.15318000000001</v>
      </c>
      <c r="R677" s="300">
        <v>1</v>
      </c>
      <c r="S677" s="300">
        <v>127.15318000000001</v>
      </c>
      <c r="T677" s="301">
        <v>45544</v>
      </c>
      <c r="U677" s="291"/>
      <c r="V677" s="300" t="s">
        <v>59</v>
      </c>
    </row>
    <row r="678" spans="1:22" ht="62.4" x14ac:dyDescent="0.3">
      <c r="A678" s="291">
        <v>672</v>
      </c>
      <c r="B678" s="302" t="s">
        <v>21</v>
      </c>
      <c r="C678" s="44" t="s">
        <v>406</v>
      </c>
      <c r="D678" s="291"/>
      <c r="E678" s="302" t="s">
        <v>88</v>
      </c>
      <c r="F678" s="44" t="s">
        <v>1441</v>
      </c>
      <c r="G678" s="291" t="s">
        <v>185</v>
      </c>
      <c r="I678" s="291">
        <v>30</v>
      </c>
      <c r="J678" s="291">
        <v>505.92</v>
      </c>
      <c r="K678" s="291"/>
      <c r="L678" s="302">
        <v>30</v>
      </c>
      <c r="M678" s="302">
        <v>505.92</v>
      </c>
      <c r="N678" s="6" t="s">
        <v>1442</v>
      </c>
      <c r="O678" s="292">
        <v>45546</v>
      </c>
      <c r="P678" s="33" t="str">
        <f>HYPERLINK("https://my.zakupivli.pro/remote/dispatcher/state_purchase_view/53237037", "UA-2024-09-11-004952-a")</f>
        <v>UA-2024-09-11-004952-a</v>
      </c>
      <c r="Q678" s="291"/>
      <c r="R678" s="291"/>
      <c r="S678" s="291"/>
      <c r="T678" s="292"/>
      <c r="U678" s="291"/>
      <c r="V678" s="291"/>
    </row>
    <row r="679" spans="1:22" ht="62.4" x14ac:dyDescent="0.3">
      <c r="A679" s="291">
        <v>673</v>
      </c>
      <c r="B679" s="303" t="s">
        <v>21</v>
      </c>
      <c r="C679" s="44" t="s">
        <v>894</v>
      </c>
      <c r="D679" s="291"/>
      <c r="E679" s="303" t="s">
        <v>88</v>
      </c>
      <c r="F679" s="44" t="s">
        <v>1443</v>
      </c>
      <c r="G679" s="291" t="s">
        <v>185</v>
      </c>
      <c r="H679" s="291"/>
      <c r="I679" s="291">
        <v>30</v>
      </c>
      <c r="J679" s="119">
        <v>1174</v>
      </c>
      <c r="K679" s="291"/>
      <c r="L679" s="303">
        <v>30</v>
      </c>
      <c r="M679" s="119">
        <v>1174</v>
      </c>
      <c r="N679" s="6" t="s">
        <v>1446</v>
      </c>
      <c r="O679" s="292">
        <v>45547</v>
      </c>
      <c r="P679" s="33" t="str">
        <f>HYPERLINK("https://my.zakupivli.pro/remote/dispatcher/state_purchase_view/53279231", "UA-2024-09-12-009706-a")</f>
        <v>UA-2024-09-12-009706-a</v>
      </c>
      <c r="Q679" s="291"/>
      <c r="R679" s="291">
        <v>30</v>
      </c>
      <c r="S679" s="119">
        <v>1103.5999999999999</v>
      </c>
      <c r="T679" s="292">
        <v>45561</v>
      </c>
      <c r="U679" s="291"/>
      <c r="V679" s="291"/>
    </row>
    <row r="680" spans="1:22" ht="78" x14ac:dyDescent="0.3">
      <c r="A680" s="291">
        <v>674</v>
      </c>
      <c r="B680" s="303" t="s">
        <v>21</v>
      </c>
      <c r="C680" s="44" t="s">
        <v>1445</v>
      </c>
      <c r="D680" s="291"/>
      <c r="E680" s="303" t="s">
        <v>75</v>
      </c>
      <c r="F680" s="44" t="s">
        <v>1444</v>
      </c>
      <c r="G680" s="291" t="s">
        <v>186</v>
      </c>
      <c r="H680" s="291"/>
      <c r="I680" s="291">
        <v>7</v>
      </c>
      <c r="J680" s="119">
        <v>557.5</v>
      </c>
      <c r="K680" s="291"/>
      <c r="L680" s="303">
        <v>7</v>
      </c>
      <c r="M680" s="119">
        <v>557.5</v>
      </c>
      <c r="N680" s="6" t="s">
        <v>1447</v>
      </c>
      <c r="O680" s="304">
        <v>45547</v>
      </c>
      <c r="P680" s="33" t="str">
        <f>HYPERLINK("https://my.zakupivli.pro/remote/dispatcher/state_purchase_view/53281103", "UA-2024-09-12-010471-a")</f>
        <v>UA-2024-09-12-010471-a</v>
      </c>
      <c r="Q680" s="291"/>
      <c r="R680" s="291"/>
      <c r="S680" s="291"/>
      <c r="T680" s="292"/>
      <c r="U680" s="313" t="s">
        <v>93</v>
      </c>
      <c r="V680" s="291"/>
    </row>
    <row r="681" spans="1:22" ht="62.4" x14ac:dyDescent="0.3">
      <c r="A681" s="306">
        <v>675</v>
      </c>
      <c r="B681" s="306" t="s">
        <v>21</v>
      </c>
      <c r="C681" s="44" t="s">
        <v>30</v>
      </c>
      <c r="D681" s="306"/>
      <c r="E681" s="306" t="s">
        <v>75</v>
      </c>
      <c r="F681" s="44" t="s">
        <v>1448</v>
      </c>
      <c r="G681" s="306" t="s">
        <v>186</v>
      </c>
      <c r="I681" s="306">
        <v>3</v>
      </c>
      <c r="J681" s="306">
        <v>82.756500000000003</v>
      </c>
      <c r="K681" s="306"/>
      <c r="L681" s="306">
        <v>3</v>
      </c>
      <c r="M681" s="306">
        <v>82.756500000000003</v>
      </c>
      <c r="N681" s="6" t="s">
        <v>1453</v>
      </c>
      <c r="O681" s="305">
        <v>45548</v>
      </c>
      <c r="P681" s="33" t="str">
        <f>HYPERLINK("https://my.zakupivli.pro/remote/dispatcher/state_purchase_view/53295317", "UA-2024-09-13-002771-a")</f>
        <v>UA-2024-09-13-002771-a</v>
      </c>
      <c r="Q681" s="306"/>
      <c r="R681" s="306">
        <v>3</v>
      </c>
      <c r="S681" s="306">
        <v>82.756500000000003</v>
      </c>
      <c r="T681" s="305">
        <v>45548</v>
      </c>
      <c r="U681" s="306"/>
      <c r="V681" s="306" t="s">
        <v>59</v>
      </c>
    </row>
    <row r="682" spans="1:22" ht="78" x14ac:dyDescent="0.3">
      <c r="A682" s="306">
        <v>676</v>
      </c>
      <c r="B682" s="306" t="s">
        <v>40</v>
      </c>
      <c r="C682" s="44" t="s">
        <v>885</v>
      </c>
      <c r="D682" s="306"/>
      <c r="E682" s="306" t="s">
        <v>373</v>
      </c>
      <c r="F682" s="44" t="s">
        <v>1449</v>
      </c>
      <c r="G682" s="306" t="s">
        <v>184</v>
      </c>
      <c r="H682" s="306">
        <v>174.4562</v>
      </c>
      <c r="I682" s="306">
        <v>1</v>
      </c>
      <c r="J682" s="306">
        <v>174.4562</v>
      </c>
      <c r="K682" s="306">
        <v>174.4562</v>
      </c>
      <c r="L682" s="306">
        <v>1</v>
      </c>
      <c r="M682" s="306">
        <v>174.4562</v>
      </c>
      <c r="N682" s="6" t="s">
        <v>1454</v>
      </c>
      <c r="O682" s="305">
        <v>45548</v>
      </c>
      <c r="P682" s="33" t="str">
        <f>HYPERLINK("https://my.zakupivli.pro/remote/dispatcher/state_purchase_view/53297243", "UA-2024-09-13-003709-a")</f>
        <v>UA-2024-09-13-003709-a</v>
      </c>
      <c r="Q682" s="306">
        <v>174.4562</v>
      </c>
      <c r="R682" s="306">
        <v>1</v>
      </c>
      <c r="S682" s="306">
        <v>174.4562</v>
      </c>
      <c r="T682" s="305">
        <v>45548</v>
      </c>
      <c r="U682" s="306"/>
      <c r="V682" s="306" t="s">
        <v>59</v>
      </c>
    </row>
    <row r="683" spans="1:22" ht="62.4" x14ac:dyDescent="0.3">
      <c r="A683" s="306">
        <v>677</v>
      </c>
      <c r="B683" s="306" t="s">
        <v>40</v>
      </c>
      <c r="C683" s="44" t="s">
        <v>885</v>
      </c>
      <c r="D683" s="306"/>
      <c r="E683" s="306" t="s">
        <v>373</v>
      </c>
      <c r="F683" s="44" t="s">
        <v>1450</v>
      </c>
      <c r="G683" s="306" t="s">
        <v>184</v>
      </c>
      <c r="H683" s="306">
        <v>118.7747</v>
      </c>
      <c r="I683" s="306">
        <v>1</v>
      </c>
      <c r="J683" s="306">
        <v>118.7747</v>
      </c>
      <c r="K683" s="306">
        <v>118.7747</v>
      </c>
      <c r="L683" s="306">
        <v>1</v>
      </c>
      <c r="M683" s="306">
        <v>118.7747</v>
      </c>
      <c r="N683" s="6" t="s">
        <v>1455</v>
      </c>
      <c r="O683" s="305">
        <v>45548</v>
      </c>
      <c r="P683" s="33" t="str">
        <f>HYPERLINK("https://my.zakupivli.pro/remote/dispatcher/state_purchase_view/53311753", "UA-2024-09-13-010422-a")</f>
        <v>UA-2024-09-13-010422-a</v>
      </c>
      <c r="Q683" s="306">
        <v>118.7747</v>
      </c>
      <c r="R683" s="306">
        <v>1</v>
      </c>
      <c r="S683" s="306">
        <v>118.7747</v>
      </c>
      <c r="T683" s="305">
        <v>45548</v>
      </c>
      <c r="U683" s="306"/>
      <c r="V683" s="306" t="s">
        <v>59</v>
      </c>
    </row>
    <row r="684" spans="1:22" ht="62.4" x14ac:dyDescent="0.3">
      <c r="A684" s="306">
        <v>678</v>
      </c>
      <c r="B684" s="306" t="s">
        <v>21</v>
      </c>
      <c r="C684" s="44" t="s">
        <v>1452</v>
      </c>
      <c r="D684" s="315" t="s">
        <v>58</v>
      </c>
      <c r="E684" s="306" t="s">
        <v>88</v>
      </c>
      <c r="F684" s="44" t="s">
        <v>1451</v>
      </c>
      <c r="G684" s="306" t="s">
        <v>185</v>
      </c>
      <c r="H684" s="306"/>
      <c r="I684" s="306">
        <v>445</v>
      </c>
      <c r="J684" s="306">
        <v>665.88</v>
      </c>
      <c r="K684" s="306"/>
      <c r="L684" s="306">
        <v>445</v>
      </c>
      <c r="M684" s="306">
        <v>665.88</v>
      </c>
      <c r="N684" s="6" t="s">
        <v>1456</v>
      </c>
      <c r="O684" s="305">
        <v>45548</v>
      </c>
      <c r="P684" s="33" t="str">
        <f>HYPERLINK("https://my.zakupivli.pro/remote/dispatcher/state_purchase_view/53313149", "UA-2024-09-13-010785-a")</f>
        <v>UA-2024-09-13-010785-a</v>
      </c>
      <c r="Q684" s="306"/>
      <c r="R684" s="306"/>
      <c r="S684" s="306"/>
      <c r="T684" s="305"/>
      <c r="U684" s="306"/>
      <c r="V684" s="306"/>
    </row>
    <row r="685" spans="1:22" ht="62.4" x14ac:dyDescent="0.3">
      <c r="A685" s="307">
        <v>679</v>
      </c>
      <c r="B685" s="307" t="s">
        <v>21</v>
      </c>
      <c r="C685" s="44" t="s">
        <v>1459</v>
      </c>
      <c r="D685" s="315" t="s">
        <v>58</v>
      </c>
      <c r="E685" s="307" t="s">
        <v>88</v>
      </c>
      <c r="F685" s="44" t="s">
        <v>1457</v>
      </c>
      <c r="G685" s="307" t="s">
        <v>186</v>
      </c>
      <c r="H685" s="307"/>
      <c r="I685" s="307">
        <v>8</v>
      </c>
      <c r="J685" s="307">
        <v>324.30833000000001</v>
      </c>
      <c r="K685" s="307"/>
      <c r="L685" s="307">
        <v>8</v>
      </c>
      <c r="M685" s="307">
        <v>324.30833000000001</v>
      </c>
      <c r="N685" s="6" t="s">
        <v>1460</v>
      </c>
      <c r="O685" s="308">
        <v>45555</v>
      </c>
      <c r="P685" s="122" t="str">
        <f>HYPERLINK("https://my.zakupivli.pro/remote/dispatcher/state_purchase_view/53457069", "UA-2024-09-20-001099-a")</f>
        <v>UA-2024-09-20-001099-a</v>
      </c>
      <c r="Q685" s="307"/>
      <c r="R685" s="307"/>
      <c r="S685" s="307"/>
      <c r="T685" s="308"/>
      <c r="U685" s="307"/>
      <c r="V685" s="307"/>
    </row>
    <row r="686" spans="1:22" ht="46.8" x14ac:dyDescent="0.3">
      <c r="A686" s="307">
        <v>680</v>
      </c>
      <c r="B686" s="307" t="s">
        <v>21</v>
      </c>
      <c r="C686" s="44" t="s">
        <v>1436</v>
      </c>
      <c r="D686" s="315" t="s">
        <v>58</v>
      </c>
      <c r="E686" s="307" t="s">
        <v>88</v>
      </c>
      <c r="F686" s="44" t="s">
        <v>1458</v>
      </c>
      <c r="G686" s="307" t="s">
        <v>185</v>
      </c>
      <c r="H686" s="307"/>
      <c r="I686" s="307">
        <v>33</v>
      </c>
      <c r="J686" s="307">
        <v>566.92449999999997</v>
      </c>
      <c r="K686" s="307"/>
      <c r="L686" s="307">
        <v>33</v>
      </c>
      <c r="M686" s="307">
        <v>566.92449999999997</v>
      </c>
      <c r="N686" s="6" t="s">
        <v>1461</v>
      </c>
      <c r="O686" s="308">
        <v>45554</v>
      </c>
      <c r="P686" s="122" t="str">
        <f>HYPERLINK("https://my.zakupivli.pro/remote/dispatcher/state_purchase_view/53451774", "UA-2024-09-19-013922-a")</f>
        <v>UA-2024-09-19-013922-a</v>
      </c>
      <c r="Q686" s="307"/>
      <c r="R686" s="307"/>
      <c r="S686" s="307"/>
      <c r="T686" s="308"/>
      <c r="U686" s="307"/>
      <c r="V686" s="307"/>
    </row>
    <row r="687" spans="1:22" ht="62.4" x14ac:dyDescent="0.3">
      <c r="A687" s="307">
        <v>681</v>
      </c>
      <c r="B687" s="309" t="s">
        <v>40</v>
      </c>
      <c r="C687" s="44" t="s">
        <v>885</v>
      </c>
      <c r="D687" s="307"/>
      <c r="E687" s="309" t="s">
        <v>373</v>
      </c>
      <c r="F687" s="44" t="s">
        <v>1462</v>
      </c>
      <c r="G687" s="307" t="s">
        <v>184</v>
      </c>
      <c r="H687" s="307">
        <v>52.655290000000001</v>
      </c>
      <c r="I687" s="307">
        <v>1</v>
      </c>
      <c r="J687" s="309">
        <v>52.655290000000001</v>
      </c>
      <c r="K687" s="309">
        <v>52.655290000000001</v>
      </c>
      <c r="L687" s="309">
        <v>1</v>
      </c>
      <c r="M687" s="309">
        <v>52.655290000000001</v>
      </c>
      <c r="N687" s="6" t="s">
        <v>1468</v>
      </c>
      <c r="O687" s="308">
        <v>45558</v>
      </c>
      <c r="P687" s="33" t="str">
        <f>HYPERLINK("https://my.zakupivli.pro/remote/dispatcher/state_purchase_view/53509367", "UA-2024-09-23-009602-a")</f>
        <v>UA-2024-09-23-009602-a</v>
      </c>
      <c r="Q687" s="309">
        <v>52.655290000000001</v>
      </c>
      <c r="R687" s="309">
        <v>1</v>
      </c>
      <c r="S687" s="309">
        <v>52.655290000000001</v>
      </c>
      <c r="T687" s="310">
        <v>45558</v>
      </c>
      <c r="U687" s="307"/>
      <c r="V687" s="309" t="s">
        <v>59</v>
      </c>
    </row>
    <row r="688" spans="1:22" ht="78" x14ac:dyDescent="0.3">
      <c r="A688" s="307">
        <v>682</v>
      </c>
      <c r="B688" s="309" t="s">
        <v>40</v>
      </c>
      <c r="C688" s="44" t="s">
        <v>885</v>
      </c>
      <c r="D688" s="307"/>
      <c r="E688" s="309" t="s">
        <v>373</v>
      </c>
      <c r="F688" s="44" t="s">
        <v>1463</v>
      </c>
      <c r="G688" s="307" t="s">
        <v>184</v>
      </c>
      <c r="H688" s="307">
        <v>78.539169999999999</v>
      </c>
      <c r="I688" s="309">
        <v>1</v>
      </c>
      <c r="J688" s="309">
        <v>78.539169999999999</v>
      </c>
      <c r="K688" s="309">
        <v>78.539169999999999</v>
      </c>
      <c r="L688" s="309">
        <v>1</v>
      </c>
      <c r="M688" s="309">
        <v>78.539169999999999</v>
      </c>
      <c r="N688" s="6" t="s">
        <v>1469</v>
      </c>
      <c r="O688" s="310">
        <v>45558</v>
      </c>
      <c r="P688" s="33" t="str">
        <f>HYPERLINK("https://my.zakupivli.pro/remote/dispatcher/state_purchase_view/53498923", "UA-2024-09-23-004972-a")</f>
        <v>UA-2024-09-23-004972-a</v>
      </c>
      <c r="Q688" s="309">
        <v>78.539169999999999</v>
      </c>
      <c r="R688" s="309">
        <v>1</v>
      </c>
      <c r="S688" s="309">
        <v>78.539169999999999</v>
      </c>
      <c r="T688" s="310">
        <v>45558</v>
      </c>
      <c r="U688" s="307"/>
      <c r="V688" s="309" t="s">
        <v>59</v>
      </c>
    </row>
    <row r="689" spans="1:22" ht="62.4" x14ac:dyDescent="0.3">
      <c r="A689" s="307">
        <v>683</v>
      </c>
      <c r="B689" s="309" t="s">
        <v>40</v>
      </c>
      <c r="C689" s="44" t="s">
        <v>885</v>
      </c>
      <c r="D689" s="307"/>
      <c r="E689" s="309" t="s">
        <v>373</v>
      </c>
      <c r="F689" s="44" t="s">
        <v>1464</v>
      </c>
      <c r="G689" s="307" t="s">
        <v>184</v>
      </c>
      <c r="H689" s="307">
        <v>112.74850000000001</v>
      </c>
      <c r="I689" s="309">
        <v>1</v>
      </c>
      <c r="J689" s="309">
        <v>112.74850000000001</v>
      </c>
      <c r="K689" s="309">
        <v>112.74850000000001</v>
      </c>
      <c r="L689" s="309">
        <v>1</v>
      </c>
      <c r="M689" s="309">
        <v>112.74850000000001</v>
      </c>
      <c r="N689" s="6" t="s">
        <v>1470</v>
      </c>
      <c r="O689" s="310">
        <v>45558</v>
      </c>
      <c r="P689" s="33" t="str">
        <f>HYPERLINK("https://my.zakupivli.pro/remote/dispatcher/state_purchase_view/53497297", "UA-2024-09-23-004311-a")</f>
        <v>UA-2024-09-23-004311-a</v>
      </c>
      <c r="Q689" s="309">
        <v>112.74850000000001</v>
      </c>
      <c r="R689" s="309">
        <v>1</v>
      </c>
      <c r="S689" s="309">
        <v>112.74850000000001</v>
      </c>
      <c r="T689" s="310">
        <v>45558</v>
      </c>
      <c r="U689" s="307"/>
      <c r="V689" s="309" t="s">
        <v>59</v>
      </c>
    </row>
    <row r="690" spans="1:22" ht="62.4" x14ac:dyDescent="0.3">
      <c r="A690" s="307">
        <v>684</v>
      </c>
      <c r="B690" s="309" t="s">
        <v>40</v>
      </c>
      <c r="C690" s="44" t="s">
        <v>1467</v>
      </c>
      <c r="D690" s="307"/>
      <c r="E690" s="309" t="s">
        <v>75</v>
      </c>
      <c r="F690" s="44" t="s">
        <v>1465</v>
      </c>
      <c r="G690" s="307" t="s">
        <v>1150</v>
      </c>
      <c r="H690" s="119">
        <v>83.3</v>
      </c>
      <c r="I690" s="309">
        <v>1</v>
      </c>
      <c r="J690" s="119">
        <v>83.3</v>
      </c>
      <c r="K690" s="119">
        <v>83.3</v>
      </c>
      <c r="L690" s="309">
        <v>1</v>
      </c>
      <c r="M690" s="119">
        <v>83.3</v>
      </c>
      <c r="N690" s="6" t="s">
        <v>1471</v>
      </c>
      <c r="O690" s="310">
        <v>45558</v>
      </c>
      <c r="P690" s="33" t="str">
        <f>HYPERLINK("https://my.zakupivli.pro/remote/dispatcher/state_purchase_view/53492810", "UA-2024-09-23-002326-a")</f>
        <v>UA-2024-09-23-002326-a</v>
      </c>
      <c r="Q690" s="119">
        <v>83.3</v>
      </c>
      <c r="R690" s="309">
        <v>1</v>
      </c>
      <c r="S690" s="119">
        <v>83.3</v>
      </c>
      <c r="T690" s="308">
        <v>45554</v>
      </c>
      <c r="U690" s="307"/>
      <c r="V690" s="309" t="s">
        <v>59</v>
      </c>
    </row>
    <row r="691" spans="1:22" ht="62.4" x14ac:dyDescent="0.3">
      <c r="A691" s="307">
        <v>685</v>
      </c>
      <c r="B691" s="309" t="s">
        <v>40</v>
      </c>
      <c r="C691" s="44" t="s">
        <v>1467</v>
      </c>
      <c r="D691" s="307"/>
      <c r="E691" s="309" t="s">
        <v>75</v>
      </c>
      <c r="F691" s="44" t="s">
        <v>1466</v>
      </c>
      <c r="G691" s="307" t="s">
        <v>1150</v>
      </c>
      <c r="H691" s="307">
        <v>99.29</v>
      </c>
      <c r="I691" s="309">
        <v>1</v>
      </c>
      <c r="J691" s="309">
        <v>99.29</v>
      </c>
      <c r="K691" s="309">
        <v>99.29</v>
      </c>
      <c r="L691" s="309">
        <v>1</v>
      </c>
      <c r="M691" s="309">
        <v>99.29</v>
      </c>
      <c r="N691" s="6" t="s">
        <v>1472</v>
      </c>
      <c r="O691" s="310">
        <v>45558</v>
      </c>
      <c r="P691" s="33" t="str">
        <f>HYPERLINK("https://my.zakupivli.pro/remote/dispatcher/state_purchase_view/53490995", "UA-2024-09-23-001580-a")</f>
        <v>UA-2024-09-23-001580-a</v>
      </c>
      <c r="Q691" s="309">
        <v>99.29</v>
      </c>
      <c r="R691" s="309">
        <v>1</v>
      </c>
      <c r="S691" s="309">
        <v>99.29</v>
      </c>
      <c r="T691" s="308">
        <v>45552</v>
      </c>
      <c r="U691" s="307"/>
      <c r="V691" s="309" t="s">
        <v>59</v>
      </c>
    </row>
    <row r="692" spans="1:22" ht="62.4" x14ac:dyDescent="0.3">
      <c r="A692" s="307">
        <v>686</v>
      </c>
      <c r="B692" s="311" t="s">
        <v>40</v>
      </c>
      <c r="C692" s="44" t="s">
        <v>885</v>
      </c>
      <c r="D692" s="307"/>
      <c r="E692" s="311" t="s">
        <v>373</v>
      </c>
      <c r="F692" s="44" t="s">
        <v>1473</v>
      </c>
      <c r="G692" s="311" t="s">
        <v>184</v>
      </c>
      <c r="H692" s="307">
        <v>296.12436000000002</v>
      </c>
      <c r="I692" s="307">
        <v>1</v>
      </c>
      <c r="J692" s="311">
        <v>296.12436000000002</v>
      </c>
      <c r="K692" s="311">
        <v>296.12436000000002</v>
      </c>
      <c r="L692" s="311">
        <v>1</v>
      </c>
      <c r="M692" s="311">
        <v>296.12436000000002</v>
      </c>
      <c r="N692" s="6" t="s">
        <v>1480</v>
      </c>
      <c r="O692" s="308">
        <v>45560</v>
      </c>
      <c r="P692" s="33" t="str">
        <f>HYPERLINK("https://my.zakupivli.pro/remote/dispatcher/state_purchase_view/53583248", "UA-2024-09-25-012201-a")</f>
        <v>UA-2024-09-25-012201-a</v>
      </c>
      <c r="Q692" s="311">
        <v>296.12436000000002</v>
      </c>
      <c r="R692" s="311">
        <v>1</v>
      </c>
      <c r="S692" s="311">
        <v>296.12436000000002</v>
      </c>
      <c r="T692" s="308">
        <v>45559</v>
      </c>
      <c r="U692" s="307"/>
      <c r="V692" s="311" t="s">
        <v>59</v>
      </c>
    </row>
    <row r="693" spans="1:22" ht="62.4" x14ac:dyDescent="0.3">
      <c r="A693" s="307">
        <v>687</v>
      </c>
      <c r="B693" s="311" t="s">
        <v>21</v>
      </c>
      <c r="C693" s="44" t="s">
        <v>1218</v>
      </c>
      <c r="D693" s="307"/>
      <c r="E693" s="311" t="s">
        <v>75</v>
      </c>
      <c r="F693" s="44" t="s">
        <v>1474</v>
      </c>
      <c r="G693" s="307" t="s">
        <v>185</v>
      </c>
      <c r="H693" s="307"/>
      <c r="I693" s="307">
        <v>142</v>
      </c>
      <c r="J693" s="307">
        <v>2096.3649999999998</v>
      </c>
      <c r="K693" s="307"/>
      <c r="L693" s="311">
        <v>142</v>
      </c>
      <c r="M693" s="311">
        <v>2096.3649999999998</v>
      </c>
      <c r="N693" s="6" t="s">
        <v>1481</v>
      </c>
      <c r="O693" s="312">
        <v>45560</v>
      </c>
      <c r="P693" s="33" t="str">
        <f>HYPERLINK("https://my.zakupivli.pro/remote/dispatcher/state_purchase_view/53577857", "UA-2024-09-25-009794-a")</f>
        <v>UA-2024-09-25-009794-a</v>
      </c>
      <c r="Q693" s="307"/>
      <c r="R693" s="307">
        <v>142</v>
      </c>
      <c r="S693" s="307"/>
      <c r="T693" s="308"/>
      <c r="U693" s="307"/>
      <c r="V693" s="307"/>
    </row>
    <row r="694" spans="1:22" ht="62.4" x14ac:dyDescent="0.3">
      <c r="A694" s="307">
        <v>688</v>
      </c>
      <c r="B694" s="311" t="s">
        <v>40</v>
      </c>
      <c r="C694" s="44" t="s">
        <v>885</v>
      </c>
      <c r="D694" s="307"/>
      <c r="E694" s="311" t="s">
        <v>373</v>
      </c>
      <c r="F694" s="44" t="s">
        <v>1475</v>
      </c>
      <c r="G694" s="311" t="s">
        <v>184</v>
      </c>
      <c r="H694" s="307">
        <v>137.95366999999999</v>
      </c>
      <c r="I694" s="307">
        <v>1</v>
      </c>
      <c r="J694" s="311">
        <v>137.95366999999999</v>
      </c>
      <c r="K694" s="311">
        <v>137.95366999999999</v>
      </c>
      <c r="L694" s="311">
        <v>1</v>
      </c>
      <c r="M694" s="311">
        <v>137.95366999999999</v>
      </c>
      <c r="N694" s="6" t="s">
        <v>1482</v>
      </c>
      <c r="O694" s="312">
        <v>45560</v>
      </c>
      <c r="P694" s="33" t="str">
        <f>HYPERLINK("https://my.zakupivli.pro/remote/dispatcher/state_purchase_view/53556779", "UA-2024-09-25-000210-a")</f>
        <v>UA-2024-09-25-000210-a</v>
      </c>
      <c r="Q694" s="311">
        <v>137.95366999999999</v>
      </c>
      <c r="R694" s="311">
        <v>1</v>
      </c>
      <c r="S694" s="311">
        <v>137.95366999999999</v>
      </c>
      <c r="T694" s="312">
        <v>45559</v>
      </c>
      <c r="U694" s="307"/>
      <c r="V694" s="311" t="s">
        <v>59</v>
      </c>
    </row>
    <row r="695" spans="1:22" ht="62.4" x14ac:dyDescent="0.3">
      <c r="A695" s="307">
        <v>689</v>
      </c>
      <c r="B695" s="311" t="s">
        <v>40</v>
      </c>
      <c r="C695" s="44" t="s">
        <v>885</v>
      </c>
      <c r="D695" s="307"/>
      <c r="E695" s="311" t="s">
        <v>373</v>
      </c>
      <c r="F695" s="44" t="s">
        <v>1476</v>
      </c>
      <c r="G695" s="311" t="s">
        <v>184</v>
      </c>
      <c r="H695" s="307">
        <v>364.10131000000001</v>
      </c>
      <c r="I695" s="307">
        <v>1</v>
      </c>
      <c r="J695" s="311">
        <v>364.10131000000001</v>
      </c>
      <c r="K695" s="311">
        <v>364.10131000000001</v>
      </c>
      <c r="L695" s="311">
        <v>1</v>
      </c>
      <c r="M695" s="311">
        <v>364.10131000000001</v>
      </c>
      <c r="N695" s="6" t="s">
        <v>1483</v>
      </c>
      <c r="O695" s="312">
        <v>45560</v>
      </c>
      <c r="P695" s="33" t="str">
        <f>HYPERLINK("https://my.zakupivli.pro/remote/dispatcher/state_purchase_view/53556554", "UA-2024-09-25-000110-a")</f>
        <v>UA-2024-09-25-000110-a</v>
      </c>
      <c r="Q695" s="311">
        <v>364.10131000000001</v>
      </c>
      <c r="R695" s="311">
        <v>1</v>
      </c>
      <c r="S695" s="311">
        <v>364.10131000000001</v>
      </c>
      <c r="T695" s="312">
        <v>45559</v>
      </c>
      <c r="U695" s="307"/>
      <c r="V695" s="311" t="s">
        <v>59</v>
      </c>
    </row>
    <row r="696" spans="1:22" ht="62.4" x14ac:dyDescent="0.3">
      <c r="A696" s="307">
        <v>690</v>
      </c>
      <c r="B696" s="311" t="s">
        <v>21</v>
      </c>
      <c r="C696" s="44" t="s">
        <v>1479</v>
      </c>
      <c r="D696" s="307"/>
      <c r="E696" s="311" t="s">
        <v>88</v>
      </c>
      <c r="F696" s="44" t="s">
        <v>1477</v>
      </c>
      <c r="G696" s="307" t="s">
        <v>185</v>
      </c>
      <c r="H696" s="307"/>
      <c r="I696" s="307">
        <v>3</v>
      </c>
      <c r="J696" s="119">
        <v>75</v>
      </c>
      <c r="K696" s="307"/>
      <c r="L696" s="311">
        <v>3</v>
      </c>
      <c r="M696" s="119">
        <v>75</v>
      </c>
      <c r="N696" s="6" t="s">
        <v>1484</v>
      </c>
      <c r="O696" s="312">
        <v>45560</v>
      </c>
      <c r="P696" s="33" t="str">
        <f>HYPERLINK("https://my.zakupivli.pro/remote/dispatcher/state_purchase_view/53556470", "UA-2024-09-25-000091-a")</f>
        <v>UA-2024-09-25-000091-a</v>
      </c>
      <c r="Q696" s="307"/>
      <c r="R696" s="311">
        <v>3</v>
      </c>
      <c r="S696" s="119">
        <v>75</v>
      </c>
      <c r="T696" s="312">
        <v>45559</v>
      </c>
      <c r="U696" s="307"/>
      <c r="V696" s="311" t="s">
        <v>59</v>
      </c>
    </row>
    <row r="697" spans="1:22" ht="62.4" x14ac:dyDescent="0.3">
      <c r="A697" s="307">
        <v>691</v>
      </c>
      <c r="B697" s="311" t="s">
        <v>21</v>
      </c>
      <c r="C697" s="44" t="s">
        <v>406</v>
      </c>
      <c r="D697" s="307"/>
      <c r="E697" s="311" t="s">
        <v>88</v>
      </c>
      <c r="F697" s="44" t="s">
        <v>1478</v>
      </c>
      <c r="G697" s="307" t="s">
        <v>185</v>
      </c>
      <c r="H697" s="307"/>
      <c r="I697" s="307">
        <v>15</v>
      </c>
      <c r="J697" s="307">
        <v>56.25</v>
      </c>
      <c r="K697" s="307"/>
      <c r="L697" s="311">
        <v>15</v>
      </c>
      <c r="M697" s="311">
        <v>56.25</v>
      </c>
      <c r="N697" s="6" t="s">
        <v>1485</v>
      </c>
      <c r="O697" s="312">
        <v>45560</v>
      </c>
      <c r="P697" s="33" t="str">
        <f>HYPERLINK("https://my.zakupivli.pro/remote/dispatcher/state_purchase_view/53556454", "UA-2024-09-25-000083-a")</f>
        <v>UA-2024-09-25-000083-a</v>
      </c>
      <c r="Q697" s="307"/>
      <c r="R697" s="311">
        <v>15</v>
      </c>
      <c r="S697" s="311">
        <v>56.25</v>
      </c>
      <c r="T697" s="312">
        <v>45559</v>
      </c>
      <c r="U697" s="307"/>
      <c r="V697" s="311" t="s">
        <v>59</v>
      </c>
    </row>
    <row r="698" spans="1:22" ht="78" x14ac:dyDescent="0.3">
      <c r="A698" s="307">
        <v>692</v>
      </c>
      <c r="B698" s="313" t="s">
        <v>40</v>
      </c>
      <c r="C698" s="44" t="s">
        <v>885</v>
      </c>
      <c r="D698" s="307"/>
      <c r="E698" s="313" t="s">
        <v>373</v>
      </c>
      <c r="F698" s="44" t="s">
        <v>1486</v>
      </c>
      <c r="G698" s="313" t="s">
        <v>184</v>
      </c>
      <c r="H698" s="307">
        <v>192.17121</v>
      </c>
      <c r="I698" s="307">
        <v>1</v>
      </c>
      <c r="J698" s="313">
        <v>192.17121</v>
      </c>
      <c r="K698" s="313">
        <v>192.17121</v>
      </c>
      <c r="L698" s="313">
        <v>1</v>
      </c>
      <c r="M698" s="313">
        <v>192.17121</v>
      </c>
      <c r="N698" s="6" t="s">
        <v>1488</v>
      </c>
      <c r="O698" s="308">
        <v>45562</v>
      </c>
      <c r="P698" s="33" t="str">
        <f>HYPERLINK("https://my.zakupivli.pro/remote/dispatcher/state_purchase_view/53622436", "UA-2024-09-27-000167-a")</f>
        <v>UA-2024-09-27-000167-a</v>
      </c>
      <c r="Q698" s="313">
        <v>192.17121</v>
      </c>
      <c r="R698" s="313">
        <v>1</v>
      </c>
      <c r="S698" s="313">
        <v>192.17121</v>
      </c>
      <c r="T698" s="308">
        <v>45561</v>
      </c>
      <c r="U698" s="307"/>
      <c r="V698" s="313" t="s">
        <v>59</v>
      </c>
    </row>
    <row r="699" spans="1:22" ht="78" x14ac:dyDescent="0.3">
      <c r="A699" s="307">
        <v>693</v>
      </c>
      <c r="B699" s="313" t="s">
        <v>40</v>
      </c>
      <c r="C699" s="44" t="s">
        <v>885</v>
      </c>
      <c r="D699" s="307"/>
      <c r="E699" s="313" t="s">
        <v>373</v>
      </c>
      <c r="F699" s="44" t="s">
        <v>1487</v>
      </c>
      <c r="G699" s="313" t="s">
        <v>184</v>
      </c>
      <c r="H699" s="307">
        <v>97.990600000000001</v>
      </c>
      <c r="I699" s="307">
        <v>1</v>
      </c>
      <c r="J699" s="313">
        <v>97.990600000000001</v>
      </c>
      <c r="K699" s="313">
        <v>97.990600000000001</v>
      </c>
      <c r="L699" s="313">
        <v>1</v>
      </c>
      <c r="M699" s="313">
        <v>97.990600000000001</v>
      </c>
      <c r="N699" s="6" t="s">
        <v>1489</v>
      </c>
      <c r="O699" s="314">
        <v>45562</v>
      </c>
      <c r="P699" s="33" t="str">
        <f>HYPERLINK("https://my.zakupivli.pro/remote/dispatcher/state_purchase_view/53622364", "UA-2024-09-27-000136-a")</f>
        <v>UA-2024-09-27-000136-a</v>
      </c>
      <c r="Q699" s="313">
        <v>97.990600000000001</v>
      </c>
      <c r="R699" s="313">
        <v>1</v>
      </c>
      <c r="S699" s="313">
        <v>97.990600000000001</v>
      </c>
      <c r="T699" s="314">
        <v>45561</v>
      </c>
      <c r="U699" s="307"/>
      <c r="V699" s="313" t="s">
        <v>59</v>
      </c>
    </row>
    <row r="700" spans="1:22" ht="62.4" x14ac:dyDescent="0.3">
      <c r="A700" s="307">
        <v>694</v>
      </c>
      <c r="B700" s="307" t="s">
        <v>1151</v>
      </c>
      <c r="C700" s="307"/>
      <c r="D700" s="315" t="s">
        <v>58</v>
      </c>
      <c r="E700" s="315" t="s">
        <v>75</v>
      </c>
      <c r="F700" s="44" t="s">
        <v>1491</v>
      </c>
      <c r="G700" s="307" t="s">
        <v>1150</v>
      </c>
      <c r="H700" s="119">
        <v>875</v>
      </c>
      <c r="I700" s="307">
        <v>1</v>
      </c>
      <c r="J700" s="119">
        <v>875</v>
      </c>
      <c r="K700" s="119">
        <v>875</v>
      </c>
      <c r="L700" s="315">
        <v>1</v>
      </c>
      <c r="M700" s="119">
        <v>875</v>
      </c>
      <c r="N700" s="6" t="s">
        <v>1493</v>
      </c>
      <c r="O700" s="308">
        <v>45568</v>
      </c>
      <c r="P700" s="33" t="str">
        <f>HYPERLINK("https://my.zakupivli.pro/remote/dispatcher/state_purchase_view/53763368", "UA-2024-10-03-012179-a")</f>
        <v>UA-2024-10-03-012179-a</v>
      </c>
      <c r="Q700" s="307"/>
      <c r="R700" s="307">
        <v>1</v>
      </c>
      <c r="S700" s="307"/>
      <c r="T700" s="308"/>
      <c r="U700" s="307"/>
      <c r="V700" s="307"/>
    </row>
    <row r="701" spans="1:22" ht="46.8" x14ac:dyDescent="0.3">
      <c r="A701" s="307">
        <v>695</v>
      </c>
      <c r="B701" s="307" t="s">
        <v>40</v>
      </c>
      <c r="C701" s="307"/>
      <c r="D701" s="315" t="s">
        <v>58</v>
      </c>
      <c r="E701" s="315" t="s">
        <v>373</v>
      </c>
      <c r="F701" s="44" t="s">
        <v>1492</v>
      </c>
      <c r="G701" s="307" t="s">
        <v>184</v>
      </c>
      <c r="H701" s="119">
        <v>443.67</v>
      </c>
      <c r="I701" s="307">
        <v>1</v>
      </c>
      <c r="J701" s="119">
        <v>443.67</v>
      </c>
      <c r="K701" s="119">
        <v>443.67</v>
      </c>
      <c r="L701" s="315">
        <v>1</v>
      </c>
      <c r="M701" s="119">
        <v>443.67</v>
      </c>
      <c r="N701" s="6" t="s">
        <v>1494</v>
      </c>
      <c r="O701" s="316">
        <v>45568</v>
      </c>
      <c r="P701" s="33" t="str">
        <f>HYPERLINK("https://my.zakupivli.pro/remote/dispatcher/state_purchase_view/53763004", "UA-2024-10-03-012005-a")</f>
        <v>UA-2024-10-03-012005-a</v>
      </c>
      <c r="Q701" s="307"/>
      <c r="R701" s="307"/>
      <c r="S701" s="307"/>
      <c r="T701" s="308"/>
      <c r="U701" s="307"/>
      <c r="V701" s="307"/>
    </row>
    <row r="702" spans="1:22" ht="62.4" x14ac:dyDescent="0.3">
      <c r="A702" s="307">
        <v>696</v>
      </c>
      <c r="B702" s="317" t="s">
        <v>21</v>
      </c>
      <c r="C702" s="44" t="s">
        <v>1452</v>
      </c>
      <c r="D702" s="307"/>
      <c r="E702" s="317" t="s">
        <v>88</v>
      </c>
      <c r="F702" s="44" t="s">
        <v>1495</v>
      </c>
      <c r="G702" s="307" t="s">
        <v>186</v>
      </c>
      <c r="H702" s="307"/>
      <c r="I702" s="307">
        <v>6</v>
      </c>
      <c r="J702" s="307">
        <v>65.058850000000007</v>
      </c>
      <c r="K702" s="307"/>
      <c r="L702" s="317">
        <v>6</v>
      </c>
      <c r="M702" s="317">
        <v>65.058850000000007</v>
      </c>
      <c r="N702" s="6" t="s">
        <v>1496</v>
      </c>
      <c r="O702" s="308">
        <v>45574</v>
      </c>
      <c r="P702" s="122" t="str">
        <f>HYPERLINK("https://my.zakupivli.pro/remote/dispatcher/state_purchase_view/53861267", "UA-2024-10-09-000575-a")</f>
        <v>UA-2024-10-09-000575-a</v>
      </c>
      <c r="Q702" s="307"/>
      <c r="R702" s="317">
        <v>6</v>
      </c>
      <c r="S702" s="317">
        <v>65.058850000000007</v>
      </c>
      <c r="T702" s="308">
        <v>45574</v>
      </c>
      <c r="U702" s="307"/>
      <c r="V702" s="317" t="s">
        <v>59</v>
      </c>
    </row>
    <row r="703" spans="1:22" ht="78" x14ac:dyDescent="0.3">
      <c r="A703" s="307">
        <v>697</v>
      </c>
      <c r="B703" s="318" t="s">
        <v>1151</v>
      </c>
      <c r="C703" s="44" t="s">
        <v>1499</v>
      </c>
      <c r="D703" s="307"/>
      <c r="E703" s="318" t="s">
        <v>75</v>
      </c>
      <c r="F703" s="44" t="s">
        <v>1497</v>
      </c>
      <c r="G703" s="307" t="s">
        <v>1150</v>
      </c>
      <c r="H703" s="119">
        <v>1483</v>
      </c>
      <c r="I703" s="307">
        <v>1</v>
      </c>
      <c r="J703" s="119">
        <v>1483</v>
      </c>
      <c r="K703" s="119">
        <v>1483</v>
      </c>
      <c r="L703" s="318">
        <v>1</v>
      </c>
      <c r="M703" s="119">
        <v>1483</v>
      </c>
      <c r="N703" s="6" t="s">
        <v>1500</v>
      </c>
      <c r="O703" s="308">
        <v>45579</v>
      </c>
      <c r="P703" s="33" t="str">
        <f>HYPERLINK("https://my.zakupivli.pro/remote/dispatcher/state_purchase_view/53984270", "UA-2024-10-14-011744-a")</f>
        <v>UA-2024-10-14-011744-a</v>
      </c>
      <c r="Q703" s="119">
        <v>1483</v>
      </c>
      <c r="R703" s="318">
        <v>1</v>
      </c>
      <c r="S703" s="119">
        <v>1483</v>
      </c>
      <c r="T703" s="319">
        <v>45579</v>
      </c>
      <c r="U703" s="307"/>
      <c r="V703" s="318" t="s">
        <v>59</v>
      </c>
    </row>
    <row r="704" spans="1:22" ht="62.4" x14ac:dyDescent="0.3">
      <c r="A704" s="307">
        <v>698</v>
      </c>
      <c r="B704" s="318" t="s">
        <v>40</v>
      </c>
      <c r="C704" s="44" t="s">
        <v>73</v>
      </c>
      <c r="D704" s="307"/>
      <c r="E704" s="318" t="s">
        <v>75</v>
      </c>
      <c r="F704" s="44" t="s">
        <v>1498</v>
      </c>
      <c r="G704" s="307" t="s">
        <v>184</v>
      </c>
      <c r="H704" s="307">
        <v>74.103059999999999</v>
      </c>
      <c r="I704" s="307">
        <v>1</v>
      </c>
      <c r="J704" s="320">
        <v>74.103059999999999</v>
      </c>
      <c r="K704" s="320">
        <v>74.103059999999999</v>
      </c>
      <c r="L704" s="320">
        <v>1</v>
      </c>
      <c r="M704" s="320">
        <v>74.103059999999999</v>
      </c>
      <c r="N704" s="6" t="s">
        <v>1501</v>
      </c>
      <c r="O704" s="308">
        <v>45576</v>
      </c>
      <c r="P704" s="33" t="str">
        <f>HYPERLINK("https://my.zakupivli.pro/remote/dispatcher/state_purchase_view/53959780", "UA-2024-10-14-000539-a")</f>
        <v>UA-2024-10-14-000539-a</v>
      </c>
      <c r="Q704" s="320">
        <v>74.103059999999999</v>
      </c>
      <c r="R704" s="320">
        <v>1</v>
      </c>
      <c r="S704" s="320">
        <v>74.103059999999999</v>
      </c>
      <c r="T704" s="308">
        <v>45576</v>
      </c>
      <c r="U704" s="307"/>
      <c r="V704" s="318" t="s">
        <v>59</v>
      </c>
    </row>
    <row r="705" spans="1:22" ht="62.4" x14ac:dyDescent="0.3">
      <c r="A705" s="307">
        <v>699</v>
      </c>
      <c r="B705" s="321" t="s">
        <v>1151</v>
      </c>
      <c r="C705" s="44" t="s">
        <v>1401</v>
      </c>
      <c r="D705" s="307"/>
      <c r="E705" s="321" t="s">
        <v>75</v>
      </c>
      <c r="F705" s="44" t="s">
        <v>1502</v>
      </c>
      <c r="G705" s="307" t="s">
        <v>1150</v>
      </c>
      <c r="H705" s="119">
        <v>59</v>
      </c>
      <c r="I705" s="307">
        <v>1</v>
      </c>
      <c r="J705" s="119">
        <v>59</v>
      </c>
      <c r="K705" s="119">
        <v>59</v>
      </c>
      <c r="L705" s="321">
        <v>1</v>
      </c>
      <c r="M705" s="119">
        <v>59</v>
      </c>
      <c r="N705" s="6" t="s">
        <v>1503</v>
      </c>
      <c r="O705" s="308">
        <v>45581</v>
      </c>
      <c r="P705" s="122" t="str">
        <f>HYPERLINK("https://my.zakupivli.pro/remote/dispatcher/state_purchase_view/54054503", "UA-2024-10-16-012402-a")</f>
        <v>UA-2024-10-16-012402-a</v>
      </c>
      <c r="Q705" s="119">
        <v>59</v>
      </c>
      <c r="R705" s="321">
        <v>1</v>
      </c>
      <c r="S705" s="119">
        <v>59</v>
      </c>
      <c r="T705" s="322">
        <v>45581</v>
      </c>
      <c r="U705" s="307"/>
      <c r="V705" s="321" t="s">
        <v>59</v>
      </c>
    </row>
    <row r="706" spans="1:22" ht="62.4" x14ac:dyDescent="0.3">
      <c r="A706" s="307">
        <v>700</v>
      </c>
      <c r="B706" s="323" t="s">
        <v>40</v>
      </c>
      <c r="C706" s="44" t="s">
        <v>885</v>
      </c>
      <c r="D706" s="307"/>
      <c r="E706" s="323" t="s">
        <v>373</v>
      </c>
      <c r="F706" s="44" t="s">
        <v>1504</v>
      </c>
      <c r="G706" s="323" t="s">
        <v>184</v>
      </c>
      <c r="H706" s="307">
        <v>634.78561999999999</v>
      </c>
      <c r="I706" s="323">
        <v>1</v>
      </c>
      <c r="J706" s="323">
        <v>634.78561999999999</v>
      </c>
      <c r="K706" s="323">
        <v>634.78561999999999</v>
      </c>
      <c r="L706" s="323">
        <v>1</v>
      </c>
      <c r="M706" s="323">
        <v>634.78561999999999</v>
      </c>
      <c r="N706" s="6" t="s">
        <v>1508</v>
      </c>
      <c r="O706" s="308">
        <v>45582</v>
      </c>
      <c r="P706" s="33" t="str">
        <f>HYPERLINK("https://my.zakupivli.pro/remote/dispatcher/state_purchase_view/54095106", "UA-2024-10-17-014832-a")</f>
        <v>UA-2024-10-17-014832-a</v>
      </c>
      <c r="Q706" s="323">
        <v>634.78561999999999</v>
      </c>
      <c r="R706" s="323">
        <v>1</v>
      </c>
      <c r="S706" s="323">
        <v>634.78561999999999</v>
      </c>
      <c r="T706" s="324">
        <v>45582</v>
      </c>
      <c r="U706" s="307"/>
      <c r="V706" s="323" t="s">
        <v>59</v>
      </c>
    </row>
    <row r="707" spans="1:22" ht="93.6" x14ac:dyDescent="0.3">
      <c r="A707" s="307">
        <v>701</v>
      </c>
      <c r="B707" s="323" t="s">
        <v>40</v>
      </c>
      <c r="C707" s="44" t="s">
        <v>885</v>
      </c>
      <c r="D707" s="307"/>
      <c r="E707" s="323" t="s">
        <v>373</v>
      </c>
      <c r="F707" s="44" t="s">
        <v>1505</v>
      </c>
      <c r="G707" s="323" t="s">
        <v>184</v>
      </c>
      <c r="H707" s="307">
        <v>87.939769999999996</v>
      </c>
      <c r="I707" s="323">
        <v>1</v>
      </c>
      <c r="J707" s="323">
        <v>87.939769999999996</v>
      </c>
      <c r="K707" s="323">
        <v>87.939769999999996</v>
      </c>
      <c r="L707" s="323">
        <v>1</v>
      </c>
      <c r="M707" s="323">
        <v>87.939769999999996</v>
      </c>
      <c r="N707" s="6" t="s">
        <v>1509</v>
      </c>
      <c r="O707" s="324">
        <v>45582</v>
      </c>
      <c r="P707" s="33" t="str">
        <f>HYPERLINK("https://my.zakupivli.pro/remote/dispatcher/state_purchase_view/54094727", "UA-2024-10-17-014759-a")</f>
        <v>UA-2024-10-17-014759-a</v>
      </c>
      <c r="Q707" s="323">
        <v>87.939769999999996</v>
      </c>
      <c r="R707" s="323">
        <v>1</v>
      </c>
      <c r="S707" s="323">
        <v>87.939769999999996</v>
      </c>
      <c r="T707" s="324">
        <v>45582</v>
      </c>
      <c r="U707" s="307"/>
      <c r="V707" s="323" t="s">
        <v>59</v>
      </c>
    </row>
    <row r="708" spans="1:22" ht="62.4" x14ac:dyDescent="0.3">
      <c r="A708" s="307">
        <v>702</v>
      </c>
      <c r="B708" s="323" t="s">
        <v>40</v>
      </c>
      <c r="C708" s="44" t="s">
        <v>885</v>
      </c>
      <c r="D708" s="307"/>
      <c r="E708" s="323" t="s">
        <v>373</v>
      </c>
      <c r="F708" s="44" t="s">
        <v>1506</v>
      </c>
      <c r="G708" s="323" t="s">
        <v>184</v>
      </c>
      <c r="H708" s="307">
        <v>695.75840000000005</v>
      </c>
      <c r="I708" s="323">
        <v>1</v>
      </c>
      <c r="J708" s="323">
        <v>695.75840000000005</v>
      </c>
      <c r="K708" s="323">
        <v>695.75840000000005</v>
      </c>
      <c r="L708" s="323">
        <v>1</v>
      </c>
      <c r="M708" s="323">
        <v>695.75840000000005</v>
      </c>
      <c r="N708" s="6" t="s">
        <v>1510</v>
      </c>
      <c r="O708" s="324">
        <v>45582</v>
      </c>
      <c r="P708" s="33" t="str">
        <f>HYPERLINK("https://my.zakupivli.pro/remote/dispatcher/state_purchase_view/54094640", "UA-2024-10-17-014694-a")</f>
        <v>UA-2024-10-17-014694-a</v>
      </c>
      <c r="Q708" s="323">
        <v>695.75840000000005</v>
      </c>
      <c r="R708" s="323">
        <v>1</v>
      </c>
      <c r="S708" s="323">
        <v>695.75840000000005</v>
      </c>
      <c r="T708" s="324">
        <v>45582</v>
      </c>
      <c r="U708" s="307"/>
      <c r="V708" s="323" t="s">
        <v>59</v>
      </c>
    </row>
    <row r="709" spans="1:22" ht="78" x14ac:dyDescent="0.3">
      <c r="A709" s="307">
        <v>703</v>
      </c>
      <c r="B709" s="323" t="s">
        <v>40</v>
      </c>
      <c r="C709" s="44" t="s">
        <v>885</v>
      </c>
      <c r="D709" s="307"/>
      <c r="E709" s="323" t="s">
        <v>373</v>
      </c>
      <c r="F709" s="44" t="s">
        <v>1507</v>
      </c>
      <c r="G709" s="323" t="s">
        <v>184</v>
      </c>
      <c r="H709" s="307">
        <v>111.26732</v>
      </c>
      <c r="I709" s="323">
        <v>1</v>
      </c>
      <c r="J709" s="323">
        <v>111.26732</v>
      </c>
      <c r="K709" s="323">
        <v>111.26732</v>
      </c>
      <c r="L709" s="323">
        <v>1</v>
      </c>
      <c r="M709" s="323">
        <v>111.26732</v>
      </c>
      <c r="N709" s="6" t="s">
        <v>1511</v>
      </c>
      <c r="O709" s="324">
        <v>45582</v>
      </c>
      <c r="P709" s="33" t="str">
        <f>HYPERLINK("https://my.zakupivli.pro/remote/dispatcher/state_purchase_view/54094443", "UA-2024-10-17-014575-a")</f>
        <v>UA-2024-10-17-014575-a</v>
      </c>
      <c r="Q709" s="323">
        <v>111.26732</v>
      </c>
      <c r="R709" s="323">
        <v>1</v>
      </c>
      <c r="S709" s="323">
        <v>111.26732</v>
      </c>
      <c r="T709" s="324">
        <v>45582</v>
      </c>
      <c r="U709" s="307"/>
      <c r="V709" s="323" t="s">
        <v>59</v>
      </c>
    </row>
    <row r="710" spans="1:22" ht="62.4" x14ac:dyDescent="0.3">
      <c r="A710" s="307">
        <v>704</v>
      </c>
      <c r="B710" s="325" t="s">
        <v>40</v>
      </c>
      <c r="C710" s="44" t="s">
        <v>885</v>
      </c>
      <c r="D710" s="307"/>
      <c r="E710" s="325" t="s">
        <v>373</v>
      </c>
      <c r="F710" s="41" t="s">
        <v>1512</v>
      </c>
      <c r="G710" s="325" t="s">
        <v>184</v>
      </c>
      <c r="H710" s="307">
        <v>221.52010000000001</v>
      </c>
      <c r="I710" s="307">
        <v>1</v>
      </c>
      <c r="J710" s="325">
        <v>221.52010000000001</v>
      </c>
      <c r="K710" s="325">
        <v>221.52010000000001</v>
      </c>
      <c r="L710" s="325">
        <v>1</v>
      </c>
      <c r="M710" s="325">
        <v>221.52010000000001</v>
      </c>
      <c r="N710" s="6" t="s">
        <v>1513</v>
      </c>
      <c r="O710" s="326">
        <v>45586</v>
      </c>
      <c r="P710" s="33" t="str">
        <f>HYPERLINK("https://my.zakupivli.pro/remote/dispatcher/state_purchase_view/54164412", "UA-2024-10-21-012894-a")</f>
        <v>UA-2024-10-21-012894-a</v>
      </c>
      <c r="Q710" s="325">
        <v>221.52010000000001</v>
      </c>
      <c r="R710" s="325">
        <v>1</v>
      </c>
      <c r="S710" s="325">
        <v>221.52010000000001</v>
      </c>
      <c r="T710" s="326">
        <v>45582</v>
      </c>
      <c r="U710" s="307"/>
      <c r="V710" s="325" t="s">
        <v>59</v>
      </c>
    </row>
    <row r="711" spans="1:22" x14ac:dyDescent="0.3">
      <c r="A711" s="307"/>
      <c r="B711" s="307"/>
      <c r="C711" s="307"/>
      <c r="D711" s="307"/>
      <c r="E711" s="307"/>
      <c r="F711" s="307"/>
      <c r="G711" s="307"/>
      <c r="H711" s="307"/>
      <c r="I711" s="307"/>
      <c r="J711" s="307"/>
      <c r="K711" s="307"/>
      <c r="L711" s="307"/>
      <c r="M711" s="307"/>
      <c r="N711" s="307"/>
      <c r="O711" s="308"/>
      <c r="P711" s="307"/>
      <c r="Q711" s="307"/>
      <c r="R711" s="307"/>
      <c r="S711" s="307"/>
      <c r="T711" s="308"/>
      <c r="U711" s="307"/>
      <c r="V711" s="307"/>
    </row>
    <row r="712" spans="1:22" x14ac:dyDescent="0.3">
      <c r="A712" s="307"/>
      <c r="B712" s="307"/>
      <c r="C712" s="307"/>
      <c r="D712" s="307"/>
      <c r="E712" s="307"/>
      <c r="F712" s="307"/>
      <c r="G712" s="307"/>
      <c r="H712" s="307"/>
      <c r="I712" s="307"/>
      <c r="J712" s="307"/>
      <c r="K712" s="307"/>
      <c r="L712" s="307"/>
      <c r="M712" s="307"/>
      <c r="N712" s="307"/>
      <c r="O712" s="308"/>
      <c r="P712" s="307"/>
      <c r="Q712" s="307"/>
      <c r="R712" s="307"/>
      <c r="S712" s="307"/>
      <c r="T712" s="308"/>
      <c r="U712" s="307"/>
      <c r="V712" s="307"/>
    </row>
    <row r="713" spans="1:22" x14ac:dyDescent="0.3">
      <c r="A713" s="307"/>
      <c r="B713" s="307"/>
      <c r="C713" s="307"/>
      <c r="D713" s="307"/>
      <c r="E713" s="307"/>
      <c r="F713" s="307"/>
      <c r="G713" s="307"/>
      <c r="H713" s="307"/>
      <c r="I713" s="307"/>
      <c r="J713" s="307"/>
      <c r="K713" s="307"/>
      <c r="L713" s="307"/>
      <c r="M713" s="307"/>
      <c r="N713" s="307"/>
      <c r="O713" s="308"/>
      <c r="P713" s="307"/>
      <c r="Q713" s="307"/>
      <c r="R713" s="307"/>
      <c r="S713" s="307"/>
      <c r="T713" s="308"/>
      <c r="U713" s="307"/>
      <c r="V713" s="307"/>
    </row>
    <row r="714" spans="1:22" x14ac:dyDescent="0.3">
      <c r="A714" s="307"/>
      <c r="B714" s="307"/>
      <c r="C714" s="307"/>
      <c r="D714" s="307"/>
      <c r="E714" s="307"/>
      <c r="F714" s="307"/>
      <c r="G714" s="307"/>
      <c r="H714" s="307"/>
      <c r="I714" s="307"/>
      <c r="J714" s="307"/>
      <c r="K714" s="307"/>
      <c r="L714" s="307"/>
      <c r="M714" s="307"/>
      <c r="N714" s="307"/>
      <c r="O714" s="308"/>
      <c r="P714" s="307"/>
      <c r="Q714" s="307"/>
      <c r="R714" s="307"/>
      <c r="S714" s="307"/>
      <c r="T714" s="308"/>
      <c r="U714" s="307"/>
      <c r="V714" s="307"/>
    </row>
    <row r="715" spans="1:22" x14ac:dyDescent="0.3">
      <c r="A715" s="307"/>
      <c r="B715" s="307"/>
      <c r="C715" s="307"/>
      <c r="D715" s="307"/>
      <c r="E715" s="307"/>
      <c r="F715" s="307"/>
      <c r="G715" s="307"/>
      <c r="H715" s="307"/>
      <c r="I715" s="307"/>
      <c r="J715" s="307"/>
      <c r="K715" s="307"/>
      <c r="L715" s="307"/>
      <c r="M715" s="307"/>
      <c r="N715" s="307"/>
      <c r="O715" s="308"/>
      <c r="P715" s="307"/>
      <c r="Q715" s="307"/>
      <c r="R715" s="307"/>
      <c r="S715" s="307"/>
      <c r="T715" s="308"/>
      <c r="U715" s="307"/>
      <c r="V715" s="307"/>
    </row>
    <row r="716" spans="1:22" x14ac:dyDescent="0.3">
      <c r="A716" s="307"/>
      <c r="B716" s="307"/>
      <c r="C716" s="307"/>
      <c r="D716" s="307"/>
      <c r="E716" s="307"/>
      <c r="F716" s="307"/>
      <c r="G716" s="307"/>
      <c r="H716" s="307"/>
      <c r="I716" s="307"/>
      <c r="J716" s="307"/>
      <c r="K716" s="307"/>
      <c r="L716" s="307"/>
      <c r="M716" s="307"/>
      <c r="N716" s="307"/>
      <c r="O716" s="308"/>
      <c r="P716" s="307"/>
      <c r="Q716" s="307"/>
      <c r="R716" s="307"/>
      <c r="S716" s="307"/>
      <c r="T716" s="308"/>
      <c r="U716" s="307"/>
      <c r="V716" s="307"/>
    </row>
    <row r="717" spans="1:22" x14ac:dyDescent="0.3">
      <c r="A717" s="307"/>
      <c r="B717" s="307"/>
      <c r="C717" s="307"/>
      <c r="D717" s="307"/>
      <c r="E717" s="307"/>
      <c r="F717" s="307"/>
      <c r="G717" s="307"/>
      <c r="H717" s="307"/>
      <c r="I717" s="307"/>
      <c r="J717" s="307"/>
      <c r="K717" s="307"/>
      <c r="L717" s="307"/>
      <c r="M717" s="307"/>
      <c r="N717" s="307"/>
      <c r="O717" s="308"/>
      <c r="P717" s="307"/>
      <c r="Q717" s="307"/>
      <c r="R717" s="307"/>
      <c r="S717" s="307"/>
      <c r="T717" s="308"/>
      <c r="U717" s="307"/>
      <c r="V717" s="307"/>
    </row>
    <row r="718" spans="1:22" x14ac:dyDescent="0.3">
      <c r="A718" s="307"/>
      <c r="B718" s="307"/>
      <c r="C718" s="307"/>
      <c r="D718" s="307"/>
      <c r="E718" s="307"/>
      <c r="F718" s="307"/>
      <c r="G718" s="307"/>
      <c r="H718" s="307"/>
      <c r="I718" s="307"/>
      <c r="J718" s="307"/>
      <c r="K718" s="307"/>
      <c r="L718" s="307"/>
      <c r="M718" s="307"/>
      <c r="N718" s="307"/>
      <c r="O718" s="308"/>
      <c r="P718" s="307"/>
      <c r="Q718" s="307"/>
      <c r="R718" s="307"/>
      <c r="S718" s="307"/>
      <c r="T718" s="308"/>
      <c r="U718" s="307"/>
      <c r="V718" s="307"/>
    </row>
    <row r="719" spans="1:22" x14ac:dyDescent="0.3">
      <c r="A719" s="307"/>
      <c r="B719" s="307"/>
      <c r="C719" s="307"/>
      <c r="D719" s="307"/>
      <c r="E719" s="307"/>
      <c r="F719" s="307"/>
      <c r="G719" s="307"/>
      <c r="H719" s="307"/>
      <c r="I719" s="307"/>
      <c r="J719" s="307"/>
      <c r="K719" s="307"/>
      <c r="L719" s="307"/>
      <c r="M719" s="307"/>
      <c r="N719" s="307"/>
      <c r="O719" s="308"/>
      <c r="P719" s="307"/>
      <c r="Q719" s="307"/>
      <c r="R719" s="307"/>
      <c r="S719" s="307"/>
      <c r="T719" s="308"/>
      <c r="U719" s="307"/>
      <c r="V719" s="307"/>
    </row>
    <row r="720" spans="1:22" x14ac:dyDescent="0.3">
      <c r="A720" s="307"/>
      <c r="B720" s="307"/>
      <c r="C720" s="307"/>
      <c r="D720" s="307"/>
      <c r="E720" s="307"/>
      <c r="F720" s="307"/>
      <c r="G720" s="307"/>
      <c r="H720" s="307"/>
      <c r="I720" s="307"/>
      <c r="J720" s="307"/>
      <c r="K720" s="307"/>
      <c r="L720" s="307"/>
      <c r="M720" s="307"/>
      <c r="N720" s="307"/>
      <c r="O720" s="308"/>
      <c r="P720" s="307"/>
      <c r="Q720" s="307"/>
      <c r="R720" s="307"/>
      <c r="S720" s="307"/>
      <c r="T720" s="308"/>
      <c r="U720" s="307"/>
      <c r="V720" s="307"/>
    </row>
    <row r="721" spans="1:22" x14ac:dyDescent="0.3">
      <c r="A721" s="307"/>
      <c r="B721" s="307"/>
      <c r="C721" s="307"/>
      <c r="D721" s="307"/>
      <c r="E721" s="307"/>
      <c r="F721" s="307"/>
      <c r="G721" s="307"/>
      <c r="H721" s="307"/>
      <c r="I721" s="307"/>
      <c r="J721" s="307"/>
      <c r="K721" s="307"/>
      <c r="L721" s="307"/>
      <c r="M721" s="307"/>
      <c r="N721" s="307"/>
      <c r="O721" s="308"/>
      <c r="P721" s="307"/>
      <c r="Q721" s="307"/>
      <c r="R721" s="307"/>
      <c r="S721" s="307"/>
      <c r="T721" s="308"/>
      <c r="U721" s="307"/>
      <c r="V721" s="307"/>
    </row>
    <row r="722" spans="1:22" x14ac:dyDescent="0.3">
      <c r="A722" s="307"/>
      <c r="B722" s="307"/>
      <c r="C722" s="307"/>
      <c r="D722" s="307"/>
      <c r="E722" s="307"/>
      <c r="F722" s="307"/>
      <c r="G722" s="307"/>
      <c r="H722" s="307"/>
      <c r="I722" s="307"/>
      <c r="J722" s="307"/>
      <c r="K722" s="307"/>
      <c r="L722" s="307"/>
      <c r="M722" s="307"/>
      <c r="N722" s="307"/>
      <c r="O722" s="308"/>
      <c r="P722" s="307"/>
      <c r="Q722" s="307"/>
      <c r="R722" s="307"/>
      <c r="S722" s="307"/>
      <c r="T722" s="308"/>
      <c r="U722" s="307"/>
      <c r="V722" s="307"/>
    </row>
    <row r="723" spans="1:22" x14ac:dyDescent="0.3">
      <c r="A723" s="307"/>
      <c r="B723" s="307"/>
      <c r="C723" s="307"/>
      <c r="D723" s="307"/>
      <c r="E723" s="307"/>
      <c r="F723" s="307"/>
      <c r="G723" s="307"/>
      <c r="H723" s="307"/>
      <c r="I723" s="307"/>
      <c r="J723" s="307"/>
      <c r="K723" s="307"/>
      <c r="L723" s="307"/>
      <c r="M723" s="307"/>
      <c r="N723" s="307"/>
      <c r="O723" s="308"/>
      <c r="P723" s="307"/>
      <c r="Q723" s="307"/>
      <c r="R723" s="307"/>
      <c r="S723" s="307"/>
      <c r="T723" s="308"/>
      <c r="U723" s="307"/>
      <c r="V723" s="307"/>
    </row>
    <row r="724" spans="1:22" x14ac:dyDescent="0.3">
      <c r="A724" s="307"/>
      <c r="B724" s="307"/>
      <c r="C724" s="307"/>
      <c r="D724" s="307"/>
      <c r="E724" s="307"/>
      <c r="F724" s="307"/>
      <c r="G724" s="307"/>
      <c r="H724" s="307"/>
      <c r="I724" s="307"/>
      <c r="J724" s="307"/>
      <c r="K724" s="307"/>
      <c r="L724" s="307"/>
      <c r="M724" s="307"/>
      <c r="N724" s="307"/>
      <c r="O724" s="308"/>
      <c r="P724" s="307"/>
      <c r="Q724" s="307"/>
      <c r="R724" s="307"/>
      <c r="S724" s="307"/>
      <c r="T724" s="308"/>
      <c r="U724" s="307"/>
      <c r="V724" s="307"/>
    </row>
    <row r="725" spans="1:22" x14ac:dyDescent="0.3">
      <c r="A725" s="307"/>
      <c r="B725" s="307"/>
      <c r="C725" s="307"/>
      <c r="D725" s="307"/>
      <c r="E725" s="307"/>
      <c r="F725" s="307"/>
      <c r="G725" s="307"/>
      <c r="H725" s="307"/>
      <c r="I725" s="307"/>
      <c r="J725" s="307"/>
      <c r="K725" s="307"/>
      <c r="L725" s="307"/>
      <c r="M725" s="307"/>
      <c r="N725" s="307"/>
      <c r="O725" s="308"/>
      <c r="P725" s="307"/>
      <c r="Q725" s="307"/>
      <c r="R725" s="307"/>
      <c r="S725" s="307"/>
      <c r="T725" s="308"/>
      <c r="U725" s="307"/>
      <c r="V725" s="307"/>
    </row>
    <row r="726" spans="1:22" x14ac:dyDescent="0.3">
      <c r="A726" s="307"/>
      <c r="B726" s="307"/>
      <c r="C726" s="307"/>
      <c r="D726" s="307"/>
      <c r="E726" s="307"/>
      <c r="F726" s="307"/>
      <c r="G726" s="307"/>
      <c r="H726" s="307"/>
      <c r="I726" s="307"/>
      <c r="J726" s="307"/>
      <c r="K726" s="307"/>
      <c r="L726" s="307"/>
      <c r="M726" s="307"/>
      <c r="N726" s="307"/>
      <c r="O726" s="308"/>
      <c r="P726" s="307"/>
      <c r="Q726" s="307"/>
      <c r="R726" s="307"/>
      <c r="S726" s="307"/>
      <c r="T726" s="308"/>
      <c r="U726" s="307"/>
      <c r="V726" s="307"/>
    </row>
    <row r="727" spans="1:22" x14ac:dyDescent="0.3">
      <c r="A727" s="307"/>
      <c r="B727" s="307"/>
      <c r="C727" s="307"/>
      <c r="D727" s="307"/>
      <c r="E727" s="307"/>
      <c r="F727" s="307"/>
      <c r="G727" s="307"/>
      <c r="H727" s="307"/>
      <c r="I727" s="307"/>
      <c r="J727" s="307"/>
      <c r="K727" s="307"/>
      <c r="L727" s="307"/>
      <c r="M727" s="307"/>
      <c r="N727" s="307"/>
      <c r="O727" s="308"/>
      <c r="P727" s="307"/>
      <c r="Q727" s="307"/>
      <c r="R727" s="307"/>
      <c r="S727" s="307"/>
      <c r="T727" s="308"/>
      <c r="U727" s="307"/>
      <c r="V727" s="307"/>
    </row>
    <row r="728" spans="1:22" x14ac:dyDescent="0.3">
      <c r="A728" s="307"/>
      <c r="B728" s="307"/>
      <c r="C728" s="307"/>
      <c r="D728" s="307"/>
      <c r="E728" s="307"/>
      <c r="F728" s="307"/>
      <c r="G728" s="307"/>
      <c r="H728" s="307"/>
      <c r="I728" s="307"/>
      <c r="J728" s="307"/>
      <c r="K728" s="307"/>
      <c r="L728" s="307"/>
      <c r="M728" s="307"/>
      <c r="N728" s="307"/>
      <c r="O728" s="308"/>
      <c r="P728" s="307"/>
      <c r="Q728" s="307"/>
      <c r="R728" s="307"/>
      <c r="S728" s="307"/>
      <c r="T728" s="308"/>
      <c r="U728" s="307"/>
      <c r="V728" s="307"/>
    </row>
    <row r="729" spans="1:22" x14ac:dyDescent="0.3">
      <c r="A729" s="307"/>
      <c r="B729" s="307"/>
      <c r="C729" s="307"/>
      <c r="D729" s="307"/>
      <c r="E729" s="307"/>
      <c r="F729" s="307"/>
      <c r="G729" s="307"/>
      <c r="H729" s="307"/>
      <c r="I729" s="307"/>
      <c r="J729" s="307"/>
      <c r="K729" s="307"/>
      <c r="L729" s="307"/>
      <c r="M729" s="307"/>
      <c r="N729" s="307"/>
      <c r="O729" s="308"/>
      <c r="P729" s="307"/>
      <c r="Q729" s="307"/>
      <c r="R729" s="307"/>
      <c r="S729" s="307"/>
      <c r="T729" s="308"/>
      <c r="U729" s="307"/>
      <c r="V729" s="307"/>
    </row>
    <row r="730" spans="1:22" x14ac:dyDescent="0.3">
      <c r="A730" s="307"/>
      <c r="B730" s="307"/>
      <c r="C730" s="307"/>
      <c r="D730" s="307"/>
      <c r="E730" s="307"/>
      <c r="F730" s="307"/>
      <c r="G730" s="307"/>
      <c r="H730" s="307"/>
      <c r="I730" s="307"/>
      <c r="J730" s="307"/>
      <c r="K730" s="307"/>
      <c r="L730" s="307"/>
      <c r="M730" s="307"/>
      <c r="N730" s="307"/>
      <c r="O730" s="308"/>
      <c r="P730" s="307"/>
      <c r="Q730" s="307"/>
      <c r="R730" s="307"/>
      <c r="S730" s="307"/>
      <c r="T730" s="308"/>
      <c r="U730" s="307"/>
      <c r="V730" s="307"/>
    </row>
    <row r="731" spans="1:22" x14ac:dyDescent="0.3">
      <c r="A731" s="307"/>
      <c r="B731" s="307"/>
      <c r="C731" s="307"/>
      <c r="D731" s="307"/>
      <c r="E731" s="307"/>
      <c r="F731" s="307"/>
      <c r="G731" s="307"/>
      <c r="H731" s="307"/>
      <c r="I731" s="307"/>
      <c r="J731" s="307"/>
      <c r="K731" s="307"/>
      <c r="L731" s="307"/>
      <c r="M731" s="307"/>
      <c r="N731" s="307"/>
      <c r="O731" s="308"/>
      <c r="P731" s="307"/>
      <c r="Q731" s="307"/>
      <c r="R731" s="307"/>
      <c r="S731" s="307"/>
      <c r="T731" s="308"/>
      <c r="U731" s="307"/>
      <c r="V731" s="307"/>
    </row>
    <row r="732" spans="1:22" x14ac:dyDescent="0.3">
      <c r="A732" s="307"/>
      <c r="B732" s="307"/>
      <c r="C732" s="307"/>
      <c r="D732" s="307"/>
      <c r="E732" s="307"/>
      <c r="F732" s="307"/>
      <c r="G732" s="307"/>
      <c r="H732" s="307"/>
      <c r="I732" s="307"/>
      <c r="J732" s="307"/>
      <c r="K732" s="307"/>
      <c r="L732" s="307"/>
      <c r="M732" s="307"/>
      <c r="N732" s="307"/>
      <c r="O732" s="308"/>
      <c r="P732" s="307"/>
      <c r="Q732" s="307"/>
      <c r="R732" s="307"/>
      <c r="S732" s="307"/>
      <c r="T732" s="308"/>
      <c r="U732" s="307"/>
      <c r="V732" s="307"/>
    </row>
  </sheetData>
  <sortState ref="A5:V204">
    <sortCondition ref="O4"/>
  </sortState>
  <mergeCells count="17">
    <mergeCell ref="Q2:S2"/>
    <mergeCell ref="T2:T3"/>
    <mergeCell ref="U2:U3"/>
    <mergeCell ref="V2:V3"/>
    <mergeCell ref="A1:V1"/>
    <mergeCell ref="G2:G3"/>
    <mergeCell ref="H2:J2"/>
    <mergeCell ref="K2:M2"/>
    <mergeCell ref="N2:N3"/>
    <mergeCell ref="P2:P3"/>
    <mergeCell ref="O2:O3"/>
    <mergeCell ref="A2:A3"/>
    <mergeCell ref="B2:B3"/>
    <mergeCell ref="C2:C3"/>
    <mergeCell ref="D2:D3"/>
    <mergeCell ref="E2:E3"/>
    <mergeCell ref="F2:F3"/>
  </mergeCells>
  <hyperlinks>
    <hyperlink ref="N6" r:id="rId1" xr:uid="{00000000-0004-0000-0000-000000000000}"/>
    <hyperlink ref="N10" r:id="rId2" xr:uid="{00000000-0004-0000-0000-000001000000}"/>
    <hyperlink ref="N5" r:id="rId3" xr:uid="{00000000-0004-0000-0000-000002000000}"/>
    <hyperlink ref="N7" r:id="rId4" xr:uid="{00000000-0004-0000-0000-000003000000}"/>
    <hyperlink ref="N8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N16" r:id="rId11" xr:uid="{00000000-0004-0000-0000-00000A000000}"/>
    <hyperlink ref="N9" r:id="rId12" xr:uid="{00000000-0004-0000-0000-00000B000000}"/>
    <hyperlink ref="N17" r:id="rId13" xr:uid="{00000000-0004-0000-0000-00000C000000}"/>
    <hyperlink ref="N18" r:id="rId14" xr:uid="{00000000-0004-0000-0000-00000D000000}"/>
    <hyperlink ref="P18" r:id="rId15" display="https://my.zakupki.prom.ua/remote/dispatcher/state_purchase_view/39591644" xr:uid="{00000000-0004-0000-0000-00000E000000}"/>
    <hyperlink ref="N19" r:id="rId16" xr:uid="{00000000-0004-0000-0000-00000F000000}"/>
    <hyperlink ref="P19" r:id="rId17" display="https://my.zakupki.prom.ua/remote/dispatcher/state_purchase_view/39730352" xr:uid="{00000000-0004-0000-0000-000010000000}"/>
    <hyperlink ref="P20" r:id="rId18" display="https://my.zakupki.prom.ua/remote/dispatcher/state_purchase_view/40092155" xr:uid="{00000000-0004-0000-0000-000011000000}"/>
    <hyperlink ref="P21" r:id="rId19" display="https://my.zakupki.prom.ua/remote/dispatcher/state_purchase_view/40092152" xr:uid="{00000000-0004-0000-0000-000012000000}"/>
    <hyperlink ref="P22" r:id="rId20" display="https://my.zakupki.prom.ua/remote/dispatcher/state_purchase_view/40091969" xr:uid="{00000000-0004-0000-0000-000013000000}"/>
    <hyperlink ref="P23" r:id="rId21" display="https://my.zakupki.prom.ua/remote/dispatcher/state_purchase_view/40091965" xr:uid="{00000000-0004-0000-0000-000014000000}"/>
    <hyperlink ref="N20" r:id="rId22" xr:uid="{00000000-0004-0000-0000-000015000000}"/>
    <hyperlink ref="N21" r:id="rId23" xr:uid="{00000000-0004-0000-0000-000016000000}"/>
    <hyperlink ref="N22" r:id="rId24" xr:uid="{00000000-0004-0000-0000-000017000000}"/>
    <hyperlink ref="N23" r:id="rId25" xr:uid="{00000000-0004-0000-0000-000018000000}"/>
    <hyperlink ref="N24" r:id="rId26" xr:uid="{00000000-0004-0000-0000-000019000000}"/>
    <hyperlink ref="P24" r:id="rId27" display="https://my.zakupki.prom.ua/remote/dispatcher/state_purchase_view/40312420" xr:uid="{00000000-0004-0000-0000-00001A000000}"/>
    <hyperlink ref="N25" r:id="rId28" xr:uid="{00000000-0004-0000-0000-00001B000000}"/>
    <hyperlink ref="N26" r:id="rId29" xr:uid="{00000000-0004-0000-0000-00001C000000}"/>
    <hyperlink ref="P26" r:id="rId30" display="https://my.zakupki.prom.ua/remote/dispatcher/state_purchase_view/40518990" xr:uid="{00000000-0004-0000-0000-00001D000000}"/>
    <hyperlink ref="P105" r:id="rId31" display="https://my.zakupki.prom.ua/remote/dispatcher/state_purchase_view/41576956" xr:uid="{00000000-0004-0000-0000-00001E000000}"/>
    <hyperlink ref="P106" r:id="rId32" display="https://my.zakupki.prom.ua/remote/dispatcher/state_purchase_view/41563913" xr:uid="{00000000-0004-0000-0000-00001F000000}"/>
    <hyperlink ref="P103" r:id="rId33" display="https://my.zakupki.prom.ua/remote/dispatcher/state_purchase_view/41550489" xr:uid="{00000000-0004-0000-0000-000020000000}"/>
    <hyperlink ref="P104" r:id="rId34" display="https://my.zakupki.prom.ua/remote/dispatcher/state_purchase_view/41548910" xr:uid="{00000000-0004-0000-0000-000021000000}"/>
    <hyperlink ref="P85" r:id="rId35" display="https://my.zakupki.prom.ua/remote/dispatcher/state_purchase_view/41521877" xr:uid="{00000000-0004-0000-0000-000022000000}"/>
    <hyperlink ref="P86" r:id="rId36" display="https://my.zakupki.prom.ua/remote/dispatcher/state_purchase_view/41521176" xr:uid="{00000000-0004-0000-0000-000023000000}"/>
    <hyperlink ref="P87" r:id="rId37" display="https://my.zakupki.prom.ua/remote/dispatcher/state_purchase_view/41520898" xr:uid="{00000000-0004-0000-0000-000024000000}"/>
    <hyperlink ref="P88" r:id="rId38" display="https://my.zakupki.prom.ua/remote/dispatcher/state_purchase_view/41520613" xr:uid="{00000000-0004-0000-0000-000025000000}"/>
    <hyperlink ref="P89" r:id="rId39" display="https://my.zakupki.prom.ua/remote/dispatcher/state_purchase_view/41520444" xr:uid="{00000000-0004-0000-0000-000026000000}"/>
    <hyperlink ref="P90" r:id="rId40" display="https://my.zakupki.prom.ua/remote/dispatcher/state_purchase_view/41520379" xr:uid="{00000000-0004-0000-0000-000027000000}"/>
    <hyperlink ref="P91" r:id="rId41" display="https://my.zakupki.prom.ua/remote/dispatcher/state_purchase_view/41520214" xr:uid="{00000000-0004-0000-0000-000028000000}"/>
    <hyperlink ref="P92" r:id="rId42" display="https://my.zakupki.prom.ua/remote/dispatcher/state_purchase_view/41520193" xr:uid="{00000000-0004-0000-0000-000029000000}"/>
    <hyperlink ref="P93" r:id="rId43" display="https://my.zakupki.prom.ua/remote/dispatcher/state_purchase_view/41520067" xr:uid="{00000000-0004-0000-0000-00002A000000}"/>
    <hyperlink ref="P94" r:id="rId44" display="https://my.zakupki.prom.ua/remote/dispatcher/state_purchase_view/41519874" xr:uid="{00000000-0004-0000-0000-00002B000000}"/>
    <hyperlink ref="P95" r:id="rId45" display="https://my.zakupki.prom.ua/remote/dispatcher/state_purchase_view/41519753" xr:uid="{00000000-0004-0000-0000-00002C000000}"/>
    <hyperlink ref="P96" r:id="rId46" display="https://my.zakupki.prom.ua/remote/dispatcher/state_purchase_view/41519653" xr:uid="{00000000-0004-0000-0000-00002D000000}"/>
    <hyperlink ref="P97" r:id="rId47" display="https://my.zakupki.prom.ua/remote/dispatcher/state_purchase_view/41519552" xr:uid="{00000000-0004-0000-0000-00002E000000}"/>
    <hyperlink ref="P98" r:id="rId48" display="https://my.zakupki.prom.ua/remote/dispatcher/state_purchase_view/41519534" xr:uid="{00000000-0004-0000-0000-00002F000000}"/>
    <hyperlink ref="P99" r:id="rId49" display="https://my.zakupki.prom.ua/remote/dispatcher/state_purchase_view/41519330" xr:uid="{00000000-0004-0000-0000-000030000000}"/>
    <hyperlink ref="P100" r:id="rId50" display="https://my.zakupki.prom.ua/remote/dispatcher/state_purchase_view/41519085" xr:uid="{00000000-0004-0000-0000-000031000000}"/>
    <hyperlink ref="P101" r:id="rId51" display="https://my.zakupki.prom.ua/remote/dispatcher/state_purchase_view/41512826" xr:uid="{00000000-0004-0000-0000-000032000000}"/>
    <hyperlink ref="P102" r:id="rId52" display="https://my.zakupki.prom.ua/remote/dispatcher/state_purchase_view/41510975" xr:uid="{00000000-0004-0000-0000-000033000000}"/>
    <hyperlink ref="P70" r:id="rId53" display="https://my.zakupki.prom.ua/remote/dispatcher/state_purchase_view/41435209" xr:uid="{00000000-0004-0000-0000-000034000000}"/>
    <hyperlink ref="P71" r:id="rId54" display="https://my.zakupki.prom.ua/remote/dispatcher/state_purchase_view/41434270" xr:uid="{00000000-0004-0000-0000-000035000000}"/>
    <hyperlink ref="P72" r:id="rId55" display="https://my.zakupki.prom.ua/remote/dispatcher/state_purchase_view/41432337" xr:uid="{00000000-0004-0000-0000-000036000000}"/>
    <hyperlink ref="P73" r:id="rId56" display="https://my.zakupki.prom.ua/remote/dispatcher/state_purchase_view/41429057" xr:uid="{00000000-0004-0000-0000-000037000000}"/>
    <hyperlink ref="P74" r:id="rId57" display="https://my.zakupki.prom.ua/remote/dispatcher/state_purchase_view/41428807" xr:uid="{00000000-0004-0000-0000-000038000000}"/>
    <hyperlink ref="P75" r:id="rId58" display="https://my.zakupki.prom.ua/remote/dispatcher/state_purchase_view/41428016" xr:uid="{00000000-0004-0000-0000-000039000000}"/>
    <hyperlink ref="P76" r:id="rId59" display="https://my.zakupki.prom.ua/remote/dispatcher/state_purchase_view/41427937" xr:uid="{00000000-0004-0000-0000-00003A000000}"/>
    <hyperlink ref="P77" r:id="rId60" display="https://my.zakupki.prom.ua/remote/dispatcher/state_purchase_view/41427498" xr:uid="{00000000-0004-0000-0000-00003B000000}"/>
    <hyperlink ref="P78" r:id="rId61" display="https://my.zakupki.prom.ua/remote/dispatcher/state_purchase_view/41427101" xr:uid="{00000000-0004-0000-0000-00003C000000}"/>
    <hyperlink ref="P79" r:id="rId62" display="https://my.zakupki.prom.ua/remote/dispatcher/state_purchase_view/41426939" xr:uid="{00000000-0004-0000-0000-00003D000000}"/>
    <hyperlink ref="P80" r:id="rId63" display="https://my.zakupki.prom.ua/remote/dispatcher/state_purchase_view/41426867" xr:uid="{00000000-0004-0000-0000-00003E000000}"/>
    <hyperlink ref="P81" r:id="rId64" display="https://my.zakupki.prom.ua/remote/dispatcher/state_purchase_view/41426613" xr:uid="{00000000-0004-0000-0000-00003F000000}"/>
    <hyperlink ref="P82" r:id="rId65" display="https://my.zakupki.prom.ua/remote/dispatcher/state_purchase_view/41426508" xr:uid="{00000000-0004-0000-0000-000040000000}"/>
    <hyperlink ref="P83" r:id="rId66" display="https://my.zakupki.prom.ua/remote/dispatcher/state_purchase_view/41426342" xr:uid="{00000000-0004-0000-0000-000041000000}"/>
    <hyperlink ref="P84" r:id="rId67" display="https://my.zakupki.prom.ua/remote/dispatcher/state_purchase_view/41425999" xr:uid="{00000000-0004-0000-0000-000042000000}"/>
    <hyperlink ref="P67" r:id="rId68" display="https://my.zakupki.prom.ua/remote/dispatcher/state_purchase_view/41401307" xr:uid="{00000000-0004-0000-0000-000043000000}"/>
    <hyperlink ref="P68" r:id="rId69" display="https://my.zakupki.prom.ua/remote/dispatcher/state_purchase_view/41385730" xr:uid="{00000000-0004-0000-0000-000044000000}"/>
    <hyperlink ref="P69" r:id="rId70" display="https://my.zakupki.prom.ua/remote/dispatcher/state_purchase_view/41385337" xr:uid="{00000000-0004-0000-0000-000045000000}"/>
    <hyperlink ref="P65" r:id="rId71" display="https://my.zakupki.prom.ua/remote/dispatcher/state_purchase_view/41371338" xr:uid="{00000000-0004-0000-0000-000046000000}"/>
    <hyperlink ref="P66" r:id="rId72" display="https://my.zakupki.prom.ua/remote/dispatcher/state_purchase_view/41363968" xr:uid="{00000000-0004-0000-0000-000047000000}"/>
    <hyperlink ref="P55" r:id="rId73" display="https://my.zakupki.prom.ua/remote/dispatcher/state_purchase_view/41339013" xr:uid="{00000000-0004-0000-0000-000048000000}"/>
    <hyperlink ref="P56" r:id="rId74" display="https://my.zakupki.prom.ua/remote/dispatcher/state_purchase_view/41336632" xr:uid="{00000000-0004-0000-0000-000049000000}"/>
    <hyperlink ref="P57" r:id="rId75" display="https://my.zakupki.prom.ua/remote/dispatcher/state_purchase_view/41329517" xr:uid="{00000000-0004-0000-0000-00004A000000}"/>
    <hyperlink ref="P58" r:id="rId76" display="https://my.zakupki.prom.ua/remote/dispatcher/state_purchase_view/41329000" xr:uid="{00000000-0004-0000-0000-00004B000000}"/>
    <hyperlink ref="P59" r:id="rId77" display="https://my.zakupki.prom.ua/remote/dispatcher/state_purchase_view/41328966" xr:uid="{00000000-0004-0000-0000-00004C000000}"/>
    <hyperlink ref="P60" r:id="rId78" display="https://my.zakupki.prom.ua/remote/dispatcher/state_purchase_view/41328917" xr:uid="{00000000-0004-0000-0000-00004D000000}"/>
    <hyperlink ref="P61" r:id="rId79" display="https://my.zakupki.prom.ua/remote/dispatcher/state_purchase_view/41328890" xr:uid="{00000000-0004-0000-0000-00004E000000}"/>
    <hyperlink ref="P62" r:id="rId80" display="https://my.zakupki.prom.ua/remote/dispatcher/state_purchase_view/41328762" xr:uid="{00000000-0004-0000-0000-00004F000000}"/>
    <hyperlink ref="P63" r:id="rId81" display="https://my.zakupki.prom.ua/remote/dispatcher/state_purchase_view/41328752" xr:uid="{00000000-0004-0000-0000-000050000000}"/>
    <hyperlink ref="P64" r:id="rId82" display="https://my.zakupki.prom.ua/remote/dispatcher/state_purchase_view/41328638" xr:uid="{00000000-0004-0000-0000-000051000000}"/>
    <hyperlink ref="P51" r:id="rId83" display="https://my.zakupki.prom.ua/remote/dispatcher/state_purchase_view/41235144" xr:uid="{00000000-0004-0000-0000-000052000000}"/>
    <hyperlink ref="P52" r:id="rId84" display="https://my.zakupki.prom.ua/remote/dispatcher/state_purchase_view/41234669" xr:uid="{00000000-0004-0000-0000-000053000000}"/>
    <hyperlink ref="P53" r:id="rId85" display="https://my.zakupki.prom.ua/remote/dispatcher/state_purchase_view/41234599" xr:uid="{00000000-0004-0000-0000-000054000000}"/>
    <hyperlink ref="P54" r:id="rId86" display="https://my.zakupki.prom.ua/remote/dispatcher/state_purchase_view/41234545" xr:uid="{00000000-0004-0000-0000-000055000000}"/>
    <hyperlink ref="P49" r:id="rId87" display="https://my.zakupki.prom.ua/remote/dispatcher/state_purchase_view/41222289" xr:uid="{00000000-0004-0000-0000-000056000000}"/>
    <hyperlink ref="P50" r:id="rId88" display="https://my.zakupki.prom.ua/remote/dispatcher/state_purchase_view/41204144" xr:uid="{00000000-0004-0000-0000-000057000000}"/>
    <hyperlink ref="P40" r:id="rId89" display="https://my.zakupki.prom.ua/remote/dispatcher/state_purchase_view/41196363" xr:uid="{00000000-0004-0000-0000-000058000000}"/>
    <hyperlink ref="P41" r:id="rId90" display="https://my.zakupki.prom.ua/remote/dispatcher/state_purchase_view/41193065" xr:uid="{00000000-0004-0000-0000-000059000000}"/>
    <hyperlink ref="P42" r:id="rId91" display="https://my.zakupki.prom.ua/remote/dispatcher/state_purchase_view/41191954" xr:uid="{00000000-0004-0000-0000-00005A000000}"/>
    <hyperlink ref="P43" r:id="rId92" display="https://my.zakupki.prom.ua/remote/dispatcher/state_purchase_view/41191613" xr:uid="{00000000-0004-0000-0000-00005B000000}"/>
    <hyperlink ref="P44" r:id="rId93" display="https://my.zakupki.prom.ua/remote/dispatcher/state_purchase_view/41190509" xr:uid="{00000000-0004-0000-0000-00005C000000}"/>
    <hyperlink ref="P45" r:id="rId94" display="https://my.zakupki.prom.ua/remote/dispatcher/state_purchase_view/41190348" xr:uid="{00000000-0004-0000-0000-00005D000000}"/>
    <hyperlink ref="P46" r:id="rId95" display="https://my.zakupki.prom.ua/remote/dispatcher/state_purchase_view/41189548" xr:uid="{00000000-0004-0000-0000-00005E000000}"/>
    <hyperlink ref="P47" r:id="rId96" display="https://my.zakupki.prom.ua/remote/dispatcher/state_purchase_view/41189546" xr:uid="{00000000-0004-0000-0000-00005F000000}"/>
    <hyperlink ref="P48" r:id="rId97" display="https://my.zakupki.prom.ua/remote/dispatcher/state_purchase_view/41188280" xr:uid="{00000000-0004-0000-0000-000060000000}"/>
    <hyperlink ref="P39" r:id="rId98" display="https://my.zakupki.prom.ua/remote/dispatcher/state_purchase_view/41115637" xr:uid="{00000000-0004-0000-0000-000061000000}"/>
    <hyperlink ref="P38" r:id="rId99" display="https://my.zakupki.prom.ua/remote/dispatcher/state_purchase_view/41077146" xr:uid="{00000000-0004-0000-0000-000062000000}"/>
    <hyperlink ref="P37" r:id="rId100" display="https://my.zakupki.prom.ua/remote/dispatcher/state_purchase_view/41034280" xr:uid="{00000000-0004-0000-0000-000063000000}"/>
    <hyperlink ref="P33" r:id="rId101" display="https://my.zakupki.prom.ua/remote/dispatcher/state_purchase_view/40976345" xr:uid="{00000000-0004-0000-0000-000064000000}"/>
    <hyperlink ref="P34" r:id="rId102" display="https://my.zakupki.prom.ua/remote/dispatcher/state_purchase_view/40975928" xr:uid="{00000000-0004-0000-0000-000065000000}"/>
    <hyperlink ref="P35" r:id="rId103" display="https://my.zakupki.prom.ua/remote/dispatcher/state_purchase_view/40975550" xr:uid="{00000000-0004-0000-0000-000066000000}"/>
    <hyperlink ref="P36" r:id="rId104" display="https://my.zakupki.prom.ua/remote/dispatcher/state_purchase_view/40975514" xr:uid="{00000000-0004-0000-0000-000067000000}"/>
    <hyperlink ref="P32" r:id="rId105" display="https://my.zakupki.prom.ua/remote/dispatcher/state_purchase_view/40896071" xr:uid="{00000000-0004-0000-0000-000068000000}"/>
    <hyperlink ref="P29" r:id="rId106" display="https://my.zakupki.prom.ua/remote/dispatcher/state_purchase_view/40865826" xr:uid="{00000000-0004-0000-0000-000069000000}"/>
    <hyperlink ref="P30" r:id="rId107" display="https://my.zakupki.prom.ua/remote/dispatcher/state_purchase_view/40865423" xr:uid="{00000000-0004-0000-0000-00006A000000}"/>
    <hyperlink ref="P31" r:id="rId108" display="https://my.zakupki.prom.ua/remote/dispatcher/state_purchase_view/40865081" xr:uid="{00000000-0004-0000-0000-00006B000000}"/>
    <hyperlink ref="P28" r:id="rId109" display="https://my.zakupki.prom.ua/remote/dispatcher/state_purchase_view/40817379" xr:uid="{00000000-0004-0000-0000-00006C000000}"/>
    <hyperlink ref="P27" r:id="rId110" display="https://my.zakupki.prom.ua/remote/dispatcher/state_purchase_view/40719635" xr:uid="{00000000-0004-0000-0000-00006D000000}"/>
    <hyperlink ref="N27" r:id="rId111" xr:uid="{00000000-0004-0000-0000-00006E000000}"/>
    <hyperlink ref="N28" r:id="rId112" xr:uid="{00000000-0004-0000-0000-00006F000000}"/>
    <hyperlink ref="N29" r:id="rId113" xr:uid="{00000000-0004-0000-0000-000070000000}"/>
    <hyperlink ref="N30" r:id="rId114" xr:uid="{00000000-0004-0000-0000-000071000000}"/>
    <hyperlink ref="N31" r:id="rId115" xr:uid="{00000000-0004-0000-0000-000072000000}"/>
    <hyperlink ref="N32" r:id="rId116" xr:uid="{00000000-0004-0000-0000-000073000000}"/>
    <hyperlink ref="N33" r:id="rId117" xr:uid="{00000000-0004-0000-0000-000074000000}"/>
    <hyperlink ref="N34" r:id="rId118" xr:uid="{00000000-0004-0000-0000-000075000000}"/>
    <hyperlink ref="N35" r:id="rId119" xr:uid="{00000000-0004-0000-0000-000076000000}"/>
    <hyperlink ref="N36" r:id="rId120" xr:uid="{00000000-0004-0000-0000-000077000000}"/>
    <hyperlink ref="N37" r:id="rId121" xr:uid="{00000000-0004-0000-0000-000078000000}"/>
    <hyperlink ref="N38" r:id="rId122" xr:uid="{00000000-0004-0000-0000-000079000000}"/>
    <hyperlink ref="N39" r:id="rId123" xr:uid="{00000000-0004-0000-0000-00007A000000}"/>
    <hyperlink ref="N40" r:id="rId124" xr:uid="{00000000-0004-0000-0000-00007B000000}"/>
    <hyperlink ref="N41" r:id="rId125" xr:uid="{00000000-0004-0000-0000-00007C000000}"/>
    <hyperlink ref="N42" r:id="rId126" xr:uid="{00000000-0004-0000-0000-00007D000000}"/>
    <hyperlink ref="N43" r:id="rId127" xr:uid="{00000000-0004-0000-0000-00007E000000}"/>
    <hyperlink ref="N44" r:id="rId128" xr:uid="{00000000-0004-0000-0000-00007F000000}"/>
    <hyperlink ref="N45" r:id="rId129" xr:uid="{00000000-0004-0000-0000-000080000000}"/>
    <hyperlink ref="N46" r:id="rId130" xr:uid="{00000000-0004-0000-0000-000081000000}"/>
    <hyperlink ref="N47" r:id="rId131" xr:uid="{00000000-0004-0000-0000-000082000000}"/>
    <hyperlink ref="N48" r:id="rId132" xr:uid="{00000000-0004-0000-0000-000083000000}"/>
    <hyperlink ref="N49" r:id="rId133" xr:uid="{00000000-0004-0000-0000-000084000000}"/>
    <hyperlink ref="N50" r:id="rId134" xr:uid="{00000000-0004-0000-0000-000085000000}"/>
    <hyperlink ref="N51" r:id="rId135" xr:uid="{00000000-0004-0000-0000-000086000000}"/>
    <hyperlink ref="N52" r:id="rId136" xr:uid="{00000000-0004-0000-0000-000087000000}"/>
    <hyperlink ref="N53" r:id="rId137" xr:uid="{00000000-0004-0000-0000-000088000000}"/>
    <hyperlink ref="N54" r:id="rId138" xr:uid="{00000000-0004-0000-0000-000089000000}"/>
    <hyperlink ref="P108" r:id="rId139" display="https://my.zakupki.prom.ua/remote/dispatcher/state_purchase_view/41607111" xr:uid="{00000000-0004-0000-0000-00008A000000}"/>
    <hyperlink ref="P109" r:id="rId140" display="https://my.zakupki.prom.ua/remote/dispatcher/state_purchase_view/41606604" xr:uid="{00000000-0004-0000-0000-00008B000000}"/>
    <hyperlink ref="P110" r:id="rId141" display="https://my.zakupki.prom.ua/remote/dispatcher/state_purchase_view/41606245" xr:uid="{00000000-0004-0000-0000-00008C000000}"/>
    <hyperlink ref="P111" r:id="rId142" display="https://my.zakupki.prom.ua/remote/dispatcher/state_purchase_view/41606005" xr:uid="{00000000-0004-0000-0000-00008D000000}"/>
    <hyperlink ref="P112" r:id="rId143" display="https://my.zakupki.prom.ua/remote/dispatcher/state_purchase_view/41605692" xr:uid="{00000000-0004-0000-0000-00008E000000}"/>
    <hyperlink ref="P113" r:id="rId144" display="https://my.zakupki.prom.ua/remote/dispatcher/state_purchase_view/41605571" xr:uid="{00000000-0004-0000-0000-00008F000000}"/>
    <hyperlink ref="P114" r:id="rId145" display="https://my.zakupki.prom.ua/remote/dispatcher/state_purchase_view/41605144" xr:uid="{00000000-0004-0000-0000-000090000000}"/>
    <hyperlink ref="P107" r:id="rId146" display="https://my.zakupki.prom.ua/remote/dispatcher/state_purchase_view/41563913" xr:uid="{00000000-0004-0000-0000-000091000000}"/>
    <hyperlink ref="N55" r:id="rId147" xr:uid="{00000000-0004-0000-0000-000092000000}"/>
    <hyperlink ref="N56" r:id="rId148" xr:uid="{00000000-0004-0000-0000-000093000000}"/>
    <hyperlink ref="N57" r:id="rId149" xr:uid="{00000000-0004-0000-0000-000094000000}"/>
    <hyperlink ref="N58" r:id="rId150" xr:uid="{00000000-0004-0000-0000-000095000000}"/>
    <hyperlink ref="N59" r:id="rId151" xr:uid="{00000000-0004-0000-0000-000096000000}"/>
    <hyperlink ref="N60" r:id="rId152" xr:uid="{00000000-0004-0000-0000-000097000000}"/>
    <hyperlink ref="N61" r:id="rId153" xr:uid="{00000000-0004-0000-0000-000098000000}"/>
    <hyperlink ref="N62" r:id="rId154" xr:uid="{00000000-0004-0000-0000-000099000000}"/>
    <hyperlink ref="N63" r:id="rId155" xr:uid="{00000000-0004-0000-0000-00009A000000}"/>
    <hyperlink ref="N64" r:id="rId156" xr:uid="{00000000-0004-0000-0000-00009B000000}"/>
    <hyperlink ref="N65" r:id="rId157" xr:uid="{00000000-0004-0000-0000-00009C000000}"/>
    <hyperlink ref="N66" r:id="rId158" xr:uid="{00000000-0004-0000-0000-00009D000000}"/>
    <hyperlink ref="N67" r:id="rId159" xr:uid="{00000000-0004-0000-0000-00009E000000}"/>
    <hyperlink ref="N68" r:id="rId160" xr:uid="{00000000-0004-0000-0000-00009F000000}"/>
    <hyperlink ref="N69" r:id="rId161" xr:uid="{00000000-0004-0000-0000-0000A0000000}"/>
    <hyperlink ref="N70" r:id="rId162" xr:uid="{00000000-0004-0000-0000-0000A1000000}"/>
    <hyperlink ref="N71" r:id="rId163" xr:uid="{00000000-0004-0000-0000-0000A2000000}"/>
    <hyperlink ref="N72" r:id="rId164" xr:uid="{00000000-0004-0000-0000-0000A3000000}"/>
    <hyperlink ref="N73" r:id="rId165" xr:uid="{00000000-0004-0000-0000-0000A4000000}"/>
    <hyperlink ref="N74" r:id="rId166" xr:uid="{00000000-0004-0000-0000-0000A5000000}"/>
    <hyperlink ref="N75" r:id="rId167" xr:uid="{00000000-0004-0000-0000-0000A6000000}"/>
    <hyperlink ref="N76" r:id="rId168" xr:uid="{00000000-0004-0000-0000-0000A7000000}"/>
    <hyperlink ref="N77" r:id="rId169" xr:uid="{00000000-0004-0000-0000-0000A8000000}"/>
    <hyperlink ref="N78" r:id="rId170" xr:uid="{00000000-0004-0000-0000-0000A9000000}"/>
    <hyperlink ref="N79" r:id="rId171" xr:uid="{00000000-0004-0000-0000-0000AA000000}"/>
    <hyperlink ref="N80" r:id="rId172" xr:uid="{00000000-0004-0000-0000-0000AB000000}"/>
    <hyperlink ref="N81" r:id="rId173" xr:uid="{00000000-0004-0000-0000-0000AC000000}"/>
    <hyperlink ref="N82" r:id="rId174" xr:uid="{00000000-0004-0000-0000-0000AD000000}"/>
    <hyperlink ref="N83" r:id="rId175" xr:uid="{00000000-0004-0000-0000-0000AE000000}"/>
    <hyperlink ref="N84" r:id="rId176" xr:uid="{00000000-0004-0000-0000-0000AF000000}"/>
    <hyperlink ref="N85" r:id="rId177" xr:uid="{00000000-0004-0000-0000-0000B0000000}"/>
    <hyperlink ref="N86" r:id="rId178" xr:uid="{00000000-0004-0000-0000-0000B1000000}"/>
    <hyperlink ref="N87" r:id="rId179" xr:uid="{00000000-0004-0000-0000-0000B2000000}"/>
    <hyperlink ref="N88" r:id="rId180" xr:uid="{00000000-0004-0000-0000-0000B3000000}"/>
    <hyperlink ref="N89" r:id="rId181" xr:uid="{00000000-0004-0000-0000-0000B4000000}"/>
    <hyperlink ref="N90" r:id="rId182" xr:uid="{00000000-0004-0000-0000-0000B5000000}"/>
    <hyperlink ref="N91" r:id="rId183" xr:uid="{00000000-0004-0000-0000-0000B6000000}"/>
    <hyperlink ref="N92" r:id="rId184" xr:uid="{00000000-0004-0000-0000-0000B7000000}"/>
    <hyperlink ref="N93" r:id="rId185" xr:uid="{00000000-0004-0000-0000-0000B8000000}"/>
    <hyperlink ref="N94" r:id="rId186" xr:uid="{00000000-0004-0000-0000-0000B9000000}"/>
    <hyperlink ref="N95" r:id="rId187" xr:uid="{00000000-0004-0000-0000-0000BA000000}"/>
    <hyperlink ref="N96" r:id="rId188" xr:uid="{00000000-0004-0000-0000-0000BB000000}"/>
    <hyperlink ref="N97" r:id="rId189" xr:uid="{00000000-0004-0000-0000-0000BC000000}"/>
    <hyperlink ref="N98" r:id="rId190" xr:uid="{00000000-0004-0000-0000-0000BD000000}"/>
    <hyperlink ref="N99" r:id="rId191" xr:uid="{00000000-0004-0000-0000-0000BE000000}"/>
    <hyperlink ref="N100" r:id="rId192" xr:uid="{00000000-0004-0000-0000-0000BF000000}"/>
    <hyperlink ref="N101" r:id="rId193" xr:uid="{00000000-0004-0000-0000-0000C0000000}"/>
    <hyperlink ref="N102" r:id="rId194" xr:uid="{00000000-0004-0000-0000-0000C1000000}"/>
    <hyperlink ref="N103" r:id="rId195" xr:uid="{00000000-0004-0000-0000-0000C2000000}"/>
    <hyperlink ref="N104" r:id="rId196" xr:uid="{00000000-0004-0000-0000-0000C3000000}"/>
    <hyperlink ref="N105" r:id="rId197" xr:uid="{00000000-0004-0000-0000-0000C4000000}"/>
    <hyperlink ref="N106" r:id="rId198" xr:uid="{00000000-0004-0000-0000-0000C5000000}"/>
    <hyperlink ref="N108" r:id="rId199" xr:uid="{00000000-0004-0000-0000-0000C6000000}"/>
    <hyperlink ref="N109" r:id="rId200" xr:uid="{00000000-0004-0000-0000-0000C7000000}"/>
    <hyperlink ref="N110" r:id="rId201" xr:uid="{00000000-0004-0000-0000-0000C8000000}"/>
    <hyperlink ref="N111" r:id="rId202" xr:uid="{00000000-0004-0000-0000-0000C9000000}"/>
    <hyperlink ref="N112" r:id="rId203" xr:uid="{00000000-0004-0000-0000-0000CA000000}"/>
    <hyperlink ref="N113" r:id="rId204" xr:uid="{00000000-0004-0000-0000-0000CB000000}"/>
    <hyperlink ref="N114" r:id="rId205" xr:uid="{00000000-0004-0000-0000-0000CC000000}"/>
    <hyperlink ref="N107" r:id="rId206" xr:uid="{00000000-0004-0000-0000-0000CD000000}"/>
    <hyperlink ref="P122" r:id="rId207" display="https://my.zakupki.prom.ua/remote/dispatcher/state_purchase_view/41677151" xr:uid="{00000000-0004-0000-0000-0000CE000000}"/>
    <hyperlink ref="P123" r:id="rId208" display="https://my.zakupki.prom.ua/remote/dispatcher/state_purchase_view/41675945" xr:uid="{00000000-0004-0000-0000-0000CF000000}"/>
    <hyperlink ref="P124" r:id="rId209" display="https://my.zakupki.prom.ua/remote/dispatcher/state_purchase_view/41675869" xr:uid="{00000000-0004-0000-0000-0000D0000000}"/>
    <hyperlink ref="P115" r:id="rId210" display="https://my.zakupki.prom.ua/remote/dispatcher/state_purchase_view/41650806" xr:uid="{00000000-0004-0000-0000-0000D1000000}"/>
    <hyperlink ref="P116" r:id="rId211" display="https://my.zakupki.prom.ua/remote/dispatcher/state_purchase_view/41649991" xr:uid="{00000000-0004-0000-0000-0000D2000000}"/>
    <hyperlink ref="P117" r:id="rId212" display="https://my.zakupki.prom.ua/remote/dispatcher/state_purchase_view/41648944" xr:uid="{00000000-0004-0000-0000-0000D3000000}"/>
    <hyperlink ref="P118" r:id="rId213" display="https://my.zakupki.prom.ua/remote/dispatcher/state_purchase_view/41648147" xr:uid="{00000000-0004-0000-0000-0000D4000000}"/>
    <hyperlink ref="P119" r:id="rId214" display="https://my.zakupki.prom.ua/remote/dispatcher/state_purchase_view/41647901" xr:uid="{00000000-0004-0000-0000-0000D5000000}"/>
    <hyperlink ref="P120" r:id="rId215" display="https://my.zakupki.prom.ua/remote/dispatcher/state_purchase_view/41645351" xr:uid="{00000000-0004-0000-0000-0000D6000000}"/>
    <hyperlink ref="P121" r:id="rId216" display="https://my.zakupki.prom.ua/remote/dispatcher/state_purchase_view/41644671" xr:uid="{00000000-0004-0000-0000-0000D7000000}"/>
    <hyperlink ref="N115" r:id="rId217" xr:uid="{00000000-0004-0000-0000-0000D8000000}"/>
    <hyperlink ref="N116" r:id="rId218" xr:uid="{00000000-0004-0000-0000-0000D9000000}"/>
    <hyperlink ref="N117" r:id="rId219" xr:uid="{00000000-0004-0000-0000-0000DA000000}"/>
    <hyperlink ref="N118" r:id="rId220" xr:uid="{00000000-0004-0000-0000-0000DB000000}"/>
    <hyperlink ref="N119" r:id="rId221" xr:uid="{00000000-0004-0000-0000-0000DC000000}"/>
    <hyperlink ref="N120" r:id="rId222" xr:uid="{00000000-0004-0000-0000-0000DD000000}"/>
    <hyperlink ref="N121" r:id="rId223" xr:uid="{00000000-0004-0000-0000-0000DE000000}"/>
    <hyperlink ref="N122" r:id="rId224" xr:uid="{00000000-0004-0000-0000-0000DF000000}"/>
    <hyperlink ref="N123" r:id="rId225" xr:uid="{00000000-0004-0000-0000-0000E0000000}"/>
    <hyperlink ref="N124" r:id="rId226" xr:uid="{00000000-0004-0000-0000-0000E1000000}"/>
    <hyperlink ref="P125" r:id="rId227" display="https://my.zakupki.prom.ua/remote/dispatcher/state_purchase_view/41678983" xr:uid="{00000000-0004-0000-0000-0000E2000000}"/>
    <hyperlink ref="P126" r:id="rId228" display="https://my.zakupki.prom.ua/remote/dispatcher/state_purchase_view/41677871" xr:uid="{00000000-0004-0000-0000-0000E3000000}"/>
    <hyperlink ref="P127" r:id="rId229" display="https://my.zakupki.prom.ua/remote/dispatcher/state_purchase_view/41677151" xr:uid="{00000000-0004-0000-0000-0000E4000000}"/>
    <hyperlink ref="N128" r:id="rId230" xr:uid="{00000000-0004-0000-0000-0000E5000000}"/>
    <hyperlink ref="N125" r:id="rId231" xr:uid="{00000000-0004-0000-0000-0000E6000000}"/>
    <hyperlink ref="N126" r:id="rId232" xr:uid="{00000000-0004-0000-0000-0000E7000000}"/>
    <hyperlink ref="N127" r:id="rId233" xr:uid="{00000000-0004-0000-0000-0000E8000000}"/>
    <hyperlink ref="N129" r:id="rId234" xr:uid="{00000000-0004-0000-0000-0000E9000000}"/>
    <hyperlink ref="P131" r:id="rId235" display="https://my.zakupki.prom.ua/remote/dispatcher/state_purchase_view/41720731" xr:uid="{00000000-0004-0000-0000-0000EA000000}"/>
    <hyperlink ref="P132" r:id="rId236" display="https://my.zakupki.prom.ua/remote/dispatcher/state_purchase_view/41720673" xr:uid="{00000000-0004-0000-0000-0000EB000000}"/>
    <hyperlink ref="P133" r:id="rId237" display="https://my.zakupki.prom.ua/remote/dispatcher/state_purchase_view/41720512" xr:uid="{00000000-0004-0000-0000-0000EC000000}"/>
    <hyperlink ref="P134" r:id="rId238" display="https://my.zakupki.prom.ua/remote/dispatcher/state_purchase_view/41720050" xr:uid="{00000000-0004-0000-0000-0000ED000000}"/>
    <hyperlink ref="P135" r:id="rId239" display="https://my.zakupki.prom.ua/remote/dispatcher/state_purchase_view/41719988" xr:uid="{00000000-0004-0000-0000-0000EE000000}"/>
    <hyperlink ref="P136" r:id="rId240" display="https://my.zakupki.prom.ua/remote/dispatcher/state_purchase_view/41719753" xr:uid="{00000000-0004-0000-0000-0000EF000000}"/>
    <hyperlink ref="P137" r:id="rId241" display="https://my.zakupki.prom.ua/remote/dispatcher/state_purchase_view/41719575" xr:uid="{00000000-0004-0000-0000-0000F0000000}"/>
    <hyperlink ref="P138" r:id="rId242" display="https://my.zakupki.prom.ua/remote/dispatcher/state_purchase_view/41719359" xr:uid="{00000000-0004-0000-0000-0000F1000000}"/>
    <hyperlink ref="N131" r:id="rId243" xr:uid="{00000000-0004-0000-0000-0000F2000000}"/>
    <hyperlink ref="N132" r:id="rId244" xr:uid="{00000000-0004-0000-0000-0000F3000000}"/>
    <hyperlink ref="N133" r:id="rId245" xr:uid="{00000000-0004-0000-0000-0000F4000000}"/>
    <hyperlink ref="N134" r:id="rId246" xr:uid="{00000000-0004-0000-0000-0000F5000000}"/>
    <hyperlink ref="N135" r:id="rId247" xr:uid="{00000000-0004-0000-0000-0000F6000000}"/>
    <hyperlink ref="N136" r:id="rId248" xr:uid="{00000000-0004-0000-0000-0000F7000000}"/>
    <hyperlink ref="N137" r:id="rId249" xr:uid="{00000000-0004-0000-0000-0000F8000000}"/>
    <hyperlink ref="N138" r:id="rId250" xr:uid="{00000000-0004-0000-0000-0000F9000000}"/>
    <hyperlink ref="N139" r:id="rId251" xr:uid="{00000000-0004-0000-0000-0000FA000000}"/>
    <hyperlink ref="N130" r:id="rId252" xr:uid="{00000000-0004-0000-0000-0000FB000000}"/>
    <hyperlink ref="P140" r:id="rId253" display="https://my.zakupki.prom.ua/remote/dispatcher/state_purchase_view/41743220" xr:uid="{00000000-0004-0000-0000-0000FC000000}"/>
    <hyperlink ref="P141" r:id="rId254" display="https://my.zakupki.prom.ua/remote/dispatcher/state_purchase_view/41742784" xr:uid="{00000000-0004-0000-0000-0000FD000000}"/>
    <hyperlink ref="P142" r:id="rId255" display="https://my.zakupki.prom.ua/remote/dispatcher/state_purchase_view/41740883" xr:uid="{00000000-0004-0000-0000-0000FE000000}"/>
    <hyperlink ref="P143" r:id="rId256" display="https://my.zakupki.prom.ua/remote/dispatcher/state_purchase_view/41740483" xr:uid="{00000000-0004-0000-0000-0000FF000000}"/>
    <hyperlink ref="P144" r:id="rId257" display="https://my.zakupki.prom.ua/remote/dispatcher/state_purchase_view/41739408" xr:uid="{00000000-0004-0000-0000-000000010000}"/>
    <hyperlink ref="P145" r:id="rId258" display="https://my.zakupki.prom.ua/remote/dispatcher/state_purchase_view/41738442" xr:uid="{00000000-0004-0000-0000-000001010000}"/>
    <hyperlink ref="P146" r:id="rId259" display="https://my.zakupki.prom.ua/remote/dispatcher/state_purchase_view/41737679" xr:uid="{00000000-0004-0000-0000-000002010000}"/>
    <hyperlink ref="N140" r:id="rId260" xr:uid="{00000000-0004-0000-0000-000003010000}"/>
    <hyperlink ref="N141" r:id="rId261" xr:uid="{00000000-0004-0000-0000-000004010000}"/>
    <hyperlink ref="N142" r:id="rId262" xr:uid="{00000000-0004-0000-0000-000005010000}"/>
    <hyperlink ref="N143" r:id="rId263" xr:uid="{00000000-0004-0000-0000-000006010000}"/>
    <hyperlink ref="N144" r:id="rId264" xr:uid="{00000000-0004-0000-0000-000007010000}"/>
    <hyperlink ref="N145" r:id="rId265" xr:uid="{00000000-0004-0000-0000-000008010000}"/>
    <hyperlink ref="N146" r:id="rId266" xr:uid="{00000000-0004-0000-0000-000009010000}"/>
    <hyperlink ref="P155" r:id="rId267" display="https://my.zakupki.prom.ua/remote/dispatcher/state_purchase_view/41781166" xr:uid="{00000000-0004-0000-0000-00000A010000}"/>
    <hyperlink ref="P156" r:id="rId268" display="https://my.zakupki.prom.ua/remote/dispatcher/state_purchase_view/41780913" xr:uid="{00000000-0004-0000-0000-00000B010000}"/>
    <hyperlink ref="P157" r:id="rId269" display="https://my.zakupki.prom.ua/remote/dispatcher/state_purchase_view/41780303" xr:uid="{00000000-0004-0000-0000-00000C010000}"/>
    <hyperlink ref="P158" r:id="rId270" display="https://my.zakupki.prom.ua/remote/dispatcher/state_purchase_view/41779624" xr:uid="{00000000-0004-0000-0000-00000D010000}"/>
    <hyperlink ref="P159" r:id="rId271" display="https://my.zakupki.prom.ua/remote/dispatcher/state_purchase_view/41779398" xr:uid="{00000000-0004-0000-0000-00000E010000}"/>
    <hyperlink ref="P147" r:id="rId272" display="https://my.zakupki.prom.ua/remote/dispatcher/state_purchase_view/41779380" xr:uid="{00000000-0004-0000-0000-00000F010000}"/>
    <hyperlink ref="P148" r:id="rId273" display="https://my.zakupki.prom.ua/remote/dispatcher/state_purchase_view/41777563" xr:uid="{00000000-0004-0000-0000-000010010000}"/>
    <hyperlink ref="P152" r:id="rId274" display="https://my.zakupki.prom.ua/remote/dispatcher/state_purchase_view/41777421" xr:uid="{00000000-0004-0000-0000-000011010000}"/>
    <hyperlink ref="P149" r:id="rId275" display="https://my.zakupki.prom.ua/remote/dispatcher/state_purchase_view/41777364" xr:uid="{00000000-0004-0000-0000-000012010000}"/>
    <hyperlink ref="P150" r:id="rId276" display="https://my.zakupki.prom.ua/remote/dispatcher/state_purchase_view/41777201" xr:uid="{00000000-0004-0000-0000-000013010000}"/>
    <hyperlink ref="P151" r:id="rId277" display="https://my.zakupki.prom.ua/remote/dispatcher/state_purchase_view/41776988" xr:uid="{00000000-0004-0000-0000-000014010000}"/>
    <hyperlink ref="P153" r:id="rId278" display="https://my.zakupki.prom.ua/remote/dispatcher/state_purchase_view/41776493" xr:uid="{00000000-0004-0000-0000-000015010000}"/>
    <hyperlink ref="P154" r:id="rId279" display="https://my.zakupki.prom.ua/remote/dispatcher/state_purchase_view/41755715" xr:uid="{00000000-0004-0000-0000-000016010000}"/>
    <hyperlink ref="N154" r:id="rId280" xr:uid="{00000000-0004-0000-0000-000017010000}"/>
    <hyperlink ref="N153" r:id="rId281" xr:uid="{00000000-0004-0000-0000-000018010000}"/>
    <hyperlink ref="N151" r:id="rId282" xr:uid="{00000000-0004-0000-0000-000019010000}"/>
    <hyperlink ref="N150" r:id="rId283" xr:uid="{00000000-0004-0000-0000-00001A010000}"/>
    <hyperlink ref="N149" r:id="rId284" xr:uid="{00000000-0004-0000-0000-00001B010000}"/>
    <hyperlink ref="N152" r:id="rId285" xr:uid="{00000000-0004-0000-0000-00001C010000}"/>
    <hyperlink ref="N148" r:id="rId286" xr:uid="{00000000-0004-0000-0000-00001D010000}"/>
    <hyperlink ref="N147" r:id="rId287" xr:uid="{00000000-0004-0000-0000-00001E010000}"/>
    <hyperlink ref="N159" r:id="rId288" xr:uid="{00000000-0004-0000-0000-00001F010000}"/>
    <hyperlink ref="N158" r:id="rId289" xr:uid="{00000000-0004-0000-0000-000020010000}"/>
    <hyperlink ref="N157" r:id="rId290" xr:uid="{00000000-0004-0000-0000-000021010000}"/>
    <hyperlink ref="N156" r:id="rId291" xr:uid="{00000000-0004-0000-0000-000022010000}"/>
    <hyperlink ref="N155" r:id="rId292" xr:uid="{00000000-0004-0000-0000-000023010000}"/>
    <hyperlink ref="N160" r:id="rId293" xr:uid="{00000000-0004-0000-0000-000024010000}"/>
    <hyperlink ref="P171" r:id="rId294" display="https://my.zakupki.prom.ua/remote/dispatcher/state_purchase_view/41866240" xr:uid="{00000000-0004-0000-0000-000025010000}"/>
    <hyperlink ref="P168" r:id="rId295" display="https://my.zakupki.prom.ua/remote/dispatcher/state_purchase_view/41830605" xr:uid="{00000000-0004-0000-0000-000026010000}"/>
    <hyperlink ref="P169" r:id="rId296" display="https://my.zakupki.prom.ua/remote/dispatcher/state_purchase_view/41829038" xr:uid="{00000000-0004-0000-0000-000027010000}"/>
    <hyperlink ref="P170" r:id="rId297" display="https://my.zakupki.prom.ua/remote/dispatcher/state_purchase_view/41816730" xr:uid="{00000000-0004-0000-0000-000028010000}"/>
    <hyperlink ref="P161" r:id="rId298" display="https://my.zakupki.prom.ua/remote/dispatcher/state_purchase_view/41781756" xr:uid="{00000000-0004-0000-0000-000029010000}"/>
    <hyperlink ref="P162" r:id="rId299" display="https://my.zakupki.prom.ua/remote/dispatcher/state_purchase_view/41781166" xr:uid="{00000000-0004-0000-0000-00002A010000}"/>
    <hyperlink ref="P163" r:id="rId300" display="https://my.zakupki.prom.ua/remote/dispatcher/state_purchase_view/41780913" xr:uid="{00000000-0004-0000-0000-00002B010000}"/>
    <hyperlink ref="P164" r:id="rId301" display="https://my.zakupki.prom.ua/remote/dispatcher/state_purchase_view/41780303" xr:uid="{00000000-0004-0000-0000-00002C010000}"/>
    <hyperlink ref="P165" r:id="rId302" display="https://my.zakupki.prom.ua/remote/dispatcher/state_purchase_view/41779624" xr:uid="{00000000-0004-0000-0000-00002D010000}"/>
    <hyperlink ref="P166" r:id="rId303" display="https://my.zakupki.prom.ua/remote/dispatcher/state_purchase_view/41779398" xr:uid="{00000000-0004-0000-0000-00002E010000}"/>
    <hyperlink ref="P167" r:id="rId304" display="https://my.zakupki.prom.ua/remote/dispatcher/state_purchase_view/41779380" xr:uid="{00000000-0004-0000-0000-00002F010000}"/>
    <hyperlink ref="N161" r:id="rId305" xr:uid="{00000000-0004-0000-0000-000030010000}"/>
    <hyperlink ref="N162" r:id="rId306" xr:uid="{00000000-0004-0000-0000-000031010000}"/>
    <hyperlink ref="N163" r:id="rId307" xr:uid="{00000000-0004-0000-0000-000032010000}"/>
    <hyperlink ref="N164" r:id="rId308" xr:uid="{00000000-0004-0000-0000-000033010000}"/>
    <hyperlink ref="N165" r:id="rId309" xr:uid="{00000000-0004-0000-0000-000034010000}"/>
    <hyperlink ref="N166" r:id="rId310" xr:uid="{00000000-0004-0000-0000-000035010000}"/>
    <hyperlink ref="N167" r:id="rId311" xr:uid="{00000000-0004-0000-0000-000036010000}"/>
    <hyperlink ref="N168" r:id="rId312" xr:uid="{00000000-0004-0000-0000-000037010000}"/>
    <hyperlink ref="N169" r:id="rId313" xr:uid="{00000000-0004-0000-0000-000038010000}"/>
    <hyperlink ref="N170" r:id="rId314" xr:uid="{00000000-0004-0000-0000-000039010000}"/>
    <hyperlink ref="N171" r:id="rId315" xr:uid="{00000000-0004-0000-0000-00003A010000}"/>
    <hyperlink ref="P174" r:id="rId316" display="https://my.zakupki.prom.ua/remote/dispatcher/state_purchase_view/42099519" xr:uid="{00000000-0004-0000-0000-00003B010000}"/>
    <hyperlink ref="P172" r:id="rId317" display="https://my.zakupki.prom.ua/remote/dispatcher/state_purchase_view/42015454" xr:uid="{00000000-0004-0000-0000-00003C010000}"/>
    <hyperlink ref="P173" r:id="rId318" display="https://my.zakupki.prom.ua/remote/dispatcher/state_purchase_view/42015243" xr:uid="{00000000-0004-0000-0000-00003D010000}"/>
    <hyperlink ref="N172" r:id="rId319" xr:uid="{00000000-0004-0000-0000-00003E010000}"/>
    <hyperlink ref="N173" r:id="rId320" xr:uid="{00000000-0004-0000-0000-00003F010000}"/>
    <hyperlink ref="N174" r:id="rId321" xr:uid="{00000000-0004-0000-0000-000040010000}"/>
    <hyperlink ref="P175" r:id="rId322" display="https://my.zakupki.prom.ua/remote/dispatcher/state_purchase_view/42175596" xr:uid="{00000000-0004-0000-0000-000041010000}"/>
    <hyperlink ref="P176" r:id="rId323" display="https://my.zakupki.prom.ua/remote/dispatcher/state_purchase_view/42175373" xr:uid="{00000000-0004-0000-0000-000042010000}"/>
    <hyperlink ref="P177" r:id="rId324" display="https://my.zakupki.prom.ua/remote/dispatcher/state_purchase_view/42166907" xr:uid="{00000000-0004-0000-0000-000043010000}"/>
    <hyperlink ref="N175" r:id="rId325" xr:uid="{00000000-0004-0000-0000-000044010000}"/>
    <hyperlink ref="N176" r:id="rId326" xr:uid="{00000000-0004-0000-0000-000045010000}"/>
    <hyperlink ref="N177" r:id="rId327" xr:uid="{00000000-0004-0000-0000-000046010000}"/>
    <hyperlink ref="P187" r:id="rId328" display="https://my.zakupki.prom.ua/remote/dispatcher/state_purchase_view/42379010" xr:uid="{00000000-0004-0000-0000-000047010000}"/>
    <hyperlink ref="P186" r:id="rId329" display="https://my.zakupki.prom.ua/remote/dispatcher/state_purchase_view/42377342" xr:uid="{00000000-0004-0000-0000-000048010000}"/>
    <hyperlink ref="P185" r:id="rId330" display="https://my.zakupki.prom.ua/remote/dispatcher/state_purchase_view/42376032" xr:uid="{00000000-0004-0000-0000-000049010000}"/>
    <hyperlink ref="P184" r:id="rId331" display="https://my.zakupki.prom.ua/remote/dispatcher/state_purchase_view/42279435" xr:uid="{00000000-0004-0000-0000-00004A010000}"/>
    <hyperlink ref="P183" r:id="rId332" display="https://my.zakupki.prom.ua/remote/dispatcher/state_purchase_view/42223552" xr:uid="{00000000-0004-0000-0000-00004B010000}"/>
    <hyperlink ref="P182" r:id="rId333" display="https://my.zakupki.prom.ua/remote/dispatcher/state_purchase_view/42221724" xr:uid="{00000000-0004-0000-0000-00004C010000}"/>
    <hyperlink ref="P181" r:id="rId334" display="https://my.zakupki.prom.ua/remote/dispatcher/state_purchase_view/42221401" xr:uid="{00000000-0004-0000-0000-00004D010000}"/>
    <hyperlink ref="P180" r:id="rId335" display="https://my.zakupki.prom.ua/remote/dispatcher/state_purchase_view/42220687" xr:uid="{00000000-0004-0000-0000-00004E010000}"/>
    <hyperlink ref="P179" r:id="rId336" display="https://my.zakupki.prom.ua/remote/dispatcher/state_purchase_view/42219107" xr:uid="{00000000-0004-0000-0000-00004F010000}"/>
    <hyperlink ref="N179" r:id="rId337" xr:uid="{00000000-0004-0000-0000-000050010000}"/>
    <hyperlink ref="N180" r:id="rId338" xr:uid="{00000000-0004-0000-0000-000051010000}"/>
    <hyperlink ref="N181" r:id="rId339" xr:uid="{00000000-0004-0000-0000-000052010000}"/>
    <hyperlink ref="N182" r:id="rId340" xr:uid="{00000000-0004-0000-0000-000053010000}"/>
    <hyperlink ref="N183" r:id="rId341" xr:uid="{00000000-0004-0000-0000-000054010000}"/>
    <hyperlink ref="N184" r:id="rId342" xr:uid="{00000000-0004-0000-0000-000055010000}"/>
    <hyperlink ref="N185" r:id="rId343" xr:uid="{00000000-0004-0000-0000-000056010000}"/>
    <hyperlink ref="N186" r:id="rId344" xr:uid="{00000000-0004-0000-0000-000057010000}"/>
    <hyperlink ref="N187" r:id="rId345" xr:uid="{00000000-0004-0000-0000-000058010000}"/>
    <hyperlink ref="N178" r:id="rId346" xr:uid="{00000000-0004-0000-0000-000059010000}"/>
    <hyperlink ref="P178" r:id="rId347" xr:uid="{00000000-0004-0000-0000-00005A010000}"/>
    <hyperlink ref="P196" r:id="rId348" display="https://my.zakupki.prom.ua/remote/dispatcher/state_purchase_view/42596750" xr:uid="{00000000-0004-0000-0000-00005B010000}"/>
    <hyperlink ref="P192" r:id="rId349" display="https://my.zakupki.prom.ua/remote/dispatcher/state_purchase_view/42556878" xr:uid="{00000000-0004-0000-0000-00005C010000}"/>
    <hyperlink ref="P193" r:id="rId350" display="https://my.zakupki.prom.ua/remote/dispatcher/state_purchase_view/42556376" xr:uid="{00000000-0004-0000-0000-00005D010000}"/>
    <hyperlink ref="P194" r:id="rId351" display="https://my.zakupki.prom.ua/remote/dispatcher/state_purchase_view/42556155" xr:uid="{00000000-0004-0000-0000-00005E010000}"/>
    <hyperlink ref="P195" r:id="rId352" display="https://my.zakupki.prom.ua/remote/dispatcher/state_purchase_view/42551980" xr:uid="{00000000-0004-0000-0000-00005F010000}"/>
    <hyperlink ref="P190" r:id="rId353" display="https://my.zakupki.prom.ua/remote/dispatcher/state_purchase_view/42520847" xr:uid="{00000000-0004-0000-0000-000060010000}"/>
    <hyperlink ref="P191" r:id="rId354" display="https://my.zakupki.prom.ua/remote/dispatcher/state_purchase_view/42520239" xr:uid="{00000000-0004-0000-0000-000061010000}"/>
    <hyperlink ref="P188" r:id="rId355" display="https://my.zakupki.prom.ua/remote/dispatcher/state_purchase_view/42505239" xr:uid="{00000000-0004-0000-0000-000062010000}"/>
    <hyperlink ref="P189" r:id="rId356" display="https://my.zakupki.prom.ua/remote/dispatcher/state_purchase_view/42504562" xr:uid="{00000000-0004-0000-0000-000063010000}"/>
    <hyperlink ref="N188" r:id="rId357" xr:uid="{00000000-0004-0000-0000-000064010000}"/>
    <hyperlink ref="N189" r:id="rId358" xr:uid="{00000000-0004-0000-0000-000065010000}"/>
    <hyperlink ref="N190" r:id="rId359" xr:uid="{00000000-0004-0000-0000-000066010000}"/>
    <hyperlink ref="N191" r:id="rId360" xr:uid="{00000000-0004-0000-0000-000067010000}"/>
    <hyperlink ref="N192" r:id="rId361" xr:uid="{00000000-0004-0000-0000-000068010000}"/>
    <hyperlink ref="N193" r:id="rId362" xr:uid="{00000000-0004-0000-0000-000069010000}"/>
    <hyperlink ref="N194" r:id="rId363" xr:uid="{00000000-0004-0000-0000-00006A010000}"/>
    <hyperlink ref="N195" r:id="rId364" xr:uid="{00000000-0004-0000-0000-00006B010000}"/>
    <hyperlink ref="N196" r:id="rId365" xr:uid="{00000000-0004-0000-0000-00006C010000}"/>
    <hyperlink ref="P198" r:id="rId366" display="https://my.zakupki.prom.ua/remote/dispatcher/state_purchase_view/43050145" xr:uid="{00000000-0004-0000-0000-00006D010000}"/>
    <hyperlink ref="P197" r:id="rId367" display="https://my.zakupki.prom.ua/remote/dispatcher/state_purchase_view/42937572" xr:uid="{00000000-0004-0000-0000-00006E010000}"/>
    <hyperlink ref="N197" r:id="rId368" xr:uid="{00000000-0004-0000-0000-00006F010000}"/>
    <hyperlink ref="N198" r:id="rId369" xr:uid="{00000000-0004-0000-0000-000070010000}"/>
    <hyperlink ref="P204" r:id="rId370" display="https://my.zakupki.prom.ua/remote/dispatcher/state_purchase_view/43724189" xr:uid="{00000000-0004-0000-0000-000071010000}"/>
    <hyperlink ref="P202" r:id="rId371" display="https://my.zakupki.prom.ua/remote/dispatcher/state_purchase_view/43702909" xr:uid="{00000000-0004-0000-0000-000072010000}"/>
    <hyperlink ref="P203" r:id="rId372" display="https://my.zakupki.prom.ua/remote/dispatcher/state_purchase_view/43702002" xr:uid="{00000000-0004-0000-0000-000073010000}"/>
    <hyperlink ref="P199" r:id="rId373" display="https://my.zakupki.prom.ua/remote/dispatcher/state_purchase_view/43318727" xr:uid="{00000000-0004-0000-0000-000074010000}"/>
    <hyperlink ref="P200" r:id="rId374" display="https://my.zakupki.prom.ua/remote/dispatcher/state_purchase_view/43318378" xr:uid="{00000000-0004-0000-0000-000075010000}"/>
    <hyperlink ref="P201" r:id="rId375" display="https://my.zakupki.prom.ua/remote/dispatcher/state_purchase_view/43318194" xr:uid="{00000000-0004-0000-0000-000076010000}"/>
    <hyperlink ref="N199" r:id="rId376" xr:uid="{00000000-0004-0000-0000-000077010000}"/>
    <hyperlink ref="N200" r:id="rId377" xr:uid="{00000000-0004-0000-0000-000078010000}"/>
    <hyperlink ref="N201" r:id="rId378" xr:uid="{00000000-0004-0000-0000-000079010000}"/>
    <hyperlink ref="N202" r:id="rId379" xr:uid="{00000000-0004-0000-0000-00007A010000}"/>
    <hyperlink ref="N203" r:id="rId380" xr:uid="{00000000-0004-0000-0000-00007B010000}"/>
    <hyperlink ref="N204" r:id="rId381" xr:uid="{00000000-0004-0000-0000-00007C010000}"/>
    <hyperlink ref="P219" r:id="rId382" display="https://my.zakupki.prom.ua/remote/dispatcher/state_purchase_view/44300695" xr:uid="{00000000-0004-0000-0000-00007D010000}"/>
    <hyperlink ref="P218" r:id="rId383" display="https://my.zakupki.prom.ua/remote/dispatcher/state_purchase_view/44291790" xr:uid="{00000000-0004-0000-0000-00007E010000}"/>
    <hyperlink ref="P215" r:id="rId384" display="https://my.zakupki.prom.ua/remote/dispatcher/state_purchase_view/44239848" xr:uid="{00000000-0004-0000-0000-00007F010000}"/>
    <hyperlink ref="P214" r:id="rId385" display="https://my.zakupki.prom.ua/remote/dispatcher/state_purchase_view/44239007" xr:uid="{00000000-0004-0000-0000-000080010000}"/>
    <hyperlink ref="P216" r:id="rId386" display="https://my.zakupki.prom.ua/remote/dispatcher/state_purchase_view/44237685" xr:uid="{00000000-0004-0000-0000-000081010000}"/>
    <hyperlink ref="P217" r:id="rId387" display="https://my.zakupki.prom.ua/remote/dispatcher/state_purchase_view/44236786" xr:uid="{00000000-0004-0000-0000-000082010000}"/>
    <hyperlink ref="P213" r:id="rId388" display="https://my.zakupki.prom.ua/remote/dispatcher/state_purchase_view/44182962" xr:uid="{00000000-0004-0000-0000-000083010000}"/>
    <hyperlink ref="P212" r:id="rId389" display="https://my.zakupki.prom.ua/remote/dispatcher/state_purchase_view/44182725" xr:uid="{00000000-0004-0000-0000-000084010000}"/>
    <hyperlink ref="P211" r:id="rId390" display="https://my.zakupki.prom.ua/remote/dispatcher/state_purchase_view/44105193" xr:uid="{00000000-0004-0000-0000-000085010000}"/>
    <hyperlink ref="P210" r:id="rId391" display="https://my.zakupki.prom.ua/remote/dispatcher/state_purchase_view/44101829" xr:uid="{00000000-0004-0000-0000-000086010000}"/>
    <hyperlink ref="P209" r:id="rId392" display="https://my.zakupki.prom.ua/remote/dispatcher/state_purchase_view/44101024" xr:uid="{00000000-0004-0000-0000-000087010000}"/>
    <hyperlink ref="P206" r:id="rId393" display="https://my.zakupki.prom.ua/remote/dispatcher/state_purchase_view/44004041" xr:uid="{00000000-0004-0000-0000-000088010000}"/>
    <hyperlink ref="P205" r:id="rId394" display="https://my.zakupki.prom.ua/remote/dispatcher/state_purchase_view/43891512" xr:uid="{00000000-0004-0000-0000-000089010000}"/>
    <hyperlink ref="P207" r:id="rId395" display="https://my.zakupki.prom.ua/remote/dispatcher/state_purchase_view/43867505" xr:uid="{00000000-0004-0000-0000-00008A010000}"/>
    <hyperlink ref="P208" r:id="rId396" display="https://my.zakupki.prom.ua/remote/dispatcher/state_purchase_view/43867505" xr:uid="{00000000-0004-0000-0000-00008B010000}"/>
    <hyperlink ref="N205" r:id="rId397" xr:uid="{00000000-0004-0000-0000-00008C010000}"/>
    <hyperlink ref="N206" r:id="rId398" xr:uid="{00000000-0004-0000-0000-00008D010000}"/>
    <hyperlink ref="N207" r:id="rId399" xr:uid="{00000000-0004-0000-0000-00008E010000}"/>
    <hyperlink ref="N208" r:id="rId400" xr:uid="{00000000-0004-0000-0000-00008F010000}"/>
    <hyperlink ref="N209" r:id="rId401" xr:uid="{00000000-0004-0000-0000-000090010000}"/>
    <hyperlink ref="N210" r:id="rId402" xr:uid="{00000000-0004-0000-0000-000091010000}"/>
    <hyperlink ref="N211" r:id="rId403" xr:uid="{00000000-0004-0000-0000-000092010000}"/>
    <hyperlink ref="N212" r:id="rId404" xr:uid="{00000000-0004-0000-0000-000093010000}"/>
    <hyperlink ref="N213" r:id="rId405" xr:uid="{00000000-0004-0000-0000-000094010000}"/>
    <hyperlink ref="N214" r:id="rId406" xr:uid="{00000000-0004-0000-0000-000095010000}"/>
    <hyperlink ref="N215" r:id="rId407" xr:uid="{00000000-0004-0000-0000-000096010000}"/>
    <hyperlink ref="N218" r:id="rId408" xr:uid="{00000000-0004-0000-0000-000097010000}"/>
    <hyperlink ref="N219" r:id="rId409" xr:uid="{00000000-0004-0000-0000-000098010000}"/>
    <hyperlink ref="N216" r:id="rId410" xr:uid="{00000000-0004-0000-0000-000099010000}"/>
    <hyperlink ref="N217" r:id="rId411" xr:uid="{00000000-0004-0000-0000-00009A010000}"/>
    <hyperlink ref="P228" r:id="rId412" display="https://my.zakupki.prom.ua/remote/dispatcher/state_purchase_view/44539346" xr:uid="{00000000-0004-0000-0000-00009B010000}"/>
    <hyperlink ref="P229" r:id="rId413" display="https://my.zakupki.prom.ua/remote/dispatcher/state_purchase_view/44535001" xr:uid="{00000000-0004-0000-0000-00009C010000}"/>
    <hyperlink ref="P230" r:id="rId414" display="https://my.zakupki.prom.ua/remote/dispatcher/state_purchase_view/44523546" xr:uid="{00000000-0004-0000-0000-00009D010000}"/>
    <hyperlink ref="P223" r:id="rId415" display="https://my.zakupki.prom.ua/remote/dispatcher/state_purchase_view/44450761" xr:uid="{00000000-0004-0000-0000-00009E010000}"/>
    <hyperlink ref="P224" r:id="rId416" display="https://my.zakupki.prom.ua/remote/dispatcher/state_purchase_view/44442189" xr:uid="{00000000-0004-0000-0000-00009F010000}"/>
    <hyperlink ref="P225" r:id="rId417" display="https://my.zakupki.prom.ua/remote/dispatcher/state_purchase_view/44441521" xr:uid="{00000000-0004-0000-0000-0000A0010000}"/>
    <hyperlink ref="P226" r:id="rId418" display="https://my.zakupki.prom.ua/remote/dispatcher/state_purchase_view/44441001" xr:uid="{00000000-0004-0000-0000-0000A1010000}"/>
    <hyperlink ref="P227" r:id="rId419" display="https://my.zakupki.prom.ua/remote/dispatcher/state_purchase_view/44433428" xr:uid="{00000000-0004-0000-0000-0000A2010000}"/>
    <hyperlink ref="P221" r:id="rId420" display="https://my.zakupki.prom.ua/remote/dispatcher/state_purchase_view/44418733" xr:uid="{00000000-0004-0000-0000-0000A3010000}"/>
    <hyperlink ref="P222" r:id="rId421" display="https://my.zakupki.prom.ua/remote/dispatcher/state_purchase_view/44411432" xr:uid="{00000000-0004-0000-0000-0000A4010000}"/>
    <hyperlink ref="P220" r:id="rId422" display="https://my.zakupki.prom.ua/remote/dispatcher/state_purchase_view/44396461" xr:uid="{00000000-0004-0000-0000-0000A5010000}"/>
    <hyperlink ref="N221" r:id="rId423" xr:uid="{00000000-0004-0000-0000-0000A6010000}"/>
    <hyperlink ref="N222" r:id="rId424" xr:uid="{00000000-0004-0000-0000-0000A7010000}"/>
    <hyperlink ref="N223" r:id="rId425" xr:uid="{00000000-0004-0000-0000-0000A8010000}"/>
    <hyperlink ref="N220" r:id="rId426" xr:uid="{00000000-0004-0000-0000-0000A9010000}"/>
    <hyperlink ref="N224" r:id="rId427" xr:uid="{00000000-0004-0000-0000-0000AA010000}"/>
    <hyperlink ref="N225" r:id="rId428" xr:uid="{00000000-0004-0000-0000-0000AB010000}"/>
    <hyperlink ref="N226" r:id="rId429" xr:uid="{00000000-0004-0000-0000-0000AC010000}"/>
    <hyperlink ref="N227" r:id="rId430" xr:uid="{00000000-0004-0000-0000-0000AD010000}"/>
    <hyperlink ref="N228" r:id="rId431" xr:uid="{00000000-0004-0000-0000-0000AE010000}"/>
    <hyperlink ref="N229" r:id="rId432" xr:uid="{00000000-0004-0000-0000-0000AF010000}"/>
    <hyperlink ref="N230" r:id="rId433" xr:uid="{00000000-0004-0000-0000-0000B0010000}"/>
    <hyperlink ref="P234" r:id="rId434" display="https://my.zakupki.prom.ua/remote/dispatcher/state_purchase_view/44727318" xr:uid="{00000000-0004-0000-0000-0000B1010000}"/>
    <hyperlink ref="P235" r:id="rId435" display="https://my.zakupki.prom.ua/remote/dispatcher/state_purchase_view/44720799" xr:uid="{00000000-0004-0000-0000-0000B2010000}"/>
    <hyperlink ref="P231" r:id="rId436" display="https://my.zakupki.prom.ua/remote/dispatcher/state_purchase_view/44706235" xr:uid="{00000000-0004-0000-0000-0000B3010000}"/>
    <hyperlink ref="P232" r:id="rId437" display="https://my.zakupki.prom.ua/remote/dispatcher/state_purchase_view/44705001" xr:uid="{00000000-0004-0000-0000-0000B4010000}"/>
    <hyperlink ref="P233" r:id="rId438" display="https://my.zakupki.prom.ua/remote/dispatcher/state_purchase_view/44701962" xr:uid="{00000000-0004-0000-0000-0000B5010000}"/>
    <hyperlink ref="N232" r:id="rId439" xr:uid="{00000000-0004-0000-0000-0000B6010000}"/>
    <hyperlink ref="N231" r:id="rId440" xr:uid="{00000000-0004-0000-0000-0000B7010000}"/>
    <hyperlink ref="N233" r:id="rId441" xr:uid="{00000000-0004-0000-0000-0000B8010000}"/>
    <hyperlink ref="N234" r:id="rId442" xr:uid="{00000000-0004-0000-0000-0000B9010000}"/>
    <hyperlink ref="N235" r:id="rId443" xr:uid="{00000000-0004-0000-0000-0000BA010000}"/>
    <hyperlink ref="P242" r:id="rId444" display="https://my.zakupki.prom.ua/remote/dispatcher/state_purchase_view/44902990" xr:uid="{35D7904F-6A05-430D-95AE-921EE2BDF315}"/>
    <hyperlink ref="N242" r:id="rId445" xr:uid="{0968AA8D-CEEA-4105-A016-A8CB11E53EDE}"/>
    <hyperlink ref="N236" r:id="rId446" xr:uid="{06967104-6791-45E5-A8E2-404B4D5B2FAD}"/>
    <hyperlink ref="P236" r:id="rId447" display="https://my.zakupki.prom.ua/remote/dispatcher/state_purchase_view/44771791" xr:uid="{DD0F95DD-BA8A-4DBA-A6E4-423DB37134E8}"/>
    <hyperlink ref="P237" r:id="rId448" display="https://my.zakupki.prom.ua/remote/dispatcher/state_purchase_view/44807604" xr:uid="{C482279C-B1CF-4199-93C7-EBAF4A8C0A22}"/>
    <hyperlink ref="N237" r:id="rId449" xr:uid="{D5047775-90C6-4742-9188-03FAD6A44898}"/>
    <hyperlink ref="N238" r:id="rId450" xr:uid="{268CDBE0-639A-4B01-82EA-83001419741E}"/>
    <hyperlink ref="P238" r:id="rId451" display="https://my.zakupki.prom.ua/remote/dispatcher/state_purchase_view/44854320" xr:uid="{B9D6FF44-8547-4608-8A8A-F453CAC36F06}"/>
    <hyperlink ref="P239" r:id="rId452" display="https://my.zakupki.prom.ua/remote/dispatcher/state_purchase_view/44854535" xr:uid="{D9871E73-F421-4516-8D4C-6ED8C9887A19}"/>
    <hyperlink ref="N239" r:id="rId453" xr:uid="{98C185DD-4A73-47D5-A9DD-88F9438CF12C}"/>
    <hyperlink ref="P240" r:id="rId454" display="https://my.zakupki.prom.ua/remote/dispatcher/state_purchase_view/44854889" xr:uid="{850869A0-25ED-478F-9F87-A5FFAC02C6BC}"/>
    <hyperlink ref="N240" r:id="rId455" xr:uid="{9905D307-1B9E-423A-89D8-BEAF1346201E}"/>
    <hyperlink ref="N241" r:id="rId456" xr:uid="{E305225F-2B9C-4375-8FB1-AFFE24D54534}"/>
    <hyperlink ref="P241" r:id="rId457" display="https://my.zakupki.prom.ua/remote/dispatcher/state_purchase_view/44895251" xr:uid="{F6618595-64A8-4149-8049-DA933376C302}"/>
    <hyperlink ref="P243" r:id="rId458" display="https://my.zakupki.prom.ua/remote/dispatcher/state_purchase_lot_view/1042853" xr:uid="{329855D4-BB93-4B45-B9A7-E653795A36D6}"/>
    <hyperlink ref="N243" r:id="rId459" xr:uid="{7D827F96-8F7F-47C9-B996-09176D77ED0E}"/>
    <hyperlink ref="P244" r:id="rId460" display="https://my.zakupki.prom.ua/remote/dispatcher/state_purchase_view/45103007" xr:uid="{CD4E3FD4-7FB1-48F9-8147-882F55798C0B}"/>
    <hyperlink ref="N244" r:id="rId461" xr:uid="{0F6430A1-459E-498D-8D68-B9769EAC8056}"/>
    <hyperlink ref="P245" r:id="rId462" display="https://my.zakupki.prom.ua/remote/dispatcher/state_purchase_view/45101986" xr:uid="{1E8E9070-90CA-4BA7-B1F5-92F1D5FEDC8C}"/>
    <hyperlink ref="P246" r:id="rId463" display="https://my.zakupki.prom.ua/remote/dispatcher/state_purchase_view/45099204" xr:uid="{462C8EA8-5C82-4395-B62B-8D49D1767571}"/>
    <hyperlink ref="N245" r:id="rId464" xr:uid="{F25FF92F-B3D3-4C18-B1D4-DBC24ED38A5B}"/>
    <hyperlink ref="N246" r:id="rId465" xr:uid="{77E0DE41-7AEF-482A-813E-C8340A13CC76}"/>
    <hyperlink ref="P247" r:id="rId466" display="https://my.zakupki.prom.ua/remote/dispatcher/state_purchase_view/44982124" xr:uid="{756FB20E-D299-454E-8B8E-32D1A2BBC739}"/>
    <hyperlink ref="N247" r:id="rId467" xr:uid="{2F124D32-D58F-4175-B1DE-5575A2E204E1}"/>
    <hyperlink ref="P248" r:id="rId468" display="https://my.zakupki.prom.ua/remote/dispatcher/state_purchase_view/44981628" xr:uid="{C2F78F6D-A80F-432B-897A-BE112E2FE2F7}"/>
    <hyperlink ref="N248" r:id="rId469" xr:uid="{D35582EE-9CF9-42C3-881B-B43C5576663E}"/>
    <hyperlink ref="P249" r:id="rId470" display="https://my.zakupki.prom.ua/remote/dispatcher/state_purchase_view/44980799" xr:uid="{1D5FB23A-B72A-40AC-A5BB-23DD2744E464}"/>
    <hyperlink ref="N249" r:id="rId471" xr:uid="{B2F53BDC-27FF-465D-A6C9-F4474915AF40}"/>
    <hyperlink ref="P250" r:id="rId472" display="https://my.zakupki.prom.ua/remote/dispatcher/state_purchase_view/44980722" xr:uid="{C3D201A9-DB56-4E56-B75D-13431E59C315}"/>
    <hyperlink ref="P251" r:id="rId473" display="https://my.zakupki.prom.ua/remote/dispatcher/state_purchase_view/44947327" xr:uid="{DE577EA6-727C-4F74-9350-3EE010A64F82}"/>
    <hyperlink ref="N250" r:id="rId474" xr:uid="{F32FE55F-98F5-4246-9981-90A5457702C2}"/>
    <hyperlink ref="N251" r:id="rId475" xr:uid="{10AB75FC-1F7D-4954-8EBC-5AA1518B74B8}"/>
    <hyperlink ref="P252" r:id="rId476" display="https://my.zakupki.prom.ua/remote/dispatcher/state_purchase_view/45239472" xr:uid="{58BAC323-554F-4D62-A30C-2537DF526475}"/>
    <hyperlink ref="N252" r:id="rId477" xr:uid="{6FCE57AB-E93D-4F7A-A10A-66B59E4A7B28}"/>
    <hyperlink ref="P253" r:id="rId478" display="https://my.zakupki.prom.ua/remote/dispatcher/state_purchase_view/45277635" xr:uid="{5DE78F3A-F3A8-44F6-8832-7898E37313C9}"/>
    <hyperlink ref="N253" r:id="rId479" xr:uid="{FE1534A9-CC11-41D7-8714-FE26D36E6330}"/>
    <hyperlink ref="P254" r:id="rId480" display="https://my.zakupki.prom.ua/remote/dispatcher/state_purchase_view/45319690" xr:uid="{81EAB63F-8E35-4537-9AB1-BC3B2DCE9B58}"/>
    <hyperlink ref="N254" r:id="rId481" xr:uid="{F8055CAB-38FD-4CF9-8140-B7FAC788660B}"/>
    <hyperlink ref="P255" r:id="rId482" display="https://my.zakupki.prom.ua/remote/dispatcher/state_purchase_view/45367412" xr:uid="{C9985C57-CCD4-403E-B2CC-8FBAAB158241}"/>
    <hyperlink ref="N255" r:id="rId483" xr:uid="{B659C239-2810-4935-9FBD-32C9FFC7B18D}"/>
    <hyperlink ref="N256" r:id="rId484" xr:uid="{DA57DEE5-FE32-4958-820F-EAFB4DFF4414}"/>
    <hyperlink ref="N257" r:id="rId485" xr:uid="{1089A316-B264-4583-8DB2-C697F6BB27FB}"/>
    <hyperlink ref="P258" r:id="rId486" display="https://my.zakupki.prom.ua/remote/dispatcher/state_purchase_view/45419703" xr:uid="{3B4F89D4-864B-4A61-8352-BAAAC03D206F}"/>
    <hyperlink ref="P257" r:id="rId487" display="https://my.zakupki.prom.ua/remote/dispatcher/state_purchase_view/45419691" xr:uid="{2DED3C51-B7C7-4A45-B27B-1D5C1C4588AA}"/>
    <hyperlink ref="N258" r:id="rId488" xr:uid="{7321C950-2F2B-432D-AA48-16AAE3DF085A}"/>
    <hyperlink ref="P259" r:id="rId489" display="https://my.zakupki.prom.ua/remote/dispatcher/state_purchase_view/45482565" xr:uid="{038A8280-BBB6-4AA9-9BE8-717F363E8323}"/>
    <hyperlink ref="N259" r:id="rId490" xr:uid="{4F08030B-DC66-45C1-82B0-F89DF8F698AC}"/>
    <hyperlink ref="P260" r:id="rId491" display="https://my.zakupki.prom.ua/remote/dispatcher/state_purchase_view/45483418" xr:uid="{705D0674-3AA3-404D-8328-FDE106EFC5B4}"/>
    <hyperlink ref="N260" r:id="rId492" xr:uid="{49F28E61-643F-4A32-A777-54973140DAE7}"/>
    <hyperlink ref="P261" r:id="rId493" display="https://my.zakupki.prom.ua/remote/dispatcher/state_purchase_view/45549412" xr:uid="{EECD0541-659E-4985-B775-96D6BB0A3729}"/>
    <hyperlink ref="N261" r:id="rId494" xr:uid="{D38A517F-D9D7-4EB2-9D6A-7B977B03B487}"/>
    <hyperlink ref="P262" r:id="rId495" display="https://my.zakupki.prom.ua/remote/dispatcher/state_purchase_view/45589939" xr:uid="{1B1FFD3B-F596-4344-9B80-27F4FCC78371}"/>
    <hyperlink ref="N262" r:id="rId496" xr:uid="{10CDF3F7-5F68-4620-8E7F-9433038ADEFE}"/>
    <hyperlink ref="P263" r:id="rId497" display="https://my.zakupki.prom.ua/remote/dispatcher/state_purchase_view/45723610" xr:uid="{76EDFC7B-8EF5-431E-B3BA-CE0B4E69E7FC}"/>
    <hyperlink ref="N263" r:id="rId498" xr:uid="{75BC5DA9-006C-451A-90FF-7D4D7F94BBD3}"/>
    <hyperlink ref="P264" r:id="rId499" display="https://my.zakupivli.pro/remote/dispatcher/state_purchase_view/45776105" xr:uid="{11BD9C71-088E-49F8-A1F9-0C85B158A7DE}"/>
    <hyperlink ref="N264" r:id="rId500" xr:uid="{42BF3D71-E0EC-409E-8A76-ED2DA0483A92}"/>
    <hyperlink ref="P265" r:id="rId501" display="https://my.zakupivli.pro/remote/dispatcher/state_purchase_view/45900809" xr:uid="{0F22DB34-A0E7-4F3D-A252-B35B59CE46D0}"/>
    <hyperlink ref="N265" r:id="rId502" xr:uid="{9C24C203-C182-464E-983A-09EFC3D5D798}"/>
    <hyperlink ref="N266" r:id="rId503" xr:uid="{B41AF960-359C-4E37-89E4-8C43D39099A7}"/>
    <hyperlink ref="P266" r:id="rId504" display="https://my.zakupivli.pro/remote/dispatcher/state_purchase_view/46124597" xr:uid="{88335306-1F58-411A-9A6E-14BAB748AD0A}"/>
    <hyperlink ref="P267" r:id="rId505" display="https://my.zakupivli.pro/remote/dispatcher/state_purchase_view/46132051" xr:uid="{2F7AE455-97F1-46AE-AC0F-75D9AA1D2FB5}"/>
    <hyperlink ref="N267" r:id="rId506" xr:uid="{5C486E5E-88B7-40B7-B6D0-EBD7A8E598B1}"/>
    <hyperlink ref="P268" r:id="rId507" display="https://my.zakupivli.pro/remote/dispatcher/state_purchase_view/46171793" xr:uid="{CA32A70B-0B2C-4C58-A7D0-D78EB55CEFB2}"/>
    <hyperlink ref="P269" r:id="rId508" display="https://my.zakupivli.pro/remote/dispatcher/state_purchase_view/46171789" xr:uid="{3E7E826B-999A-4A95-88BB-033833831793}"/>
    <hyperlink ref="P270" r:id="rId509" display="https://my.zakupivli.pro/remote/dispatcher/state_purchase_view/46171200" xr:uid="{326B98CE-F20F-414D-B782-C444D113E143}"/>
    <hyperlink ref="N268" r:id="rId510" xr:uid="{D043E030-09F5-4E37-8E84-1B427ACB8A11}"/>
    <hyperlink ref="N269" r:id="rId511" xr:uid="{AFA68A9E-697B-4FBB-B8FF-274302DF4B1E}"/>
    <hyperlink ref="N270" r:id="rId512" xr:uid="{523C7CE3-A7BD-42AC-A04F-5C3701CBE8ED}"/>
    <hyperlink ref="P271" r:id="rId513" display="https://my.zakupivli.pro/remote/dispatcher/state_purchase_view/46516934" xr:uid="{CC2092C9-7BF9-441F-8170-8D823347C61C}"/>
    <hyperlink ref="P272" r:id="rId514" display="https://my.zakupivli.pro/remote/dispatcher/state_purchase_view/46516207" xr:uid="{115B2E30-CF54-419B-A482-9E799E363263}"/>
    <hyperlink ref="N271" r:id="rId515" xr:uid="{6CEB5566-381D-49BD-A856-8C63AFE9D5AD}"/>
    <hyperlink ref="N272" r:id="rId516" xr:uid="{CD93EB01-D7D9-417E-859F-7988D0008E72}"/>
    <hyperlink ref="P273" r:id="rId517" display="https://my.zakupivli.pro/remote/dispatcher/state_purchase_view/46767750" xr:uid="{9E7D3B30-6A7A-4426-8912-C70548DBE37C}"/>
    <hyperlink ref="N273" r:id="rId518" xr:uid="{46EB2A81-B659-4644-A81E-32B030DEA499}"/>
    <hyperlink ref="P274" r:id="rId519" display="https://my.zakupivli.pro/remote/dispatcher/state_purchase_view/47062887" xr:uid="{D685BB15-6114-4E97-9524-6A4F1335861A}"/>
    <hyperlink ref="N274" r:id="rId520" xr:uid="{85D5536B-3FEA-4124-BDF8-F47FE7D991AC}"/>
    <hyperlink ref="P275" r:id="rId521" display="https://my.zakupivli.pro/remote/dispatcher/state_purchase_view/47064329" xr:uid="{95C8CABE-1271-499B-B0A3-CD7B877BF195}"/>
    <hyperlink ref="N275" r:id="rId522" xr:uid="{B76D6B3A-9D80-4D4E-898A-AA4D5E51F53A}"/>
    <hyperlink ref="P276" r:id="rId523" display="https://my.zakupivli.pro/remote/dispatcher/state_purchase_view/47068707" xr:uid="{11EA5FAF-8C27-4F21-BAEA-F46992F04C0F}"/>
    <hyperlink ref="N276" r:id="rId524" xr:uid="{7E5880D2-9237-47D6-B686-6A19FD4A758F}"/>
    <hyperlink ref="P277" r:id="rId525" display="https://my.zakupivli.pro/remote/dispatcher/state_purchase_view/47090594" xr:uid="{EFCBAA21-4892-4E8F-AF06-8865392F2321}"/>
    <hyperlink ref="N277" r:id="rId526" xr:uid="{5E8692FA-FC7C-4171-8AE7-1947AC56FEFC}"/>
    <hyperlink ref="P278" r:id="rId527" display="https://my.zakupivli.pro/remote/dispatcher/state_purchase_view/47164745" xr:uid="{5DAC383B-742F-4F56-B15E-9B13A50D4105}"/>
    <hyperlink ref="N278" r:id="rId528" xr:uid="{E1248D5E-3B1D-4275-9676-ADB3984D0819}"/>
    <hyperlink ref="P279" r:id="rId529" display="https://my.zakupivli.pro/remote/dispatcher/state_purchase_view/47166044" xr:uid="{DFBDB441-A057-4E66-925F-8E90753B6E0E}"/>
    <hyperlink ref="N279" r:id="rId530" xr:uid="{FB3022B2-6D7A-443C-9608-BE6F382391EC}"/>
    <hyperlink ref="P280" r:id="rId531" display="https://my.zakupivli.pro/remote/dispatcher/state_purchase_view/47305506" xr:uid="{5E54586E-E132-4F9D-AD36-0BAA31EEF781}"/>
    <hyperlink ref="N280" r:id="rId532" xr:uid="{A8680BCE-DF97-44D4-85D6-DB96DA6DC01A}"/>
    <hyperlink ref="P281" r:id="rId533" display="https://my.zakupivli.pro/remote/dispatcher/state_purchase_view/47307414" xr:uid="{7443F389-20D6-492E-9C76-617330C7716B}"/>
    <hyperlink ref="N281" r:id="rId534" xr:uid="{78941864-19A1-4513-A641-4D8E75C30F0D}"/>
    <hyperlink ref="P282" r:id="rId535" display="https://my.zakupivli.pro/remote/dispatcher/state_purchase_view/47317977" xr:uid="{83F3D83C-7240-4FAB-9F19-7720A0D9F148}"/>
    <hyperlink ref="N282" r:id="rId536" xr:uid="{316E5746-69EC-43FF-AC6E-0DDF4E8344DB}"/>
    <hyperlink ref="P283" r:id="rId537" display="https://my.zakupivli.pro/remote/dispatcher/state_purchase_view/47342805" xr:uid="{141473D2-5D3A-4057-82F9-AB639D2429CF}"/>
    <hyperlink ref="N283" r:id="rId538" xr:uid="{A7836F27-531F-4AE0-B29B-7995F34A0825}"/>
    <hyperlink ref="P284" r:id="rId539" display="https://my.zakupivli.pro/remote/dispatcher/state_purchase_view/47358944" xr:uid="{EE4C6348-9FE9-4BFA-83BE-29589CE3B0FA}"/>
    <hyperlink ref="N284" r:id="rId540" xr:uid="{3011F63D-7DD3-407E-8E7E-40E5ECA1F568}"/>
    <hyperlink ref="P285" r:id="rId541" display="https://my.zakupivli.pro/remote/dispatcher/state_purchase_view/47491667" xr:uid="{1B56DE05-C28D-48D6-80D2-FBF13C195033}"/>
    <hyperlink ref="N285" r:id="rId542" xr:uid="{4A84CD57-672F-4416-BEBA-C40C45C7642E}"/>
    <hyperlink ref="P286" r:id="rId543" display="https://my.zakupivli.pro/remote/dispatcher/state_purchase_view/47910696" xr:uid="{4287165F-BDDD-48BA-98F5-AA231576C35E}"/>
    <hyperlink ref="N286" r:id="rId544" xr:uid="{B623663F-0EB9-4425-99D3-F1BE7F2C2E33}"/>
    <hyperlink ref="P287" r:id="rId545" display="https://my.zakupivli.pro/remote/dispatcher/state_purchase_view/47633281" xr:uid="{2A256BEE-9E6A-45DC-B06B-1F17F6364C0E}"/>
    <hyperlink ref="P288" r:id="rId546" display="https://my.zakupivli.pro/remote/dispatcher/state_purchase_view/47633281" xr:uid="{E83AC779-79AF-4267-8CD8-FFD3AECB13A2}"/>
    <hyperlink ref="N287" r:id="rId547" xr:uid="{46E4BD30-86AC-481C-BA7C-37625FF9810E}"/>
    <hyperlink ref="N288" r:id="rId548" xr:uid="{F7268203-1F9D-4C68-88E6-399C6C0C1607}"/>
    <hyperlink ref="P289" r:id="rId549" display="https://my.zakupivli.pro/remote/dispatcher/state_purchase_view/48101499" xr:uid="{DC06E9C7-52E3-4B89-BCF0-1D6070E1B5FD}"/>
    <hyperlink ref="N289" r:id="rId550" xr:uid="{3CDA8FA0-89C3-4E2A-8C06-FD9293BE5366}"/>
    <hyperlink ref="P290" r:id="rId551" display="https://my.zakupivli.pro/remote/dispatcher/state_purchase_view/48103321" xr:uid="{7FB937D3-2DA5-457E-A386-40B3E7956360}"/>
    <hyperlink ref="N290" r:id="rId552" xr:uid="{60FF387B-0AF2-43CD-9291-C9C81F0EC386}"/>
    <hyperlink ref="P291" r:id="rId553" display="https://my.zakupivli.pro/remote/dispatcher/state_purchase_view/48105790" xr:uid="{7EDC3EF0-DB4D-482B-B6E3-3C6199523899}"/>
    <hyperlink ref="P292" r:id="rId554" display="https://my.zakupivli.pro/remote/dispatcher/state_purchase_view/48105477" xr:uid="{AAE3F011-237A-45CE-AA31-D426D54A1704}"/>
    <hyperlink ref="N291" r:id="rId555" xr:uid="{BFA7A750-2AF3-49AD-95F7-C201CF940A83}"/>
    <hyperlink ref="N292" r:id="rId556" xr:uid="{85215DB0-830A-4DEC-9844-4B01A0705EAA}"/>
    <hyperlink ref="P293" r:id="rId557" display="https://my.zakupivli.pro/remote/dispatcher/state_purchase_view/48106223" xr:uid="{87CFECF2-2C04-40EA-836D-22859C0F780D}"/>
    <hyperlink ref="N293" r:id="rId558" xr:uid="{700DA714-8EF4-47B4-A2C1-96297FCB39D7}"/>
    <hyperlink ref="P294" r:id="rId559" display="https://my.zakupivli.pro/remote/dispatcher/state_purchase_view/48106340" xr:uid="{36D00867-5B12-4217-A43B-90710ABA8CD7}"/>
    <hyperlink ref="N294" r:id="rId560" xr:uid="{63EF3F9E-BC74-40DB-81A3-B9F5D55C856A}"/>
    <hyperlink ref="P295" r:id="rId561" display="https://my.zakupivli.pro/remote/dispatcher/state_purchase_view/48106581" xr:uid="{DC0EEE25-B2C1-4DDB-ABFE-2CE88E517228}"/>
    <hyperlink ref="N295" r:id="rId562" xr:uid="{E88F5A8F-3813-4AE6-9C6A-A17CDCD20630}"/>
    <hyperlink ref="P296" r:id="rId563" display="https://my.zakupivli.pro/remote/dispatcher/state_purchase_view/48111319" xr:uid="{7DA3CB46-5812-46EE-9289-59CFA2537FBE}"/>
    <hyperlink ref="P297" r:id="rId564" display="https://my.zakupivli.pro/remote/dispatcher/state_purchase_view/48111316" xr:uid="{CBD3FE5B-23BC-4CFA-88B7-A167600B68C1}"/>
    <hyperlink ref="N296" r:id="rId565" xr:uid="{53531B3D-CC8E-4641-9C9C-8A7820FA81B7}"/>
    <hyperlink ref="N297" r:id="rId566" xr:uid="{0313DCB0-D095-4BD4-8BC2-B26AFE06ABBE}"/>
    <hyperlink ref="P298" r:id="rId567" display="https://my.zakupivli.pro/remote/dispatcher/state_purchase_view/48114851" xr:uid="{903168B5-3A6E-471D-A67B-3DAB784E8647}"/>
    <hyperlink ref="P299" r:id="rId568" display="https://my.zakupivli.pro/remote/dispatcher/state_purchase_view/48113034" xr:uid="{AA61A7C0-2F9C-4770-A34A-82BBD0E4A8E3}"/>
    <hyperlink ref="P300" r:id="rId569" display="https://my.zakupivli.pro/remote/dispatcher/state_purchase_view/48111399" xr:uid="{E3C50B9A-622A-4512-93F2-603B0039CAEC}"/>
    <hyperlink ref="N298" r:id="rId570" xr:uid="{FB83EDA4-B568-44AE-8DB6-4642D2E768E0}"/>
    <hyperlink ref="N299" r:id="rId571" xr:uid="{E4019105-D935-4C73-9284-FCA0F2E5121E}"/>
    <hyperlink ref="N300" r:id="rId572" xr:uid="{6C33E922-A727-486F-9248-0A1FE8FA10C8}"/>
    <hyperlink ref="P301" r:id="rId573" display="https://my.zakupivli.pro/remote/dispatcher/state_purchase_view/48185148" xr:uid="{4E282C55-A843-429E-B791-25C7F6E65D2E}"/>
    <hyperlink ref="P302" r:id="rId574" display="https://my.zakupivli.pro/remote/dispatcher/state_purchase_view/48184528" xr:uid="{94FA9A30-B224-49A8-9873-C51C8623798F}"/>
    <hyperlink ref="N301" r:id="rId575" xr:uid="{2C743287-37D0-40C5-B1CB-0AAFA5E59DDB}"/>
    <hyperlink ref="N302" r:id="rId576" xr:uid="{E7B2726B-A2D8-4E2C-9252-097BF1186DC0}"/>
    <hyperlink ref="P303" r:id="rId577" display="https://my.zakupivli.pro/remote/dispatcher/state_purchase_view/48208692" xr:uid="{3D57D774-F8AB-402B-950B-A64D469EFA1A}"/>
    <hyperlink ref="P304" r:id="rId578" display="https://my.zakupivli.pro/remote/dispatcher/state_purchase_view/48208212" xr:uid="{874BD522-38D2-4837-864C-483D18D5BBFB}"/>
    <hyperlink ref="P305" r:id="rId579" display="https://my.zakupivli.pro/remote/dispatcher/state_purchase_view/48207479" xr:uid="{CF49DBBF-12D4-45E7-8BFA-E29B459C733C}"/>
    <hyperlink ref="N303" r:id="rId580" xr:uid="{77B65C9B-0F19-4AAC-9EE5-57192EDC5789}"/>
    <hyperlink ref="N304" r:id="rId581" xr:uid="{8015C633-DAAD-4A30-9C9A-8C33E2D8FC52}"/>
    <hyperlink ref="N305" r:id="rId582" xr:uid="{1291359B-E24B-4946-A1D4-6A697B1A0CB0}"/>
    <hyperlink ref="P306" r:id="rId583" display="https://my.zakupivli.pro/remote/dispatcher/state_purchase_view/48220144" xr:uid="{EE947850-1850-4481-B564-DDF42370044A}"/>
    <hyperlink ref="P307" r:id="rId584" display="https://my.zakupivli.pro/remote/dispatcher/state_purchase_view/48217755" xr:uid="{18E003D2-FB17-4A57-B564-8A8C80F9B49A}"/>
    <hyperlink ref="P308" r:id="rId585" display="https://my.zakupivli.pro/remote/dispatcher/state_purchase_view/48216345" xr:uid="{FCF3F677-914A-4ED4-9050-A3F076100605}"/>
    <hyperlink ref="N306" r:id="rId586" xr:uid="{4DD744ED-4149-4504-8208-58CE11FA836C}"/>
    <hyperlink ref="N307" r:id="rId587" xr:uid="{9A8DC495-11D2-4222-A8A5-979059742F66}"/>
    <hyperlink ref="N308" r:id="rId588" xr:uid="{142711BD-027F-498F-8BC2-41AEC3545613}"/>
    <hyperlink ref="P309" r:id="rId589" display="https://my.zakupivli.pro/remote/dispatcher/state_purchase_view/48292143" xr:uid="{217886C9-25B4-43F7-9448-0457FA726BBA}"/>
    <hyperlink ref="N309" r:id="rId590" xr:uid="{FE8B2297-60B2-4ADC-8FAD-842BA445CEBE}"/>
    <hyperlink ref="P310" r:id="rId591" display="https://my.zakupivli.pro/remote/dispatcher/state_purchase_view/48324796" xr:uid="{B94FD368-D080-4CD5-81FA-A65EE63220D7}"/>
    <hyperlink ref="P311" r:id="rId592" display="https://my.zakupivli.pro/remote/dispatcher/state_purchase_view/48324529" xr:uid="{A13A9EC0-7482-45CB-B14F-6E939143ABE0}"/>
    <hyperlink ref="N310" r:id="rId593" xr:uid="{54E90211-D408-43B1-A6AF-382152E348E3}"/>
    <hyperlink ref="N311" r:id="rId594" xr:uid="{7EB9BE67-7D50-4162-B61B-F41F694270F9}"/>
    <hyperlink ref="N312" r:id="rId595" xr:uid="{A5E14C4B-54BB-49D4-89F4-A59309850F34}"/>
    <hyperlink ref="P312" r:id="rId596" display="https://my.zakupivli.pro/remote/dispatcher/state_purchase_view/48328503" xr:uid="{5334CBA9-2F4C-4355-841B-C546B464ADEB}"/>
    <hyperlink ref="P313" r:id="rId597" display="https://my.zakupivli.pro/remote/dispatcher/state_purchase_view/48328528" xr:uid="{74AD298C-6552-4F2B-8D58-0F28B01DBB0F}"/>
    <hyperlink ref="N313" r:id="rId598" xr:uid="{ACB014C0-0AC3-4A7D-9A19-C3A72DCC4379}"/>
    <hyperlink ref="P314" r:id="rId599" display="https://my.zakupivli.pro/remote/dispatcher/state_purchase_view/48409874" xr:uid="{8380F0F1-58B7-46FF-B39D-DF9F0B7BA81D}"/>
    <hyperlink ref="P315" r:id="rId600" display="https://my.zakupivli.pro/remote/dispatcher/state_purchase_view/48409206" xr:uid="{9E8F10F3-8FE8-43CD-BC86-0525E1B7070E}"/>
    <hyperlink ref="N314" r:id="rId601" xr:uid="{8FED02A8-4A6B-4AB8-99BA-2CF3C4A14D0A}"/>
    <hyperlink ref="N315" r:id="rId602" xr:uid="{626B9152-25A3-49B5-8478-3D411CBA6AFF}"/>
    <hyperlink ref="P316" r:id="rId603" display="https://my.zakupivli.pro/remote/dispatcher/state_purchase_view/48421027" xr:uid="{84CA5F86-22B6-4C5C-A827-02C16DAF95C5}"/>
    <hyperlink ref="N316" r:id="rId604" xr:uid="{0B348DE7-DD52-4A1F-B4C7-BF3469EFB9E9}"/>
    <hyperlink ref="P317" r:id="rId605" display="https://my.zakupivli.pro/remote/dispatcher/state_purchase_view/48458403" xr:uid="{C8506A59-4ACB-44BC-8B11-43824F050AA1}"/>
    <hyperlink ref="N317" r:id="rId606" xr:uid="{A5BF20BC-4FFD-415E-849E-A7F319171501}"/>
    <hyperlink ref="P318" r:id="rId607" display="https://my.zakupivli.pro/remote/dispatcher/state_purchase_view/48459128" xr:uid="{23EAE21C-34D6-4A97-B7A6-9FFEB886D05B}"/>
    <hyperlink ref="N318" r:id="rId608" xr:uid="{09D8B72A-C9EE-4B02-BC5E-B02E758EEBB5}"/>
    <hyperlink ref="P319" r:id="rId609" display="https://my.zakupivli.pro/remote/dispatcher/state_purchase_view/48459984" xr:uid="{98A22E82-71F1-45BB-8DC9-80B182E710EC}"/>
    <hyperlink ref="N319" r:id="rId610" xr:uid="{48E9FAFC-0A59-41F2-A94B-853960B2FF84}"/>
    <hyperlink ref="P320" r:id="rId611" display="https://my.zakupivli.pro/remote/dispatcher/state_purchase_view/48461006" xr:uid="{EE39E6A2-E0E9-4B5B-902D-F9926AFA9924}"/>
    <hyperlink ref="N320" r:id="rId612" xr:uid="{E4EFA022-161B-4108-9C5D-3336CB9F17C2}"/>
    <hyperlink ref="P321" r:id="rId613" display="https://my.zakupivli.pro/remote/dispatcher/state_purchase_view/48469762" xr:uid="{533BB2A9-5389-4A99-B060-827417E2B525}"/>
    <hyperlink ref="N321" r:id="rId614" xr:uid="{8AD86BB2-331E-4900-A52E-9450B59C5A8C}"/>
    <hyperlink ref="P322" r:id="rId615" display="https://my.zakupivli.pro/remote/dispatcher/state_purchase_view/48479304" xr:uid="{9C4075EE-8EBC-478E-B081-C5B1948AD62D}"/>
    <hyperlink ref="N322" r:id="rId616" xr:uid="{D2BBD2C6-B598-4C25-AAA6-D67A6697D0F1}"/>
    <hyperlink ref="P323" r:id="rId617" display="https://my.zakupivli.pro/remote/dispatcher/state_purchase_view/48484797" xr:uid="{4D951A55-1AD5-42C8-B657-84D2C46DE94D}"/>
    <hyperlink ref="N323" r:id="rId618" xr:uid="{260480B7-2EE3-492E-BD83-E66F59F1A37C}"/>
    <hyperlink ref="P324" r:id="rId619" display="https://my.zakupivli.pro/remote/dispatcher/state_purchase_view/48486803" xr:uid="{CA6F2F88-3255-46EB-AEB6-6735281DA15F}"/>
    <hyperlink ref="N324" r:id="rId620" xr:uid="{C0A786EE-959C-42D2-8D38-4084A2D2C6B4}"/>
    <hyperlink ref="P325" r:id="rId621" display="https://my.zakupivli.pro/remote/dispatcher/state_purchase_view/48486096" xr:uid="{0F96EA38-620F-4BB3-8191-F04BFE69339F}"/>
    <hyperlink ref="N325" r:id="rId622" xr:uid="{CCF8DB01-46DE-4370-8F20-AD4D4C4DCD8E}"/>
    <hyperlink ref="P326" r:id="rId623" display="https://my.zakupivli.pro/remote/dispatcher/state_purchase_view/48488090" xr:uid="{5A8D749A-3AC4-4303-ADCB-7583CC3E02D3}"/>
    <hyperlink ref="N326" r:id="rId624" xr:uid="{099BBCEA-E90A-4E89-B389-0517299E2A78}"/>
    <hyperlink ref="P327" r:id="rId625" display="https://my.zakupivli.pro/remote/dispatcher/state_purchase_view/48492237" xr:uid="{4049A486-09D4-4FCC-94EB-2F5610E3A26C}"/>
    <hyperlink ref="N327" r:id="rId626" xr:uid="{521A0D01-585D-4F1D-BD73-E0D6D876CA1D}"/>
    <hyperlink ref="P328" r:id="rId627" display="https://my.zakupivli.pro/remote/dispatcher/state_purchase_view/48567018" xr:uid="{01EC758E-66BD-4592-9EEF-A1BBAAD42423}"/>
    <hyperlink ref="P329" r:id="rId628" display="https://my.zakupivli.pro/remote/dispatcher/state_purchase_view/48555711" xr:uid="{8B5F7998-AC5F-4BB4-BD17-1FFB60980770}"/>
    <hyperlink ref="P330" r:id="rId629" display="https://my.zakupivli.pro/remote/dispatcher/state_purchase_view/48552651" xr:uid="{371B5630-B3EB-4A5E-B9BE-187FC1A1CC07}"/>
    <hyperlink ref="P331" r:id="rId630" display="https://my.zakupivli.pro/remote/dispatcher/state_purchase_view/48552028" xr:uid="{55604A43-B993-41EB-9555-3F92BFB6EDD4}"/>
    <hyperlink ref="N328" r:id="rId631" xr:uid="{CE3F6164-D469-4D12-B61E-FB2373B40542}"/>
    <hyperlink ref="N329" r:id="rId632" xr:uid="{6A10F7B3-1C9A-42F5-B3FD-F3DA01548AFC}"/>
    <hyperlink ref="N330" r:id="rId633" xr:uid="{69430160-E421-48C1-A2A2-AD1A57322823}"/>
    <hyperlink ref="N331" r:id="rId634" xr:uid="{CB131B6D-FF08-40FA-96AD-8888C96F68AD}"/>
    <hyperlink ref="P332" r:id="rId635" display="https://my.zakupivli.pro/remote/dispatcher/state_purchase_view/48603959" xr:uid="{CCA9DA7A-8B02-4FFD-9110-93EBA0F826AA}"/>
    <hyperlink ref="N332" r:id="rId636" xr:uid="{14C8EDAD-BE6F-49B4-8BF8-EA1FB79C318A}"/>
    <hyperlink ref="P333" r:id="rId637" display="https://my.zakupivli.pro/remote/dispatcher/state_purchase_view/48579121" xr:uid="{32A60C36-B421-4D44-B76E-C8711C465114}"/>
    <hyperlink ref="P334" r:id="rId638" display="https://my.zakupivli.pro/remote/dispatcher/state_purchase_view/48579121" xr:uid="{1933C65F-5519-4FE8-A572-122BF8D123FB}"/>
    <hyperlink ref="P335" r:id="rId639" display="https://my.zakupivli.pro/remote/dispatcher/state_purchase_view/48579121" xr:uid="{80737388-8DD6-411C-8D55-6CD27DF6F12C}"/>
    <hyperlink ref="P336" r:id="rId640" display="https://my.zakupivli.pro/remote/dispatcher/state_purchase_view/48579121" xr:uid="{8E6899B4-9A3F-42C4-9C5C-8D1D769E4807}"/>
    <hyperlink ref="P337" r:id="rId641" display="https://my.zakupivli.pro/remote/dispatcher/state_purchase_view/48579121" xr:uid="{14210DC6-52F5-40DC-818A-4E2DB906E5B3}"/>
    <hyperlink ref="N333" r:id="rId642" xr:uid="{20BC443A-226B-41D1-AED2-81AF9E589628}"/>
    <hyperlink ref="N334" r:id="rId643" xr:uid="{C2BE1DEF-23E0-4018-9964-320A4F91C61A}"/>
    <hyperlink ref="N335" r:id="rId644" xr:uid="{1FA947E5-06A1-499B-86C9-662E15BC44CA}"/>
    <hyperlink ref="N336" r:id="rId645" xr:uid="{6F1264AA-F2EC-4C8A-BFFC-4AF90FE31542}"/>
    <hyperlink ref="N337" r:id="rId646" xr:uid="{13B2DC3B-82FE-4376-9DF6-9F39D087F6DB}"/>
    <hyperlink ref="P338" r:id="rId647" display="https://my.zakupivli.pro/remote/dispatcher/state_purchase_view/48628967" xr:uid="{48DCC166-56F9-47F1-B97E-20C39C1ECCDF}"/>
    <hyperlink ref="N338" r:id="rId648" xr:uid="{E9A9839E-7634-406F-9A29-D5EA3D9625B4}"/>
    <hyperlink ref="P339" r:id="rId649" display="https://my.zakupivli.pro/remote/dispatcher/state_purchase_view/48638355" xr:uid="{EBA13651-E6B0-427B-AD01-DC74DE1ADABC}"/>
    <hyperlink ref="P340" r:id="rId650" display="https://my.zakupivli.pro/remote/dispatcher/state_purchase_view/48638355" xr:uid="{FF726A5B-8093-482F-86D1-98D596FE3AE5}"/>
    <hyperlink ref="P341" r:id="rId651" display="https://my.zakupivli.pro/remote/dispatcher/state_purchase_view/48638355" xr:uid="{AA002FBD-C68C-42DA-AA56-F48EA82219D7}"/>
    <hyperlink ref="P342" r:id="rId652" display="https://my.zakupivli.pro/remote/dispatcher/state_purchase_view/48637783" xr:uid="{623D3D28-A3BD-4C56-A80C-DEAF64D6FF2C}"/>
    <hyperlink ref="N339" r:id="rId653" xr:uid="{E6A405FD-D317-4D5D-A6C0-0A3B9AAE7B01}"/>
    <hyperlink ref="N340" r:id="rId654" xr:uid="{431BE5DC-658E-413B-AC61-FE9810BF8A39}"/>
    <hyperlink ref="N341" r:id="rId655" xr:uid="{1A8F5067-149B-4645-B7F5-E115A87D21AB}"/>
    <hyperlink ref="N342" r:id="rId656" xr:uid="{1838FD33-B0A8-44A8-AA77-9D511A2663A4}"/>
    <hyperlink ref="P343" r:id="rId657" display="https://my.zakupivli.pro/remote/dispatcher/state_purchase_view/48664390" xr:uid="{F7084D50-5433-408E-B290-636B96D1ADAC}"/>
    <hyperlink ref="N343" r:id="rId658" xr:uid="{DC5D2E22-2BB5-48A6-B9F6-D67EF470F9BE}"/>
    <hyperlink ref="P344" r:id="rId659" display="https://my.zakupivli.pro/remote/dispatcher/state_purchase_view/48688184" xr:uid="{E446EF17-6369-436C-B434-267F38030B34}"/>
    <hyperlink ref="P345" r:id="rId660" display="https://my.zakupivli.pro/remote/dispatcher/state_purchase_view/48687397" xr:uid="{79357B14-B78A-4FB4-868A-01BEA5F099C7}"/>
    <hyperlink ref="P346" r:id="rId661" display="https://my.zakupivli.pro/remote/dispatcher/state_purchase_view/48686800" xr:uid="{FCA74AED-83EF-4BC5-81F5-EF989CE053D6}"/>
    <hyperlink ref="P347" r:id="rId662" display="https://my.zakupivli.pro/remote/dispatcher/state_purchase_view/48686589" xr:uid="{8CB7FD43-B3CB-48EF-A721-96BA50D6FF87}"/>
    <hyperlink ref="P348" r:id="rId663" display="https://my.zakupivli.pro/remote/dispatcher/state_purchase_view/48686004" xr:uid="{DE258B6E-ECBC-46B9-9A7F-641FD9D18513}"/>
    <hyperlink ref="P349" r:id="rId664" display="https://my.zakupivli.pro/remote/dispatcher/state_purchase_view/48685781" xr:uid="{BB8C5078-6357-40EB-AFDD-1B0E88D5F8B1}"/>
    <hyperlink ref="P350" r:id="rId665" display="https://my.zakupivli.pro/remote/dispatcher/state_purchase_view/48685400" xr:uid="{898A64C0-B939-4C2F-83F1-D5509B5BC6F1}"/>
    <hyperlink ref="N344" r:id="rId666" xr:uid="{AB314F08-0D50-45A6-9E3E-FE1B192300CB}"/>
    <hyperlink ref="N345" r:id="rId667" xr:uid="{697627D9-D76E-4BFA-BD6A-E3725DA7B9BF}"/>
    <hyperlink ref="N346" r:id="rId668" xr:uid="{D7FEA654-14B4-475A-B630-3EA30637B158}"/>
    <hyperlink ref="N347" r:id="rId669" xr:uid="{3B644385-4130-4FF6-AB21-75489FFD5FE9}"/>
    <hyperlink ref="N348" r:id="rId670" xr:uid="{E505330F-5214-4252-A20E-764CA0EFA586}"/>
    <hyperlink ref="N349" r:id="rId671" xr:uid="{1700885D-F4D2-484B-BBD7-0C3440715B08}"/>
    <hyperlink ref="N350" r:id="rId672" xr:uid="{DBDD28F0-7344-4ADA-BD59-310A29CC808F}"/>
    <hyperlink ref="P351" r:id="rId673" display="https://my.zakupivli.pro/remote/dispatcher/state_purchase_view/48742399" xr:uid="{2B778F3C-F222-4A67-ABC4-1FE2B5DFFA53}"/>
    <hyperlink ref="N351" r:id="rId674" xr:uid="{1C7F91B5-546C-4599-A987-911CE4009447}"/>
    <hyperlink ref="P352" r:id="rId675" display="https://my.zakupivli.pro/remote/dispatcher/state_purchase_view/48819624" xr:uid="{E15E446B-0AB7-44BA-8E83-D3F0D235EAF2}"/>
    <hyperlink ref="N352" r:id="rId676" xr:uid="{DAC22971-5EE5-474D-BEF0-DE4AE8CD6A23}"/>
    <hyperlink ref="P353" r:id="rId677" display="https://my.zakupivli.pro/remote/dispatcher/state_purchase_view/48824211" xr:uid="{04BA262F-BD80-4D3A-899E-F753C260ECCE}"/>
    <hyperlink ref="N353" r:id="rId678" xr:uid="{C9C5242B-C715-4F7E-BED8-DC19D70C2840}"/>
    <hyperlink ref="P354" r:id="rId679" display="https://my.zakupivli.pro/remote/dispatcher/state_purchase_view/48824354" xr:uid="{A1BF85A0-2AED-43D9-9F24-0700C519B75E}"/>
    <hyperlink ref="N354" r:id="rId680" xr:uid="{7496DFFE-03F0-4E51-9434-A00539FA6485}"/>
    <hyperlink ref="P355" r:id="rId681" display="https://my.zakupivli.pro/remote/dispatcher/state_purchase_view/48825205" xr:uid="{98691552-6D29-4E92-9E2E-E4A219076934}"/>
    <hyperlink ref="P356" r:id="rId682" display="https://my.zakupivli.pro/remote/dispatcher/state_purchase_view/48825190" xr:uid="{B3741931-B7C7-412B-AD4D-B00D2B21CFEA}"/>
    <hyperlink ref="N355" r:id="rId683" xr:uid="{4B912F45-6BE7-49C8-8A99-0DB87EE6EF17}"/>
    <hyperlink ref="N356" r:id="rId684" xr:uid="{C524A09C-07D6-4C0B-863F-74CC4886D40D}"/>
    <hyperlink ref="P357" r:id="rId685" display="https://my.zakupivli.pro/remote/dispatcher/state_purchase_view/48826096" xr:uid="{1CCEF8A2-6EEE-4D2B-A71C-8A632B61EA86}"/>
    <hyperlink ref="P358" r:id="rId686" display="https://my.zakupivli.pro/remote/dispatcher/state_purchase_view/48825340" xr:uid="{ED36AD7E-1B3B-4F4E-8268-0F7ADF0C8222}"/>
    <hyperlink ref="N357" r:id="rId687" xr:uid="{6C691EC4-1C8E-4F15-B024-481ED2BDD247}"/>
    <hyperlink ref="N358" r:id="rId688" xr:uid="{12546F4B-AD56-4116-ACBB-A4F834813232}"/>
    <hyperlink ref="P359" r:id="rId689" display="https://my.zakupivli.pro/remote/dispatcher/state_purchase_view/48826700" xr:uid="{85A89741-3493-4C66-AE7B-1A333EA60C19}"/>
    <hyperlink ref="N359" r:id="rId690" xr:uid="{164637BE-F163-4B14-9AA8-335DF7C53BB7}"/>
    <hyperlink ref="P360" r:id="rId691" display="https://my.zakupivli.pro/remote/dispatcher/state_purchase_view/48832012" xr:uid="{E2D56663-3B2E-41E9-B5C3-9CA8B0B56AF5}"/>
    <hyperlink ref="P361" r:id="rId692" display="https://my.zakupivli.pro/remote/dispatcher/state_purchase_view/48832012" xr:uid="{30A6DFB0-59BC-4858-90C0-95FE43E81A34}"/>
    <hyperlink ref="N360" r:id="rId693" xr:uid="{4E5C9DD2-C9CB-49B8-A634-1CCC842A3DE5}"/>
    <hyperlink ref="N361" r:id="rId694" xr:uid="{AD874A60-7D62-4F87-9E9E-A512AB8D3C3E}"/>
    <hyperlink ref="P362" r:id="rId695" display="https://my.zakupivli.pro/remote/dispatcher/state_purchase_view/48865177" xr:uid="{7A0046D8-65C0-46B9-9DB0-E5DBB3B8C493}"/>
    <hyperlink ref="N362" r:id="rId696" xr:uid="{92CC27E4-0C48-4DAC-8037-AB6499225BCB}"/>
    <hyperlink ref="P363" r:id="rId697" display="https://my.zakupivli.pro/remote/dispatcher/state_purchase_view/48871901" xr:uid="{60CF2A23-5AF2-4356-9CFF-CF41E7811849}"/>
    <hyperlink ref="N363" r:id="rId698" xr:uid="{EBDE42C6-479F-46AD-AF42-6876B18835D5}"/>
    <hyperlink ref="P364" r:id="rId699" display="https://my.zakupivli.pro/remote/dispatcher/state_purchase_view/48872463" xr:uid="{9CA97A8D-328F-44D4-B006-2C674B4804F9}"/>
    <hyperlink ref="P365" r:id="rId700" display="https://my.zakupivli.pro/remote/dispatcher/state_purchase_view/48872463" xr:uid="{6CF2C941-FAD1-4076-8974-D0E7049C609E}"/>
    <hyperlink ref="N364" r:id="rId701" xr:uid="{5EFD6AA9-BEDD-4CE9-8419-D73D3A209188}"/>
    <hyperlink ref="N365" r:id="rId702" xr:uid="{D5B78441-B691-4BAF-8804-561952BDDBB1}"/>
    <hyperlink ref="P366" r:id="rId703" display="https://my.zakupivli.pro/remote/dispatcher/state_purchase_view/48872774" xr:uid="{FBA97339-1321-42C3-9A13-70D4DF3BD1FF}"/>
    <hyperlink ref="N366" r:id="rId704" xr:uid="{B94B3E32-36E8-4A7D-A1C6-AFAB06A5C52D}"/>
    <hyperlink ref="P367" r:id="rId705" display="https://my.zakupivli.pro/remote/dispatcher/state_purchase_view/48907510" xr:uid="{7F352464-C42E-4A41-ACF5-F4737BE2B241}"/>
    <hyperlink ref="N367" r:id="rId706" xr:uid="{D2202B03-9EA3-4999-A833-B0D3B079EAEE}"/>
    <hyperlink ref="P368" r:id="rId707" display="https://my.zakupivli.pro/remote/dispatcher/state_purchase_view/48907510" xr:uid="{868C82D5-72B2-46CC-9B93-91D409814577}"/>
    <hyperlink ref="N368" r:id="rId708" xr:uid="{349C6CDD-C4A9-4E13-8BBE-11C0F2EABF3A}"/>
    <hyperlink ref="P369" r:id="rId709" display="https://my.zakupivli.pro/remote/dispatcher/state_purchase_view/48907505" xr:uid="{E3D4427A-6A05-4622-B2FA-C3D511A681C8}"/>
    <hyperlink ref="N369" r:id="rId710" xr:uid="{5D7F2190-3202-4106-83E8-F8E982BAF1FC}"/>
    <hyperlink ref="P370" r:id="rId711" display="https://my.zakupivli.pro/remote/dispatcher/state_purchase_view/48907317" xr:uid="{6377A03E-2A21-4923-949F-4074A9F25BE9}"/>
    <hyperlink ref="N370" r:id="rId712" xr:uid="{CCAF7898-CDAE-43A3-BA85-1F669684EBB6}"/>
    <hyperlink ref="P371" r:id="rId713" display="https://my.zakupivli.pro/remote/dispatcher/state_purchase_view/48907249" xr:uid="{3D325314-F6B2-4D44-B99D-17DE1072C4AA}"/>
    <hyperlink ref="N371" r:id="rId714" xr:uid="{20F6DEAD-AFB1-4F67-B47D-31315488C8A8}"/>
    <hyperlink ref="P372:P375" r:id="rId715" display="https://my.zakupivli.pro/remote/dispatcher/state_purchase_view/48906477" xr:uid="{5C70B8C4-FA0A-422B-BCC7-56C4156BFE02}"/>
    <hyperlink ref="N375" r:id="rId716" xr:uid="{F35F950B-EB99-4146-B377-AA63711D484A}"/>
    <hyperlink ref="N374" r:id="rId717" xr:uid="{1E1481C7-89A7-40CE-B588-7DA236CDE66B}"/>
    <hyperlink ref="N373" r:id="rId718" xr:uid="{90125CA2-81A4-4DC6-A57C-AFDDD6C50543}"/>
    <hyperlink ref="N372" r:id="rId719" xr:uid="{44DA6776-7D9F-4A56-8515-0485F4CC20B6}"/>
    <hyperlink ref="P376" r:id="rId720" display="https://my.zakupivli.pro/remote/dispatcher/state_purchase_view/48906433" xr:uid="{AFAB216E-72C5-44B8-BE74-BF75E1CC35A4}"/>
    <hyperlink ref="N376" r:id="rId721" xr:uid="{9A31200D-0255-4EA7-997F-C2FC5478F6E4}"/>
    <hyperlink ref="P377" r:id="rId722" display="https://my.zakupivli.pro/remote/dispatcher/state_purchase_view/48906057" xr:uid="{611110D1-67AC-48BA-84C7-205BEE5C13F1}"/>
    <hyperlink ref="P378" r:id="rId723" display="https://my.zakupivli.pro/remote/dispatcher/state_purchase_view/48906057" xr:uid="{809F2561-065F-4E32-A6D9-BA307E3B9DFE}"/>
    <hyperlink ref="N377" r:id="rId724" xr:uid="{CA7D5942-93C7-48CA-8A8D-F3DEF590BBAF}"/>
    <hyperlink ref="N378" r:id="rId725" xr:uid="{577F3143-F16B-417D-8207-877D4AFC45F6}"/>
    <hyperlink ref="P379" r:id="rId726" display="https://my.zakupivli.pro/remote/dispatcher/state_purchase_view/48905507" xr:uid="{1BA920DD-6267-4D17-AC72-AB8ECB9AC70F}"/>
    <hyperlink ref="N379" r:id="rId727" xr:uid="{1F681C5D-D1D8-44B9-9C14-4405C5B10F7B}"/>
    <hyperlink ref="P380" r:id="rId728" display="https://my.zakupivli.pro/remote/dispatcher/state_purchase_view/48905205" xr:uid="{2CACEF20-E913-48F2-93A2-5ADE59FFF0DB}"/>
    <hyperlink ref="N380" r:id="rId729" xr:uid="{B6644788-C833-41A5-AFFF-9A309C87E1AC}"/>
    <hyperlink ref="P381" r:id="rId730" display="https://my.zakupivli.pro/remote/dispatcher/state_purchase_view/48904634" xr:uid="{E8E8B2C8-4D86-4A64-B282-75B878A0ED0E}"/>
    <hyperlink ref="N381" r:id="rId731" xr:uid="{CCDE35B8-E8A5-403F-A267-7D95787E32DD}"/>
    <hyperlink ref="P382" r:id="rId732" display="https://my.zakupivli.pro/remote/dispatcher/state_purchase_view/48904467" xr:uid="{629519E1-99FF-4D77-B092-D1F9E3BF804D}"/>
    <hyperlink ref="N382" r:id="rId733" xr:uid="{4B131B59-37CF-4964-B79E-B9CA71F0F3C2}"/>
    <hyperlink ref="P383" r:id="rId734" display="https://my.zakupivli.pro/remote/dispatcher/state_purchase_view/48904066" xr:uid="{F8D8253D-4A4F-4412-8DA8-56CA69346ED5}"/>
    <hyperlink ref="N383" r:id="rId735" xr:uid="{750F6D17-E960-42DC-AB6E-5CEF37D1C95B}"/>
    <hyperlink ref="P384" r:id="rId736" display="https://my.zakupivli.pro/remote/dispatcher/state_purchase_view/48903944" xr:uid="{9072EFFA-1492-49BA-B77D-F099D1ABF3B1}"/>
    <hyperlink ref="P385" r:id="rId737" display="https://my.zakupivli.pro/remote/dispatcher/state_purchase_view/48903944" xr:uid="{C77D062A-E5C4-41DD-9D62-ED6125B963AF}"/>
    <hyperlink ref="N384" r:id="rId738" xr:uid="{5CCA5268-6A67-4670-BDE5-501E63E12987}"/>
    <hyperlink ref="N385" r:id="rId739" xr:uid="{949EE036-35E6-4529-AC93-83C18FFCE19B}"/>
    <hyperlink ref="P386" r:id="rId740" display="https://my.zakupivli.pro/remote/dispatcher/state_purchase_view/48903877" xr:uid="{5DB61E06-F82E-47F4-84CF-B4173BA0DD18}"/>
    <hyperlink ref="N386" r:id="rId741" xr:uid="{19C1EC7C-73C6-4B33-AB1A-FF84EF8B6F0F}"/>
    <hyperlink ref="P387" r:id="rId742" display="https://my.zakupivli.pro/remote/dispatcher/state_purchase_view/48903690" xr:uid="{9B69C3C9-EFC2-4E09-8DC3-1474495BA151}"/>
    <hyperlink ref="N387" r:id="rId743" xr:uid="{E78D05D4-8543-4A2E-B51D-4BC342E1B245}"/>
    <hyperlink ref="P388" r:id="rId744" display="https://my.zakupivli.pro/remote/dispatcher/state_purchase_view/48903252" xr:uid="{F1614E9F-37EE-47C2-BCBB-A9EF5A88D713}"/>
    <hyperlink ref="N388" r:id="rId745" xr:uid="{CC41300D-896C-40AF-92CE-09728CD34E66}"/>
    <hyperlink ref="P389" r:id="rId746" display="https://my.zakupivli.pro/remote/dispatcher/state_purchase_view/48903036" xr:uid="{D5CE2BA1-B36E-478D-935B-891E5B8E593D}"/>
    <hyperlink ref="N389" r:id="rId747" xr:uid="{5D3B7F37-8818-41B0-9639-A485D5E46F91}"/>
    <hyperlink ref="P390" r:id="rId748" display="https://my.zakupivli.pro/remote/dispatcher/state_purchase_view/48906947" xr:uid="{080AB875-B941-428B-8B97-A6D14C74D6DA}"/>
    <hyperlink ref="P391" r:id="rId749" display="https://my.zakupivli.pro/remote/dispatcher/state_purchase_view/48880326" xr:uid="{71426783-799A-4F0D-B257-574B8E1B52A9}"/>
    <hyperlink ref="P392" r:id="rId750" display="https://my.zakupivli.pro/remote/dispatcher/state_purchase_view/48879722" xr:uid="{FAB2F1F4-7DDA-41EC-8872-0A1C72B1A480}"/>
    <hyperlink ref="N390" r:id="rId751" xr:uid="{243FB5C6-D041-4E7B-87EA-257E01EDB105}"/>
    <hyperlink ref="N391" r:id="rId752" xr:uid="{7B7BE5FD-9D73-42C5-B81E-2F712C1E861C}"/>
    <hyperlink ref="N392" r:id="rId753" xr:uid="{E5589BE8-90DF-48EC-8EC6-E5FF735E0862}"/>
    <hyperlink ref="P393" r:id="rId754" display="https://my.zakupivli.pro/remote/dispatcher/state_purchase_view/48908684" xr:uid="{B9555AC1-1DA3-4FB3-8A0B-835860DCD125}"/>
    <hyperlink ref="N393" r:id="rId755" xr:uid="{AFE1FC45-E0E2-428D-A24B-5DC0AF0AA458}"/>
    <hyperlink ref="P394" r:id="rId756" display="https://my.zakupivli.pro/remote/dispatcher/state_purchase_view/48908032" xr:uid="{512FD74B-E8E0-4A07-89F4-0055D74623C9}"/>
    <hyperlink ref="P395" r:id="rId757" display="https://my.zakupivli.pro/remote/dispatcher/state_purchase_view/48908032" xr:uid="{40F46077-2A51-49E8-8461-90FF84B559DF}"/>
    <hyperlink ref="N394" r:id="rId758" xr:uid="{54D59C7B-0B8D-4BE6-B812-CC7D10C1BA53}"/>
    <hyperlink ref="N395" r:id="rId759" xr:uid="{77DD0F0F-8287-411F-AA3C-93DA70DEF849}"/>
    <hyperlink ref="P396" r:id="rId760" display="https://my.zakupivli.pro/remote/dispatcher/state_purchase_view/48907751" xr:uid="{560BE50C-AFEC-4A50-9ADB-33AAE17F2F80}"/>
    <hyperlink ref="P397" r:id="rId761" display="https://my.zakupivli.pro/remote/dispatcher/state_purchase_view/48907751" xr:uid="{376BF796-43FD-4FC0-AA4C-405209E036CF}"/>
    <hyperlink ref="N396" r:id="rId762" xr:uid="{8138C015-A214-4092-8A9C-7A40205BC1F3}"/>
    <hyperlink ref="N397" r:id="rId763" xr:uid="{47050AA5-C363-42C7-8C84-964CF19A118B}"/>
    <hyperlink ref="P398" r:id="rId764" display="https://my.zakupivli.pro/remote/dispatcher/state_purchase_view/48907725" xr:uid="{277982B8-E4B4-4B8D-B57E-47520CFFFFB3}"/>
    <hyperlink ref="P399" r:id="rId765" display="https://my.zakupivli.pro/remote/dispatcher/state_purchase_view/48907510" xr:uid="{CA0C2D0C-0FEA-4E4A-AAE2-47FB620AA83E}"/>
    <hyperlink ref="N398" r:id="rId766" xr:uid="{EB0C26EC-BFE4-4CD8-B778-63A3C4DA8C1A}"/>
    <hyperlink ref="N399" r:id="rId767" xr:uid="{DF4ADAD2-D2B1-46E2-B824-7DDD7D5D5A51}"/>
    <hyperlink ref="P400" r:id="rId768" display="https://my.zakupivli.pro/remote/dispatcher/state_purchase_view/48969987" xr:uid="{D4DC4293-5B08-4B36-BFF3-00DC3F5AC6F0}"/>
    <hyperlink ref="N400" r:id="rId769" xr:uid="{4B258591-BB95-4C7B-8702-C0F0CE667919}"/>
    <hyperlink ref="P401" r:id="rId770" display="https://my.zakupivli.pro/remote/dispatcher/state_purchase_view/48971877" xr:uid="{85B5F6E5-0005-47BA-AE45-AB5B9EF14F42}"/>
    <hyperlink ref="P402" r:id="rId771" display="https://my.zakupivli.pro/remote/dispatcher/state_purchase_view/48971877" xr:uid="{4FD94727-F9E2-4518-97C1-6F09578F22C7}"/>
    <hyperlink ref="P403" r:id="rId772" display="https://my.zakupivli.pro/remote/dispatcher/state_purchase_view/48971877" xr:uid="{843301A1-4E80-4144-8FCD-39AEBE3EBEE1}"/>
    <hyperlink ref="P404" r:id="rId773" display="https://my.zakupivli.pro/remote/dispatcher/state_purchase_view/48971877" xr:uid="{29980773-069A-43B4-A1B9-83DDC73559F6}"/>
    <hyperlink ref="P405" r:id="rId774" display="https://my.zakupivli.pro/remote/dispatcher/state_purchase_view/48971877" xr:uid="{96CDAEE6-01FB-49B2-B1AA-200A00459673}"/>
    <hyperlink ref="P406" r:id="rId775" display="https://my.zakupivli.pro/remote/dispatcher/state_purchase_view/48971877" xr:uid="{1D21EFF1-884C-4FB4-8F32-CD5F8DFAD5F5}"/>
    <hyperlink ref="N401" r:id="rId776" xr:uid="{74CFE48E-C178-4A14-A490-FE415178428F}"/>
    <hyperlink ref="N402" r:id="rId777" xr:uid="{BDBB5688-7271-40F5-A819-E62FC7AEA30C}"/>
    <hyperlink ref="N403" r:id="rId778" xr:uid="{C40524D4-2D6D-4FBB-8415-BD2B8DA0E117}"/>
    <hyperlink ref="N404" r:id="rId779" xr:uid="{83513169-FF81-41A0-9B14-399F7AA27E49}"/>
    <hyperlink ref="N405" r:id="rId780" xr:uid="{596B20B3-427D-4FFC-B5ED-75203A039DAC}"/>
    <hyperlink ref="N406" r:id="rId781" xr:uid="{97154894-A95F-4A8E-B273-45F6CB293249}"/>
    <hyperlink ref="P407" r:id="rId782" display="https://my.zakupivli.pro/remote/dispatcher/state_purchase_view/49007933" xr:uid="{A6A687E2-2BAE-4FD9-A137-7CBB3DBB29B1}"/>
    <hyperlink ref="N407" r:id="rId783" xr:uid="{E82D4125-B4B9-4519-841F-CC3EB5164DA6}"/>
    <hyperlink ref="P408" r:id="rId784" display="https://my.zakupivli.pro/remote/dispatcher/state_purchase_view/49014231" xr:uid="{74E518D7-3BF5-4FAD-9B10-C7867341CF20}"/>
    <hyperlink ref="P409" r:id="rId785" display="https://my.zakupivli.pro/remote/dispatcher/state_purchase_view/49012404" xr:uid="{AE55DFE3-A38B-4E63-AA7E-B3C283F05551}"/>
    <hyperlink ref="N408" r:id="rId786" xr:uid="{958041A6-D452-49ED-9288-4774DD940C6A}"/>
    <hyperlink ref="N409" r:id="rId787" xr:uid="{A8B82CC5-B4CA-4C43-94A5-A43926FA4B44}"/>
    <hyperlink ref="P410" r:id="rId788" display="https://my.zakupivli.pro/remote/dispatcher/state_purchase_view/49027603" xr:uid="{D457EDD3-F8E7-460B-BA9B-95D97A7BA033}"/>
    <hyperlink ref="P411" r:id="rId789" display="https://my.zakupivli.pro/remote/dispatcher/state_purchase_view/49027323" xr:uid="{1FA12495-BF30-4C31-A88C-97F63E2456FF}"/>
    <hyperlink ref="P412" r:id="rId790" display="https://my.zakupivli.pro/remote/dispatcher/state_purchase_view/49026827" xr:uid="{09B851AB-E0C9-40FC-81B1-7F17C73D176E}"/>
    <hyperlink ref="P413" r:id="rId791" display="https://my.zakupivli.pro/remote/dispatcher/state_purchase_view/49026308" xr:uid="{40E0C2D5-A813-4821-80EA-9669C4A1A9DD}"/>
    <hyperlink ref="P414" r:id="rId792" display="https://my.zakupivli.pro/remote/dispatcher/state_purchase_view/49025987" xr:uid="{2D58739F-1730-49DE-B4BA-BD4F2E0F8755}"/>
    <hyperlink ref="N410" r:id="rId793" xr:uid="{40F9B118-8211-4F31-9D6E-E567FFFCC2A7}"/>
    <hyperlink ref="N411" r:id="rId794" xr:uid="{7AA010D0-4E89-4FE4-BE1B-4B732B03975F}"/>
    <hyperlink ref="N412" r:id="rId795" xr:uid="{E1E3DED3-943C-4BC9-AAF1-3DA1772B8A97}"/>
    <hyperlink ref="N413" r:id="rId796" xr:uid="{0F4F0CD2-2080-43A7-9839-7E03FCCDB8F2}"/>
    <hyperlink ref="N414" r:id="rId797" xr:uid="{F3939C4F-9526-46B1-B169-8146C4223C95}"/>
    <hyperlink ref="P415" r:id="rId798" display="https://my.zakupivli.pro/remote/dispatcher/state_purchase_view/49051879" xr:uid="{69A47692-302D-4857-806F-ECA9FDD9F36D}"/>
    <hyperlink ref="P416" r:id="rId799" display="https://my.zakupivli.pro/remote/dispatcher/state_purchase_view/49051488" xr:uid="{54A062E1-3DDF-4AE8-AF12-FF212D368EB5}"/>
    <hyperlink ref="P417" r:id="rId800" display="https://my.zakupivli.pro/remote/dispatcher/state_purchase_view/49049714" xr:uid="{E29D6B14-C51F-48D2-97D9-0340B905D65E}"/>
    <hyperlink ref="N415" r:id="rId801" xr:uid="{993433EC-5335-4511-9152-8DE35C2C0EFA}"/>
    <hyperlink ref="N416" r:id="rId802" xr:uid="{0F0A8465-70C6-493E-8304-1AA08729F706}"/>
    <hyperlink ref="N417" r:id="rId803" xr:uid="{440C2A7B-A4C4-434C-A298-048134E715F5}"/>
    <hyperlink ref="P418" r:id="rId804" display="https://my.zakupivli.pro/remote/dispatcher/state_purchase_view/49052400" xr:uid="{18169DC9-1DB9-4C49-8CB9-2F1A7B1DC136}"/>
    <hyperlink ref="N418" r:id="rId805" xr:uid="{11686A7B-BBB0-4D36-883C-7ED11048A067}"/>
    <hyperlink ref="P419" r:id="rId806" display="https://my.zakupivli.pro/remote/dispatcher/state_purchase_view/49159801" xr:uid="{087D4856-3AFC-49CA-B225-EC9C36502FDA}"/>
    <hyperlink ref="P420" r:id="rId807" display="https://my.zakupivli.pro/remote/dispatcher/state_purchase_view/49159395" xr:uid="{20DFB32E-39B6-4041-AF62-5507975CDE11}"/>
    <hyperlink ref="P421" r:id="rId808" display="https://my.zakupivli.pro/remote/dispatcher/state_purchase_view/49159293" xr:uid="{21C0F159-1D11-4722-8304-874C5369E158}"/>
    <hyperlink ref="P422" r:id="rId809" display="https://my.zakupivli.pro/remote/dispatcher/state_purchase_view/49158931" xr:uid="{80384828-0CAB-48A3-97AA-19821654630D}"/>
    <hyperlink ref="N419" r:id="rId810" xr:uid="{7A730FAE-3CF1-4616-BEEA-698948DB4D0A}"/>
    <hyperlink ref="N420" r:id="rId811" xr:uid="{42EC0DC6-0786-4882-B272-927B0282BB59}"/>
    <hyperlink ref="N421" r:id="rId812" xr:uid="{B169A9F2-D99F-4DC7-8CDE-76FA6F82DD8D}"/>
    <hyperlink ref="N422" r:id="rId813" xr:uid="{1D325C34-32B1-4701-838E-A6A03F5E373F}"/>
    <hyperlink ref="P423" r:id="rId814" display="https://my.zakupivli.pro/remote/dispatcher/state_purchase_view/49215079" xr:uid="{D63E485E-E0E4-405D-8B60-C360C6578623}"/>
    <hyperlink ref="P424" r:id="rId815" display="https://my.zakupivli.pro/remote/dispatcher/state_purchase_view/49215079" xr:uid="{175DC858-5383-4CE5-8227-027D15D9ABAD}"/>
    <hyperlink ref="P425" r:id="rId816" display="https://my.zakupivli.pro/remote/dispatcher/state_purchase_view/49193482" xr:uid="{B1A1E638-3FBA-4ADB-BAA8-4010617920F7}"/>
    <hyperlink ref="N423" r:id="rId817" xr:uid="{33299A77-86A8-4DA8-90FB-E6D0F7061553}"/>
    <hyperlink ref="N424" r:id="rId818" xr:uid="{ECE3A457-0EC1-4FA9-A46F-BDF5E01370A0}"/>
    <hyperlink ref="N425" r:id="rId819" xr:uid="{FC112E9E-AC3F-41AE-9EBC-0F7F9F3943AF}"/>
    <hyperlink ref="P426" r:id="rId820" display="https://my.zakupivli.pro/remote/dispatcher/state_purchase_view/49262531" xr:uid="{03FBD0E9-1E5B-4434-AD00-9726A3F43429}"/>
    <hyperlink ref="N426" r:id="rId821" xr:uid="{D703FB56-DFAA-4837-B42A-A441B9AB1592}"/>
    <hyperlink ref="P427" r:id="rId822" display="https://my.zakupivli.pro/remote/dispatcher/state_purchase_view/49305636" xr:uid="{4B585FC4-2423-4914-BF2D-5E08B7A9A3AA}"/>
    <hyperlink ref="P428" r:id="rId823" display="https://my.zakupivli.pro/remote/dispatcher/state_purchase_view/49305242" xr:uid="{1BDE3EFA-5CFE-43B7-B09F-E0B163210860}"/>
    <hyperlink ref="P429" r:id="rId824" display="https://my.zakupivli.pro/remote/dispatcher/state_purchase_view/49304806" xr:uid="{07921567-6C19-4CC2-BAEA-4D4392DBDBE7}"/>
    <hyperlink ref="P430" r:id="rId825" display="https://my.zakupivli.pro/remote/dispatcher/state_purchase_view/49304261" xr:uid="{0F2F7DCF-9C78-4CE3-B843-1689D5A081F3}"/>
    <hyperlink ref="P431" r:id="rId826" display="https://my.zakupivli.pro/remote/dispatcher/state_purchase_view/49303437" xr:uid="{9E401BFE-96CF-4C7D-BCD3-ADB6251F9608}"/>
    <hyperlink ref="P432" r:id="rId827" display="https://my.zakupivli.pro/remote/dispatcher/state_purchase_view/49303427" xr:uid="{40C97616-6A60-4670-AF5C-7C022711B277}"/>
    <hyperlink ref="P433" r:id="rId828" display="https://my.zakupivli.pro/remote/dispatcher/state_purchase_view/49302519" xr:uid="{94253889-F8EA-40D5-9E48-46A8F312F57C}"/>
    <hyperlink ref="P434" r:id="rId829" display="https://my.zakupivli.pro/remote/dispatcher/state_purchase_view/49302173" xr:uid="{02455CAE-B1AA-40A9-AA8E-0004F895799E}"/>
    <hyperlink ref="P435" r:id="rId830" display="https://my.zakupivli.pro/remote/dispatcher/state_purchase_view/49301958" xr:uid="{01CB5599-76E0-466A-AAEA-7413BD7D4BA7}"/>
    <hyperlink ref="P436" r:id="rId831" display="https://my.zakupivli.pro/remote/dispatcher/state_purchase_view/49301487" xr:uid="{1A654219-3802-47DB-BA17-F333951FB99C}"/>
    <hyperlink ref="P437" r:id="rId832" display="https://my.zakupivli.pro/remote/dispatcher/state_purchase_view/49300786" xr:uid="{8633E3AE-CFFB-4155-9381-0FB4EB69B56E}"/>
    <hyperlink ref="P438" r:id="rId833" display="https://my.zakupivli.pro/remote/dispatcher/state_purchase_view/49300201" xr:uid="{0F39E1A6-C915-43CA-961F-25A4A88A6355}"/>
    <hyperlink ref="P439" r:id="rId834" display="https://my.zakupivli.pro/remote/dispatcher/state_purchase_view/49299714" xr:uid="{BBA7AC71-3737-4612-ADBB-DB073DB96492}"/>
    <hyperlink ref="P440" r:id="rId835" display="https://my.zakupivli.pro/remote/dispatcher/state_purchase_view/49299258" xr:uid="{C93EC53F-33C3-4B03-8B1D-635EABB87746}"/>
    <hyperlink ref="P441" r:id="rId836" display="https://my.zakupivli.pro/remote/dispatcher/state_purchase_view/49298239" xr:uid="{C397CDC2-D018-4B30-B476-BF3C97BBA5D2}"/>
    <hyperlink ref="P442" r:id="rId837" display="https://my.zakupivli.pro/remote/dispatcher/state_purchase_view/49296397" xr:uid="{E78CE382-8932-48EF-AA92-BB0F16E5D7A4}"/>
    <hyperlink ref="N427" r:id="rId838" xr:uid="{CCFFE874-BFB0-41F4-89E9-E42C704264EE}"/>
    <hyperlink ref="N428" r:id="rId839" xr:uid="{B34EBD4D-57B6-4D48-B4A2-7F383A7A6F14}"/>
    <hyperlink ref="N429" r:id="rId840" xr:uid="{7F84C2D1-4C22-4EA2-9EE2-1B0D5B8C29B3}"/>
    <hyperlink ref="N430" r:id="rId841" xr:uid="{330C7F65-E3C1-47E1-93AE-04BB997B300C}"/>
    <hyperlink ref="N431" r:id="rId842" xr:uid="{C9166A8E-F65B-4061-8061-5AD87155D545}"/>
    <hyperlink ref="N432" r:id="rId843" xr:uid="{8F5BD1D8-0CC4-475E-A2BD-31B9F45AEA6F}"/>
    <hyperlink ref="N433" r:id="rId844" xr:uid="{18E6E834-BCFD-4FBC-B241-7B8228501C13}"/>
    <hyperlink ref="N434" r:id="rId845" xr:uid="{32CDD1D1-0E9D-43D3-8F64-104AD30632AF}"/>
    <hyperlink ref="N435" r:id="rId846" xr:uid="{E0BA6607-2473-4CE9-AD3F-929C20E027DC}"/>
    <hyperlink ref="N436" r:id="rId847" xr:uid="{A51D04F8-211D-45FF-9108-F4119C601795}"/>
    <hyperlink ref="N437" r:id="rId848" xr:uid="{D9166BDA-C428-4731-AB53-937A962C77A4}"/>
    <hyperlink ref="N438" r:id="rId849" xr:uid="{2E008BAC-EB03-4F20-AC5E-E495FF57437F}"/>
    <hyperlink ref="N439" r:id="rId850" xr:uid="{3DADB66D-8079-4EC5-961B-4FD0AA174E63}"/>
    <hyperlink ref="N440" r:id="rId851" xr:uid="{33F41FA0-65B6-4EC3-8B69-281B1A5FC926}"/>
    <hyperlink ref="N441" r:id="rId852" xr:uid="{C3D843A0-5FAA-4FAD-923A-E798ACE06915}"/>
    <hyperlink ref="N442" r:id="rId853" xr:uid="{60D7D334-6FCF-4E1B-8641-F5CFE3AF4D6B}"/>
    <hyperlink ref="P443" r:id="rId854" display="https://my.zakupivli.pro/remote/dispatcher/state_purchase_view/49312970" xr:uid="{829CCE91-0B7A-4EAB-B8DB-C9E0F1635039}"/>
    <hyperlink ref="P444" r:id="rId855" display="https://my.zakupivli.pro/remote/dispatcher/state_purchase_view/49312594" xr:uid="{0CD27C5F-412F-4F07-9188-F9D60689DB33}"/>
    <hyperlink ref="P445" r:id="rId856" display="https://my.zakupivli.pro/remote/dispatcher/state_purchase_view/49312342" xr:uid="{3147DDD8-C257-48B2-AA9B-EA10A0C5CE49}"/>
    <hyperlink ref="N443" r:id="rId857" xr:uid="{F64C6E70-FFC9-4FF9-8F20-93AD1E53123F}"/>
    <hyperlink ref="N444" r:id="rId858" xr:uid="{3A094F05-F20F-4407-89E7-1ABF963C47E8}"/>
    <hyperlink ref="N445" r:id="rId859" xr:uid="{5158547E-A211-4B38-A736-155A1AAB9FEB}"/>
    <hyperlink ref="P446" r:id="rId860" display="https://my.zakupivli.pro/remote/dispatcher/state_purchase_view/49350980" xr:uid="{3714AD1C-7E19-46CF-93B2-C1776AF80E3C}"/>
    <hyperlink ref="P447" r:id="rId861" display="https://my.zakupivli.pro/remote/dispatcher/state_purchase_view/49348727" xr:uid="{DFB1F91F-9B78-4A67-A20E-E19807E43833}"/>
    <hyperlink ref="P448" r:id="rId862" display="https://my.zakupivli.pro/remote/dispatcher/state_purchase_view/49347008" xr:uid="{242FAF3C-CF61-4A2C-B9C0-C495863EB9BD}"/>
    <hyperlink ref="P449" r:id="rId863" display="https://my.zakupivli.pro/remote/dispatcher/state_purchase_view/49345061" xr:uid="{21E13581-A7F1-447B-B052-4655840E7682}"/>
    <hyperlink ref="P450" r:id="rId864" display="https://my.zakupivli.pro/remote/dispatcher/state_purchase_view/49344568" xr:uid="{877BBDE8-F256-4811-9BD9-2969CEC1D349}"/>
    <hyperlink ref="N446" r:id="rId865" xr:uid="{C723E3A8-D5F3-469F-B6BF-EFFB2CC09ACE}"/>
    <hyperlink ref="N447" r:id="rId866" xr:uid="{4A6DABFE-87C5-468A-9FC6-B12EB0F1171B}"/>
    <hyperlink ref="N448" r:id="rId867" xr:uid="{A948064E-13CD-467B-B919-05FFFD8A69D3}"/>
    <hyperlink ref="N449" r:id="rId868" xr:uid="{E1C4A102-6E14-4DD6-99FC-7310B659DE8D}"/>
    <hyperlink ref="N450" r:id="rId869" xr:uid="{2498A640-E834-4C2F-940F-90D89E1C3E7F}"/>
    <hyperlink ref="P451" r:id="rId870" display="https://my.zakupivli.pro/remote/dispatcher/state_purchase_view/49369718" xr:uid="{893C5028-0D64-48DB-83E0-58C75867A67E}"/>
    <hyperlink ref="P452" r:id="rId871" display="https://my.zakupivli.pro/remote/dispatcher/state_purchase_view/49369192" xr:uid="{E0258DEF-E688-435F-93CD-C69FEF17E9F1}"/>
    <hyperlink ref="N451" r:id="rId872" xr:uid="{960201D2-824D-4F5E-A6EC-E0E4537F8592}"/>
    <hyperlink ref="N452" r:id="rId873" xr:uid="{C73410A9-2EF9-43CD-A0C6-D554E10118CA}"/>
    <hyperlink ref="P453" r:id="rId874" display="https://my.zakupivli.pro/remote/dispatcher/state_purchase_view/49362827" xr:uid="{7D7C7DC1-F66D-4AB1-8C57-09640FE9BBB9}"/>
    <hyperlink ref="N453" r:id="rId875" xr:uid="{78447ADC-2FB2-4F67-8449-F8D7183050D4}"/>
    <hyperlink ref="P454" r:id="rId876" display="https://my.zakupivli.pro/remote/dispatcher/state_purchase_view/49381942" xr:uid="{AAB7D356-7049-4B6C-A26B-AE603E7A2B1C}"/>
    <hyperlink ref="P455" r:id="rId877" display="https://my.zakupivli.pro/remote/dispatcher/state_purchase_view/49380309" xr:uid="{35627651-FF9B-4002-A9A3-AB5E256E773F}"/>
    <hyperlink ref="N454" r:id="rId878" xr:uid="{DDE61AB3-4294-4F2C-AC32-55A0D05B59AA}"/>
    <hyperlink ref="N455" r:id="rId879" xr:uid="{D36537AF-EF7A-440C-812C-EB98684C226D}"/>
    <hyperlink ref="P456" r:id="rId880" display="https://my.zakupivli.pro/remote/dispatcher/state_purchase_view/49407849" xr:uid="{0C18CAD2-47F1-44E4-BE26-788161DAED8B}"/>
    <hyperlink ref="P457" r:id="rId881" display="https://my.zakupivli.pro/remote/dispatcher/state_purchase_view/49407682" xr:uid="{AFA5D2AE-68F2-4406-B8E5-EF0BAA056A82}"/>
    <hyperlink ref="N456" r:id="rId882" xr:uid="{D3A877C0-611D-4F52-8837-1C1000B0A35A}"/>
    <hyperlink ref="N457" r:id="rId883" xr:uid="{2D29D29F-F420-44AC-9B47-15CA69CFCD14}"/>
    <hyperlink ref="P458" r:id="rId884" display="https://my.zakupivli.pro/remote/dispatcher/state_purchase_view/49447825" xr:uid="{7237CCA3-F172-478A-A91B-A86F64305727}"/>
    <hyperlink ref="N458" r:id="rId885" xr:uid="{99C1E505-1F76-4177-A74D-B786FB82D616}"/>
    <hyperlink ref="P459" r:id="rId886" display="https://my.zakupivli.pro/remote/dispatcher/state_purchase_view/49472296" xr:uid="{54B41A40-1BAE-429A-88CF-CDE7EDB517D0}"/>
    <hyperlink ref="P460" r:id="rId887" display="https://my.zakupivli.pro/remote/dispatcher/state_purchase_view/49472296" xr:uid="{E6A44635-44EB-469C-B828-A3F3F0448D3F}"/>
    <hyperlink ref="P461" r:id="rId888" display="https://my.zakupivli.pro/remote/dispatcher/state_purchase_view/49472296" xr:uid="{B47F9AED-256D-46DA-A522-4B2E3AABE8A8}"/>
    <hyperlink ref="P462" r:id="rId889" display="https://my.zakupivli.pro/remote/dispatcher/state_purchase_view/49472296" xr:uid="{2FDC08FE-A43D-4A55-B440-119A2D6A783B}"/>
    <hyperlink ref="N459" r:id="rId890" xr:uid="{B13E82C6-D13B-4CE3-88CF-F97FF9B9EDEB}"/>
    <hyperlink ref="N460" r:id="rId891" xr:uid="{72C3937E-35A5-4F4C-B3E9-3305607BFE6A}"/>
    <hyperlink ref="N461" r:id="rId892" xr:uid="{E5072A95-1517-4AA0-A41B-0DCDF1A478A3}"/>
    <hyperlink ref="N462" r:id="rId893" xr:uid="{9157C959-7BC8-4320-B893-76FF1C73FF4D}"/>
    <hyperlink ref="P463" r:id="rId894" display="https://my.zakupivli.pro/remote/dispatcher/state_purchase_view/49508019" xr:uid="{881CFEC5-C6D1-4DD4-9FB6-DC646F94645A}"/>
    <hyperlink ref="N463" r:id="rId895" xr:uid="{0F598A23-7B05-4897-BDBC-4AE8A1D6D45E}"/>
    <hyperlink ref="P464" r:id="rId896" display="https://my.zakupivli.pro/remote/dispatcher/state_purchase_view/49535400" xr:uid="{DFA96173-1FB0-417E-A567-6956517DEC83}"/>
    <hyperlink ref="P465" r:id="rId897" display="https://my.zakupivli.pro/remote/dispatcher/state_purchase_view/49535400" xr:uid="{E36839AB-5A9E-4C0F-AE9A-018FCD810A89}"/>
    <hyperlink ref="N464" r:id="rId898" xr:uid="{15275FC1-E38B-42BC-A66F-7F0377A85E61}"/>
    <hyperlink ref="N465" r:id="rId899" xr:uid="{B6BD6FE2-8218-4596-AB25-C3D92393508F}"/>
    <hyperlink ref="P466" r:id="rId900" display="https://my.zakupivli.pro/remote/dispatcher/state_purchase_view/49571696" xr:uid="{855EC1DF-9F6F-4EA0-838C-FD811AC14741}"/>
    <hyperlink ref="P467" r:id="rId901" display="https://my.zakupivli.pro/remote/dispatcher/state_purchase_view/49571405" xr:uid="{AB82D695-B2C0-4D48-8228-0215C4E41F02}"/>
    <hyperlink ref="P468" r:id="rId902" display="https://my.zakupivli.pro/remote/dispatcher/state_purchase_view/49571405" xr:uid="{070B2F5C-8963-49A4-94C2-7F132D5F26D8}"/>
    <hyperlink ref="P469" r:id="rId903" display="https://my.zakupivli.pro/remote/dispatcher/state_purchase_view/49571405" xr:uid="{D5ED40CF-9E33-41DB-8647-779C9AB75DDF}"/>
    <hyperlink ref="P470" r:id="rId904" display="https://my.zakupivli.pro/remote/dispatcher/state_purchase_view/49563835" xr:uid="{93D0CEA0-085C-435E-B26B-62804FACCBD8}"/>
    <hyperlink ref="P471" r:id="rId905" display="https://my.zakupivli.pro/remote/dispatcher/state_purchase_view/49553110" xr:uid="{3D5FDE24-47EF-4BE0-ADF9-91BD4B6C9F1C}"/>
    <hyperlink ref="P472" r:id="rId906" display="https://my.zakupivli.pro/remote/dispatcher/state_purchase_view/49550686" xr:uid="{3701C05D-A4EE-4D36-B1F3-2DAC5B9CF05E}"/>
    <hyperlink ref="N466" r:id="rId907" xr:uid="{78E76D27-465B-479C-88CE-16EC11398642}"/>
    <hyperlink ref="N467" r:id="rId908" xr:uid="{AB382855-49CC-48D5-85C8-86EABBF3687A}"/>
    <hyperlink ref="N468" r:id="rId909" xr:uid="{E752ED41-512A-4D72-9678-C0C1875A5363}"/>
    <hyperlink ref="N469" r:id="rId910" xr:uid="{F74AE923-39E3-4796-86DF-FC35559F2EFF}"/>
    <hyperlink ref="N470" r:id="rId911" xr:uid="{265D0308-A465-4973-8B77-60CC2B0FBD75}"/>
    <hyperlink ref="N471" r:id="rId912" xr:uid="{0B662CC9-ED64-439E-B3F8-D4331B75EB4E}"/>
    <hyperlink ref="N472" r:id="rId913" xr:uid="{22A7DB43-D26D-49E3-992F-11C1BB6D8F17}"/>
    <hyperlink ref="P473" r:id="rId914" display="https://my.zakupivli.pro/remote/dispatcher/state_purchase_view/49603204" xr:uid="{FB98962F-9E67-47AB-A524-41F0D522033A}"/>
    <hyperlink ref="P474" r:id="rId915" display="https://my.zakupivli.pro/remote/dispatcher/state_purchase_view/49602717" xr:uid="{46168908-605B-4286-9C8C-1B2D5A19A58D}"/>
    <hyperlink ref="P475" r:id="rId916" display="https://my.zakupivli.pro/remote/dispatcher/state_purchase_view/49581286" xr:uid="{C96A49A7-2864-48AA-9ACA-6F607A13661E}"/>
    <hyperlink ref="N473" r:id="rId917" xr:uid="{2E7E4BDD-0C4D-47D5-9133-E17C0168B2B8}"/>
    <hyperlink ref="N474" r:id="rId918" xr:uid="{00B929E2-553F-44A8-9315-DB8F7F929E78}"/>
    <hyperlink ref="N475" r:id="rId919" xr:uid="{A2353227-CA8C-4176-B390-5B160E1D505C}"/>
    <hyperlink ref="P476" r:id="rId920" display="https://my.zakupivli.pro/remote/dispatcher/state_purchase_view/49613449" xr:uid="{E981C742-3DB6-412E-859F-55C760FEA362}"/>
    <hyperlink ref="P477" r:id="rId921" display="https://my.zakupivli.pro/remote/dispatcher/state_purchase_view/49612800" xr:uid="{83EFB5CF-54EE-40E8-9D37-80F0EEC80BEF}"/>
    <hyperlink ref="N476" r:id="rId922" xr:uid="{A2C13F15-AA55-4AB2-B8DE-FC62D7BAB5C2}"/>
    <hyperlink ref="N477" r:id="rId923" xr:uid="{1D30D424-1BD3-49DE-94F4-3A63911DC0D7}"/>
    <hyperlink ref="P478" r:id="rId924" display="https://my.zakupivli.pro/remote/dispatcher/state_purchase_view/49656895" xr:uid="{85D2653C-6B50-4754-8003-F13C60C37C08}"/>
    <hyperlink ref="P479" r:id="rId925" display="https://my.zakupivli.pro/remote/dispatcher/state_purchase_view/49647930" xr:uid="{148EB9EC-2379-4B75-B3DE-44FC095D9899}"/>
    <hyperlink ref="N478" r:id="rId926" xr:uid="{8983B8EA-8D60-4E4F-901E-D68FC1A62ABD}"/>
    <hyperlink ref="N479" r:id="rId927" xr:uid="{5DF0D9A3-D1ED-4272-B656-A6317E939A3F}"/>
    <hyperlink ref="P480" r:id="rId928" display="https://my.zakupivli.pro/remote/dispatcher/state_purchase_view/49691053" xr:uid="{A02A7646-EFEF-4FCC-B396-B6AAC6BC1616}"/>
    <hyperlink ref="P481" r:id="rId929" display="https://my.zakupivli.pro/remote/dispatcher/state_purchase_view/49690092" xr:uid="{5F55CE50-B70A-4E85-B612-ABD8EE03E975}"/>
    <hyperlink ref="P482" r:id="rId930" display="https://my.zakupivli.pro/remote/dispatcher/state_purchase_view/49689165" xr:uid="{57923B76-30E6-41ED-872F-75D74A837A89}"/>
    <hyperlink ref="P483" r:id="rId931" display="https://my.zakupivli.pro/remote/dispatcher/state_purchase_view/49688999" xr:uid="{26AB6E5A-82E9-4BFA-A003-94E8B1CD7F18}"/>
    <hyperlink ref="N480" r:id="rId932" xr:uid="{A2BB7F96-7D7B-4444-BDF9-804EFD4D515E}"/>
    <hyperlink ref="N481" r:id="rId933" xr:uid="{85C428C8-5829-4879-8915-671840DF13CC}"/>
    <hyperlink ref="N482" r:id="rId934" xr:uid="{43ED2B54-B4CC-411A-9D44-F270710C91A5}"/>
    <hyperlink ref="N483" r:id="rId935" xr:uid="{A947017F-1EDC-4A6E-B00A-BBE9FCF720DA}"/>
    <hyperlink ref="P484" r:id="rId936" display="https://my.zakupivli.pro/remote/dispatcher/state_purchase_view/49743496" xr:uid="{0662B4A0-2A2F-4122-A358-BEE9976F1B62}"/>
    <hyperlink ref="P485" r:id="rId937" display="https://my.zakupivli.pro/remote/dispatcher/state_purchase_view/49743496" xr:uid="{34D9035C-07E2-436D-A288-612402F299B2}"/>
    <hyperlink ref="P486" r:id="rId938" display="https://my.zakupivli.pro/remote/dispatcher/state_purchase_view/49737240" xr:uid="{69B85B5B-CF4F-4983-B905-784D95DBF750}"/>
    <hyperlink ref="P487" r:id="rId939" display="https://my.zakupivli.pro/remote/dispatcher/state_purchase_view/49736995" xr:uid="{BAB350BE-3212-4DC0-8EED-BA32B786D844}"/>
    <hyperlink ref="P488" r:id="rId940" display="https://my.zakupivli.pro/remote/dispatcher/state_purchase_view/49736304" xr:uid="{6EF8EE34-3823-465B-8C7A-0264AAA5B5CC}"/>
    <hyperlink ref="P489" r:id="rId941" display="https://my.zakupivli.pro/remote/dispatcher/state_purchase_view/49735637" xr:uid="{8BAD2CBD-1D26-4057-B5D3-34A0FABC4137}"/>
    <hyperlink ref="P490" r:id="rId942" display="https://my.zakupivli.pro/remote/dispatcher/state_purchase_view/49733918" xr:uid="{93875750-0013-4C79-B2BD-38D3DA4D050D}"/>
    <hyperlink ref="N484" r:id="rId943" xr:uid="{6B12AF01-668D-44A1-83F9-FE3F8F180D43}"/>
    <hyperlink ref="N485" r:id="rId944" xr:uid="{D1983E4A-A873-497D-8B5B-0207F48B8A3B}"/>
    <hyperlink ref="N486" r:id="rId945" xr:uid="{51679C9A-D0E7-4D2C-8FF3-E36EB50EC3A7}"/>
    <hyperlink ref="N487" r:id="rId946" xr:uid="{AE309165-699A-41FE-B2EB-4C4F2D17CBE8}"/>
    <hyperlink ref="N488" r:id="rId947" xr:uid="{11163B72-EB02-4F70-994E-DCE78A47159F}"/>
    <hyperlink ref="N489" r:id="rId948" xr:uid="{D0681D95-89D0-446E-948A-75ED47F225B5}"/>
    <hyperlink ref="N490" r:id="rId949" xr:uid="{4B18AFF9-942E-4266-BCE1-5640CD523D8B}"/>
    <hyperlink ref="P491" r:id="rId950" display="https://my.zakupivli.pro/remote/dispatcher/state_purchase_view/49754998" xr:uid="{1FD46089-D3E8-4D07-84C8-37433BC46D73}"/>
    <hyperlink ref="N491" r:id="rId951" xr:uid="{90C85FC4-0D23-41BD-8560-8BC980FF0A4B}"/>
    <hyperlink ref="P492" r:id="rId952" display="https://my.zakupivli.pro/remote/dispatcher/state_purchase_view/49800155" xr:uid="{76EC06D0-1AB1-447C-9D67-A9FED9358B89}"/>
    <hyperlink ref="P493" r:id="rId953" display="https://my.zakupivli.pro/remote/dispatcher/state_purchase_view/49788870" xr:uid="{859542B4-2F0E-46B6-9509-9665289D1442}"/>
    <hyperlink ref="P494" r:id="rId954" display="https://my.zakupivli.pro/remote/dispatcher/state_purchase_view/49783236" xr:uid="{6050A6DE-46E1-45C0-9AD0-D426E9F8E210}"/>
    <hyperlink ref="P495" r:id="rId955" display="https://my.zakupivli.pro/remote/dispatcher/state_purchase_view/49783236" xr:uid="{3D6EF6EE-688F-42C4-8AD3-187612032A4E}"/>
    <hyperlink ref="N492" r:id="rId956" xr:uid="{80B3870D-A4C8-48A3-B429-11F5E13BB713}"/>
    <hyperlink ref="N493" r:id="rId957" xr:uid="{8D977BD8-1B61-44CE-B460-36C61F7017DA}"/>
    <hyperlink ref="N494" r:id="rId958" xr:uid="{87459063-8B7F-43DA-9960-4ACF4A4350C3}"/>
    <hyperlink ref="N495" r:id="rId959" xr:uid="{F93E0CA4-079B-4D13-AA7F-E151DA49254D}"/>
    <hyperlink ref="P496" r:id="rId960" display="https://my.zakupivli.pro/remote/dispatcher/state_purchase_view/49830616" xr:uid="{FE7D301E-72F9-4A24-A64C-3BCD342C935C}"/>
    <hyperlink ref="P497" r:id="rId961" display="https://my.zakupivli.pro/remote/dispatcher/state_purchase_view/49830616" xr:uid="{6B0BC319-FDAF-4205-A63A-52F0F49DAF57}"/>
    <hyperlink ref="P498" r:id="rId962" display="https://my.zakupivli.pro/remote/dispatcher/state_purchase_view/49814380" xr:uid="{C7552AD8-FD00-4D58-B659-6BE1C3F85D32}"/>
    <hyperlink ref="N496" r:id="rId963" xr:uid="{39E1DDF2-8913-425D-9B6E-711500D693AE}"/>
    <hyperlink ref="N497" r:id="rId964" xr:uid="{E7FE4462-A34E-4386-A93B-20C285F2F33C}"/>
    <hyperlink ref="N498" r:id="rId965" xr:uid="{EE4ED72B-D060-448F-B0A6-D2BD6E43CEDE}"/>
    <hyperlink ref="P499" r:id="rId966" display="https://my.zakupivli.pro/remote/dispatcher/state_purchase_view/49855542" xr:uid="{65037CEB-46BE-4A1B-9250-5377E0C81A6B}"/>
    <hyperlink ref="N499" r:id="rId967" xr:uid="{7C166354-2132-46DE-AD27-AE5217C46BD2}"/>
    <hyperlink ref="P500" r:id="rId968" display="https://my.zakupivli.pro/remote/dispatcher/state_purchase_view/49910924" xr:uid="{4EFBE364-C3D2-4818-AFFC-C04E6FFE432D}"/>
    <hyperlink ref="N500" r:id="rId969" xr:uid="{CAE65F06-DE49-4C6D-ADF9-20731817BF67}"/>
    <hyperlink ref="P501" r:id="rId970" display="https://my.zakupivli.pro/remote/dispatcher/state_purchase_view/49949189" xr:uid="{4CDF992B-10E2-4CB6-8DA7-F5CBCE78325F}"/>
    <hyperlink ref="N501" r:id="rId971" xr:uid="{7AF529B6-28D6-44C2-8ACE-606E2B196439}"/>
    <hyperlink ref="P502" r:id="rId972" display="https://my.zakupivli.pro/remote/dispatcher/state_purchase_view/50009434" xr:uid="{AA79E06C-E738-4072-8A38-536866B72B70}"/>
    <hyperlink ref="P503" r:id="rId973" display="https://my.zakupivli.pro/remote/dispatcher/state_purchase_view/50008319" xr:uid="{33DCFA2F-890C-460E-AA46-73CD51A39595}"/>
    <hyperlink ref="N502" r:id="rId974" xr:uid="{72C8388F-E5C2-4F4A-9CCF-DDD39049A2EB}"/>
    <hyperlink ref="N503" r:id="rId975" xr:uid="{BB70E4AB-5910-4947-8FCD-1E0FC9107B6E}"/>
    <hyperlink ref="P504" r:id="rId976" display="https://my.zakupivli.pro/remote/dispatcher/state_purchase_view/49993551" xr:uid="{46A9EAF7-CDB6-449C-94B1-4F98F97CF81D}"/>
    <hyperlink ref="P505" r:id="rId977" display="https://my.zakupivli.pro/remote/dispatcher/state_purchase_view/49993454" xr:uid="{5B505E80-A522-4C45-A6D0-5896DAF7D03F}"/>
    <hyperlink ref="P506" r:id="rId978" display="https://my.zakupivli.pro/remote/dispatcher/state_purchase_view/49993314" xr:uid="{DABBC2B4-6A46-4E2B-9D90-3D4F9D5FCD74}"/>
    <hyperlink ref="N504" r:id="rId979" xr:uid="{7BACE742-527F-4112-81DC-97D4C62A7F66}"/>
    <hyperlink ref="N505" r:id="rId980" xr:uid="{D66C02BA-9517-4604-A769-4C068F75D8B9}"/>
    <hyperlink ref="N506" r:id="rId981" xr:uid="{AEC0BC65-65F6-46C2-A854-C77C7F2B697B}"/>
    <hyperlink ref="P507" r:id="rId982" display="https://my.zakupivli.pro/remote/dispatcher/state_purchase_view/49992857" xr:uid="{4F22F6B6-6266-4085-A854-42A8117AA5F1}"/>
    <hyperlink ref="P508" r:id="rId983" display="https://my.zakupivli.pro/remote/dispatcher/state_purchase_view/49992163" xr:uid="{DD01F70E-1344-4730-A050-86F3E986D838}"/>
    <hyperlink ref="P509" r:id="rId984" display="https://my.zakupivli.pro/remote/dispatcher/state_purchase_view/49991885" xr:uid="{CAEE1DB2-F9C8-41F2-92E5-88882A7CBC84}"/>
    <hyperlink ref="P510" r:id="rId985" display="https://my.zakupivli.pro/remote/dispatcher/state_purchase_view/49991401" xr:uid="{787E04D3-88F7-4C00-A886-58785F50D352}"/>
    <hyperlink ref="P511" r:id="rId986" display="https://my.zakupivli.pro/remote/dispatcher/state_purchase_view/49991359" xr:uid="{829FD3F4-DCC5-49A2-AC86-A316DB828B25}"/>
    <hyperlink ref="N507" r:id="rId987" xr:uid="{9441EFBD-57DF-4C5A-B0DE-B5E6667A5992}"/>
    <hyperlink ref="N508" r:id="rId988" xr:uid="{4C7C3B3A-36EF-4F2C-ADAD-60A31360F075}"/>
    <hyperlink ref="N509" r:id="rId989" xr:uid="{0DBA6C03-56B2-4354-9A02-F936E2A5341D}"/>
    <hyperlink ref="N510" r:id="rId990" xr:uid="{D7C6808F-4C19-457C-935E-10A327B2C3B8}"/>
    <hyperlink ref="N511" r:id="rId991" xr:uid="{953641C0-FECA-47A6-9884-652D51385988}"/>
    <hyperlink ref="P512" r:id="rId992" display="https://my.zakupivli.pro/remote/dispatcher/state_purchase_view/49991087" xr:uid="{BDC07F2B-8914-41AE-867C-316B425B09B8}"/>
    <hyperlink ref="P513" r:id="rId993" display="https://my.zakupivli.pro/remote/dispatcher/state_purchase_view/49990900" xr:uid="{66C95FE2-C6EF-44E0-927E-099640FB4105}"/>
    <hyperlink ref="P514" r:id="rId994" display="https://my.zakupivli.pro/remote/dispatcher/state_purchase_view/49990848" xr:uid="{EAED0306-8496-49D0-9ED1-959AB44D9B1A}"/>
    <hyperlink ref="P515" r:id="rId995" display="https://my.zakupivli.pro/remote/dispatcher/state_purchase_view/49990556" xr:uid="{FC0C152D-06CC-4CC6-8655-D6AE7CE0F0EC}"/>
    <hyperlink ref="P516" r:id="rId996" display="https://my.zakupivli.pro/remote/dispatcher/state_purchase_view/49990340" xr:uid="{1DB54D97-3084-4DED-9E10-52B538480608}"/>
    <hyperlink ref="N512" r:id="rId997" xr:uid="{3B5F5F9A-D7A4-4DB9-95B9-89B18C6A8BF9}"/>
    <hyperlink ref="N513" r:id="rId998" xr:uid="{DEBF3C20-D44F-4C2E-BE1D-6DAC4154A84B}"/>
    <hyperlink ref="N514" r:id="rId999" xr:uid="{212FD5DD-5522-48FA-B123-DCC0D0375EE7}"/>
    <hyperlink ref="N515" r:id="rId1000" xr:uid="{09835E77-9B7C-4399-AFDE-DBAD1ECE1E1F}"/>
    <hyperlink ref="N516" r:id="rId1001" xr:uid="{DEE45871-68ED-4A74-9A4E-684CF0DB2700}"/>
    <hyperlink ref="P517" r:id="rId1002" display="https://my.zakupivli.pro/remote/dispatcher/state_purchase_view/50096341" xr:uid="{45B082A0-E88C-48E1-805F-CB4B8EA2789D}"/>
    <hyperlink ref="N517" r:id="rId1003" xr:uid="{228CB5B3-C367-4359-A37F-88361DE05511}"/>
    <hyperlink ref="P518" r:id="rId1004" display="https://my.zakupivli.pro/remote/dispatcher/state_purchase_view/50133163" xr:uid="{DB86E49C-970C-4D69-8297-FCB43F58FA87}"/>
    <hyperlink ref="P519" r:id="rId1005" display="https://my.zakupivli.pro/remote/dispatcher/state_purchase_view/50132155" xr:uid="{53AA190A-834A-41FB-AEEF-89641DC92FCC}"/>
    <hyperlink ref="P520" r:id="rId1006" display="https://my.zakupivli.pro/remote/dispatcher/state_purchase_view/50131614" xr:uid="{E46D3C0F-8BB7-4651-A48C-7E2E43D562C5}"/>
    <hyperlink ref="P521" r:id="rId1007" display="https://my.zakupivli.pro/remote/dispatcher/state_purchase_view/50128934" xr:uid="{3C450747-FFD9-4974-82D3-2BDC45CDA51E}"/>
    <hyperlink ref="P522" r:id="rId1008" display="https://my.zakupivli.pro/remote/dispatcher/state_purchase_view/50128451" xr:uid="{8722A59D-AED0-4928-9A27-5D29E91CA8CB}"/>
    <hyperlink ref="P523" r:id="rId1009" display="https://my.zakupivli.pro/remote/dispatcher/state_purchase_view/50127903" xr:uid="{8CC4B486-79C7-4FD8-BE4D-B18C7D9DD655}"/>
    <hyperlink ref="N518" r:id="rId1010" xr:uid="{CA36D282-216D-47DE-AEFE-4836B74FCEAB}"/>
    <hyperlink ref="N519" r:id="rId1011" xr:uid="{C241A84C-3A7F-4E62-8ACB-5C3F25203196}"/>
    <hyperlink ref="N520" r:id="rId1012" xr:uid="{A8DE9B6A-E606-48DC-9992-034A5FD49122}"/>
    <hyperlink ref="N521" r:id="rId1013" xr:uid="{C6B6BF73-6134-46D6-A183-D68A590314A8}"/>
    <hyperlink ref="N522" r:id="rId1014" xr:uid="{9AA065E1-4F66-4BD0-B6E2-FC25BAC015C0}"/>
    <hyperlink ref="N523" r:id="rId1015" xr:uid="{D39E0A38-F3EA-4947-804C-918A1C5CA08D}"/>
    <hyperlink ref="P524" r:id="rId1016" display="https://my.zakupivli.pro/remote/dispatcher/state_purchase_view/50192772" xr:uid="{C511757E-8C2E-4D35-9036-FD7CAAC0504A}"/>
    <hyperlink ref="P525" r:id="rId1017" display="https://my.zakupivli.pro/remote/dispatcher/state_purchase_view/50192096" xr:uid="{E2E8F271-68F6-464E-8D16-C2AF6752B51E}"/>
    <hyperlink ref="P526" r:id="rId1018" display="https://my.zakupivli.pro/remote/dispatcher/state_purchase_view/50191401" xr:uid="{FF1C14D6-6061-4858-9BC3-902EA5957E0B}"/>
    <hyperlink ref="P527" r:id="rId1019" display="https://my.zakupivli.pro/remote/dispatcher/state_purchase_view/50191086" xr:uid="{BB87A206-47A6-4EBF-AFA5-F96BA8EC1EEC}"/>
    <hyperlink ref="P528" r:id="rId1020" display="https://my.zakupivli.pro/remote/dispatcher/state_purchase_view/50182890" xr:uid="{2F5A60A2-51B2-4B84-9E8C-3AAEA9C048AF}"/>
    <hyperlink ref="N524" r:id="rId1021" xr:uid="{7017793D-6A75-4BF3-BDD0-5AF7BBDB04F4}"/>
    <hyperlink ref="N525" r:id="rId1022" xr:uid="{E61E9A59-A684-4E15-B786-09AF1A3FCBE4}"/>
    <hyperlink ref="N526" r:id="rId1023" xr:uid="{CB18C563-496A-40D1-9084-B02E45FD41D6}"/>
    <hyperlink ref="N527" r:id="rId1024" xr:uid="{17A00285-1476-479D-A3C9-07128A7FD8ED}"/>
    <hyperlink ref="N528" r:id="rId1025" xr:uid="{9C7C5666-F36A-4C8C-A847-D6EE8BC7F5F1}"/>
    <hyperlink ref="P529" r:id="rId1026" display="https://my.zakupivli.pro/remote/dispatcher/state_purchase_view/50200329" xr:uid="{255D11D4-F310-471B-A335-1C6717C003BB}"/>
    <hyperlink ref="P530" r:id="rId1027" display="https://my.zakupivli.pro/remote/dispatcher/state_purchase_view/50200087" xr:uid="{F45C8094-8DB8-4DF3-940B-11AAD433FF56}"/>
    <hyperlink ref="P531" r:id="rId1028" display="https://my.zakupivli.pro/remote/dispatcher/state_purchase_view/50199730" xr:uid="{3C2F04FB-6BBC-41DC-8B27-279964213B84}"/>
    <hyperlink ref="N529" r:id="rId1029" xr:uid="{46D83F02-8BB2-4EC1-A6B7-06EB9E299967}"/>
    <hyperlink ref="N530" r:id="rId1030" xr:uid="{09D149F0-4651-444C-B061-CF0B0FF8AD5E}"/>
    <hyperlink ref="N531" r:id="rId1031" xr:uid="{A375271A-5554-4ECB-962F-259CB1E748DB}"/>
    <hyperlink ref="P532" r:id="rId1032" display="https://my.zakupivli.pro/remote/dispatcher/state_purchase_view/50200587" xr:uid="{5FC72DB6-18D6-4B05-9103-0A8D2085FE42}"/>
    <hyperlink ref="N532" r:id="rId1033" xr:uid="{5370EA1E-4E42-415E-A735-B2678565E482}"/>
    <hyperlink ref="P533" r:id="rId1034" display="https://my.zakupivli.pro/remote/dispatcher/state_purchase_view/50221480" xr:uid="{80401668-FD7F-4D62-9F27-C593DC26824B}"/>
    <hyperlink ref="N533" r:id="rId1035" xr:uid="{843BB94F-1740-4933-A316-50CCD4BB3D3C}"/>
    <hyperlink ref="P534" r:id="rId1036" display="https://my.zakupivli.pro/remote/dispatcher/state_purchase_view/50227478" xr:uid="{FDF96698-92FE-4A97-8FDE-7FC4B3A23054}"/>
    <hyperlink ref="N534" r:id="rId1037" xr:uid="{8573AB1F-F005-41B9-B287-418441CD5A9F}"/>
    <hyperlink ref="P535" r:id="rId1038" display="https://my.zakupivli.pro/remote/dispatcher/state_purchase_view/50272627" xr:uid="{D9268350-162E-4130-B64C-95CF166D144E}"/>
    <hyperlink ref="N535" r:id="rId1039" xr:uid="{1667E7BD-F552-484A-9680-E85EF2F8835A}"/>
    <hyperlink ref="P536" r:id="rId1040" display="https://my.zakupivli.pro/remote/dispatcher/state_purchase_view/50294092" xr:uid="{0A168133-D504-43F4-AE7E-93D9F163D5AD}"/>
    <hyperlink ref="P537" r:id="rId1041" display="https://my.zakupivli.pro/remote/dispatcher/state_purchase_view/50293396" xr:uid="{2173CD45-DDB9-474A-9BCB-E572D52907E9}"/>
    <hyperlink ref="P538" r:id="rId1042" display="https://my.zakupivli.pro/remote/dispatcher/state_purchase_view/50291280" xr:uid="{4BF83C95-B11E-4379-ACFC-499EDBA609A9}"/>
    <hyperlink ref="P539" r:id="rId1043" display="https://my.zakupivli.pro/remote/dispatcher/state_purchase_view/50290774" xr:uid="{348C9332-965B-412C-8D9E-4071140B1977}"/>
    <hyperlink ref="N536" r:id="rId1044" xr:uid="{1D9AD81A-DBDB-451A-9079-B15AAF693F12}"/>
    <hyperlink ref="N537" r:id="rId1045" xr:uid="{F6CEB508-1F2A-4953-83E9-583484E1722F}"/>
    <hyperlink ref="N538" r:id="rId1046" xr:uid="{AD3050C1-DC9F-4F3B-9F04-7E8FC95C29E5}"/>
    <hyperlink ref="N539" r:id="rId1047" xr:uid="{A136B639-FC84-4DE6-811C-531208C3ED0B}"/>
    <hyperlink ref="P540" r:id="rId1048" display="https://my.zakupivli.pro/remote/dispatcher/state_purchase_view/50317147" xr:uid="{084AB358-FCEA-4D98-B8AF-3807841DC664}"/>
    <hyperlink ref="N540" r:id="rId1049" xr:uid="{80BABF6D-3774-488A-B117-313C5FE258EE}"/>
    <hyperlink ref="P541" r:id="rId1050" display="https://my.zakupivli.pro/remote/dispatcher/state_purchase_view/50343438" xr:uid="{6FB60F6E-B7B3-4715-BF26-EEF59220D6F5}"/>
    <hyperlink ref="P542" r:id="rId1051" display="https://my.zakupivli.pro/remote/dispatcher/state_purchase_view/50326211" xr:uid="{575D2B72-A421-4793-8496-02752B0884C4}"/>
    <hyperlink ref="N541" r:id="rId1052" xr:uid="{9A048AEB-E43B-412C-9B73-5CDACE3F3DF9}"/>
    <hyperlink ref="N542" r:id="rId1053" xr:uid="{5694491B-D175-449E-80FF-B1BC5ECA8200}"/>
    <hyperlink ref="P543" r:id="rId1054" display="https://my.zakupivli.pro/remote/dispatcher/state_purchase_view/50369574" xr:uid="{CB7AD709-377E-4DDC-99E3-8BAC25676573}"/>
    <hyperlink ref="N543" r:id="rId1055" xr:uid="{CF76275C-9A00-4FB8-8698-1B0D88C645B3}"/>
    <hyperlink ref="P544" r:id="rId1056" display="https://my.zakupivli.pro/remote/dispatcher/state_purchase_view/50398330" xr:uid="{F10010EE-0EC0-47B4-9486-A736746F759F}"/>
    <hyperlink ref="N544" r:id="rId1057" xr:uid="{E52FAF69-6457-4AB5-8E30-A29BC552C87E}"/>
    <hyperlink ref="P545" r:id="rId1058" display="https://my.zakupivli.pro/remote/dispatcher/state_purchase_view/50434062" xr:uid="{5ACBF9CE-3F8D-4E29-BC78-297D6DD62703}"/>
    <hyperlink ref="N545" r:id="rId1059" xr:uid="{3ED789DE-9AA2-4123-AFD3-9B8BD1F877D5}"/>
    <hyperlink ref="P546" r:id="rId1060" display="https://my.zakupivli.pro/remote/dispatcher/state_purchase_view/50523737" xr:uid="{1CB6A750-3E75-4656-93A6-995790560FDD}"/>
    <hyperlink ref="P547" r:id="rId1061" display="https://my.zakupivli.pro/remote/dispatcher/state_purchase_view/50523214" xr:uid="{095EDC0E-C223-4138-905D-A95C38D9F050}"/>
    <hyperlink ref="P548" r:id="rId1062" display="https://my.zakupivli.pro/remote/dispatcher/state_purchase_view/50517136" xr:uid="{A2ED2486-FDD0-4049-8903-D969DCA0DCD6}"/>
    <hyperlink ref="N546" r:id="rId1063" xr:uid="{354A65CB-C566-44D3-9EBF-B7DFAC977912}"/>
    <hyperlink ref="N547" r:id="rId1064" xr:uid="{7080F139-583D-4255-9A34-AA30FB5FE687}"/>
    <hyperlink ref="N548" r:id="rId1065" xr:uid="{9B2498DA-4E43-4571-A219-A45897BB2C51}"/>
    <hyperlink ref="P549" r:id="rId1066" display="https://my.zakupivli.pro/remote/dispatcher/state_purchase_view/50625843" xr:uid="{D7F3B66A-73B1-4908-8FEA-AC459B4D50AB}"/>
    <hyperlink ref="N549" r:id="rId1067" xr:uid="{2F0E546C-1DC3-4CF1-9B0A-93D934DF337D}"/>
    <hyperlink ref="N550" r:id="rId1068" xr:uid="{44ABE071-698E-4271-9253-1ADE52E73A7E}"/>
    <hyperlink ref="P550" r:id="rId1069" xr:uid="{720CD3C8-7938-4570-9F13-A1E025E14F1B}"/>
    <hyperlink ref="P551" r:id="rId1070" display="https://my.zakupivli.pro/remote/dispatcher/state_purchase_view/50678782" xr:uid="{A8F55D9D-0A9E-45CB-B27A-6FBAAB5327B5}"/>
    <hyperlink ref="N551" r:id="rId1071" xr:uid="{C581673C-FF6F-4E58-B45B-6C3AD72B2B2D}"/>
    <hyperlink ref="P552" r:id="rId1072" display="https://my.zakupivli.pro/remote/dispatcher/state_purchase_view/50748827" xr:uid="{12E0B181-C583-4D38-AB58-5C4F3CA65934}"/>
    <hyperlink ref="P553" r:id="rId1073" display="https://my.zakupivli.pro/remote/dispatcher/state_purchase_view/50747345" xr:uid="{8412C443-B862-4CBE-8DF4-EC083EC3CBE6}"/>
    <hyperlink ref="P554" r:id="rId1074" display="https://my.zakupivli.pro/remote/dispatcher/state_purchase_view/50747236" xr:uid="{FB0DCD74-88F9-41AC-8F1E-AD4B3A3CF8D4}"/>
    <hyperlink ref="N552" r:id="rId1075" xr:uid="{1CCB0149-9511-4E7D-9C79-8853C9578D78}"/>
    <hyperlink ref="N553" r:id="rId1076" xr:uid="{A3A2289D-F2C7-41D9-A570-454E233E9435}"/>
    <hyperlink ref="N554" r:id="rId1077" xr:uid="{0E0CC275-9DE1-4540-810F-B2788A6C1F5C}"/>
    <hyperlink ref="P555" r:id="rId1078" display="https://my.zakupivli.pro/remote/dispatcher/state_purchase_view/50828435" xr:uid="{DCD36850-C7E9-42FE-A456-A1D00595D340}"/>
    <hyperlink ref="N555" r:id="rId1079" xr:uid="{04972F62-7FAF-49E1-8CE8-8045551B35D4}"/>
    <hyperlink ref="P556" r:id="rId1080" display="https://my.zakupivli.pro/remote/dispatcher/state_purchase_view/50840153" xr:uid="{4080FDBE-EFC6-4F46-B8B5-F5B93EF5AF91}"/>
    <hyperlink ref="N556" r:id="rId1081" xr:uid="{6773D9E0-054A-462E-963A-17F648DA3E0A}"/>
    <hyperlink ref="P557" r:id="rId1082" display="https://my.zakupivli.pro/remote/dispatcher/state_purchase_view/50870545" xr:uid="{2BCE507B-4842-4E25-9AAA-871E79B038EB}"/>
    <hyperlink ref="P558" r:id="rId1083" display="https://my.zakupivli.pro/remote/dispatcher/state_purchase_view/50869659" xr:uid="{29390402-D177-439D-B619-8C29A74C889E}"/>
    <hyperlink ref="N557" r:id="rId1084" xr:uid="{DE1B8AED-89AA-4639-B910-378A8EABC5B4}"/>
    <hyperlink ref="N558" r:id="rId1085" xr:uid="{00B8DB4A-F40B-442C-8B37-6584B5C96943}"/>
    <hyperlink ref="P559" r:id="rId1086" display="https://my.zakupivli.pro/remote/dispatcher/state_purchase_view/50900302" xr:uid="{DB2DF90A-17AF-42D1-8FD1-AB6CE8E7F63E}"/>
    <hyperlink ref="P560" r:id="rId1087" display="https://my.zakupivli.pro/remote/dispatcher/state_purchase_view/50899716" xr:uid="{35BC0933-E518-42EE-9E3F-EBAB8596ED29}"/>
    <hyperlink ref="N559" r:id="rId1088" xr:uid="{85D7C4EE-AEFF-47A3-8CEB-AC6AEADC5561}"/>
    <hyperlink ref="N560" r:id="rId1089" xr:uid="{A022FC66-66D6-4B06-ABFE-AF277B24AD6D}"/>
    <hyperlink ref="P561" r:id="rId1090" display="https://my.zakupivli.pro/remote/dispatcher/state_purchase_view/50942400" xr:uid="{A95D3C04-5B38-4D37-A47E-BC26D31EDDCB}"/>
    <hyperlink ref="P562" r:id="rId1091" display="https://my.zakupivli.pro/remote/dispatcher/state_purchase_view/50941461" xr:uid="{845B63AE-9A67-486E-B509-450D2121BF32}"/>
    <hyperlink ref="P563" r:id="rId1092" display="https://my.zakupivli.pro/remote/dispatcher/state_purchase_view/50941180" xr:uid="{B77DC5AC-FFD3-4F56-9BA5-93111BDC68D5}"/>
    <hyperlink ref="P564" r:id="rId1093" display="https://my.zakupivli.pro/remote/dispatcher/state_purchase_view/50934484" xr:uid="{8A020F7B-5155-4CCF-BCF2-02FCE04DAF4C}"/>
    <hyperlink ref="P565" r:id="rId1094" display="https://my.zakupivli.pro/remote/dispatcher/state_purchase_view/50933225" xr:uid="{E6AA1327-4234-442A-AE2E-C5E43E04DA0C}"/>
    <hyperlink ref="N561" r:id="rId1095" xr:uid="{D53E1B57-52B8-4332-994C-AAF238EF39D3}"/>
    <hyperlink ref="N562" r:id="rId1096" xr:uid="{85C33428-003C-44EA-8E71-79FDCDF2A267}"/>
    <hyperlink ref="N563" r:id="rId1097" xr:uid="{A994792D-7926-44A2-8EBA-9954865C6098}"/>
    <hyperlink ref="N564" r:id="rId1098" xr:uid="{0BCA068D-BB7F-4D57-9C67-59AE5400191A}"/>
    <hyperlink ref="N565" r:id="rId1099" xr:uid="{D1FD521C-95A7-482C-9EA3-C39127A7DFC2}"/>
    <hyperlink ref="P566" r:id="rId1100" display="https://my.zakupivli.pro/remote/dispatcher/state_purchase_view/50949996" xr:uid="{92C17058-2A6F-4EB8-9971-5FCCA17781FB}"/>
    <hyperlink ref="N566" r:id="rId1101" xr:uid="{F74B4D5C-9563-413D-A333-606E6EE3BB6B}"/>
    <hyperlink ref="P567" r:id="rId1102" display="https://my.zakupivli.pro/remote/dispatcher/state_purchase_view/50999556" xr:uid="{10EB4B9D-B51B-4DA9-B565-6B52C5692909}"/>
    <hyperlink ref="N567" r:id="rId1103" xr:uid="{97F61368-D2EE-4682-9998-BF8DE6BE50FD}"/>
    <hyperlink ref="P568" r:id="rId1104" display="https://my.zakupivli.pro/remote/dispatcher/state_purchase_view/51062772" xr:uid="{7F78C124-0805-4B3E-85CF-825D6B0BACC5}"/>
    <hyperlink ref="N568" r:id="rId1105" xr:uid="{2B4CCD70-DED2-4701-9FEC-83BA7045B49F}"/>
    <hyperlink ref="P569" r:id="rId1106" display="https://my.zakupivli.pro/remote/dispatcher/state_purchase_view/51111939" xr:uid="{A4EC041E-F704-4EE8-BF07-E1D614627F01}"/>
    <hyperlink ref="N569" r:id="rId1107" xr:uid="{EED3A23E-8DD6-46F1-B28D-0311A2DFE1A0}"/>
    <hyperlink ref="P570" r:id="rId1108" display="https://my.zakupivli.pro/remote/dispatcher/state_purchase_view/51125566" xr:uid="{083FCAB4-1FAD-4B0C-9E92-BEE670F77A9E}"/>
    <hyperlink ref="N570" r:id="rId1109" xr:uid="{9AEF14D7-EA9D-4E69-910E-EC910D61739B}"/>
    <hyperlink ref="P571" r:id="rId1110" display="https://my.zakupivli.pro/remote/dispatcher/state_purchase_view/51151129" xr:uid="{4F0A2AA7-D4B6-46D1-BAB7-1509EB483D86}"/>
    <hyperlink ref="N571" r:id="rId1111" xr:uid="{752D5761-768F-4C2B-998F-5DE1A96E070B}"/>
    <hyperlink ref="P572" r:id="rId1112" display="https://my.zakupivli.pro/remote/dispatcher/state_purchase_view/51190701" xr:uid="{48167725-9D71-4112-8B3E-974296449E45}"/>
    <hyperlink ref="P573" r:id="rId1113" display="https://my.zakupivli.pro/remote/dispatcher/state_purchase_view/51180705" xr:uid="{0C912B26-1397-470E-A39F-19CF09934D53}"/>
    <hyperlink ref="P574" r:id="rId1114" display="https://my.zakupivli.pro/remote/dispatcher/state_purchase_view/51179925" xr:uid="{CCFA06D7-B35B-4D65-9ACA-CA58C3BAE759}"/>
    <hyperlink ref="N572" r:id="rId1115" xr:uid="{84DC1533-B38D-464B-A95D-07737ED61671}"/>
    <hyperlink ref="N573" r:id="rId1116" xr:uid="{11ADD116-9166-412B-8EAE-577DD216876F}"/>
    <hyperlink ref="N574" r:id="rId1117" xr:uid="{B9F715F3-0475-4039-A2B8-659AA7007CA9}"/>
    <hyperlink ref="P575" r:id="rId1118" display="https://my.zakupivli.pro/remote/dispatcher/state_purchase_view/51263635" xr:uid="{BEA46668-F7FD-4763-8279-4989BDA8EF6F}"/>
    <hyperlink ref="P576" r:id="rId1119" display="https://my.zakupivli.pro/remote/dispatcher/state_purchase_view/51253027" xr:uid="{DC7D84EF-0896-4237-A58E-AE0E5C82A19B}"/>
    <hyperlink ref="P577" r:id="rId1120" display="https://my.zakupivli.pro/remote/dispatcher/state_purchase_view/51251693" xr:uid="{E1AB4294-69E4-4DF7-B025-EB5F84C92CD9}"/>
    <hyperlink ref="P578" r:id="rId1121" display="https://my.zakupivli.pro/remote/dispatcher/state_purchase_view/51251419" xr:uid="{267BEFC4-5BF3-4D06-818C-A4D4D073CBD5}"/>
    <hyperlink ref="P579" r:id="rId1122" display="https://my.zakupivli.pro/remote/dispatcher/state_purchase_view/51251184" xr:uid="{8C116149-46A1-4021-929E-BDE8000DE5E8}"/>
    <hyperlink ref="P580" r:id="rId1123" display="https://my.zakupivli.pro/remote/dispatcher/state_purchase_view/51251183" xr:uid="{EBA07C19-76A0-4B2E-A134-5606D9D7C762}"/>
    <hyperlink ref="P581" r:id="rId1124" display="https://my.zakupivli.pro/remote/dispatcher/state_purchase_view/51250880" xr:uid="{3B675598-62C8-4A65-91E5-EB15C097C532}"/>
    <hyperlink ref="N575" r:id="rId1125" xr:uid="{9A66338F-1FE2-406A-B0B0-12F5C5C056C3}"/>
    <hyperlink ref="N576" r:id="rId1126" xr:uid="{8CCC4007-2975-4016-8B84-158491C580C1}"/>
    <hyperlink ref="N577" r:id="rId1127" xr:uid="{3C7B3F07-1EF6-4DFB-A110-3431B4D13D8A}"/>
    <hyperlink ref="N578" r:id="rId1128" xr:uid="{234E66CC-30F8-49CC-874B-CCF32D5DB12E}"/>
    <hyperlink ref="N579" r:id="rId1129" xr:uid="{07A5E64A-4070-4629-870F-5F2738F1149D}"/>
    <hyperlink ref="N580" r:id="rId1130" xr:uid="{75C7A882-EC7F-41E3-BFA9-E557719FD86F}"/>
    <hyperlink ref="N581" r:id="rId1131" xr:uid="{BE86B49C-F6B3-4A95-95F9-287F3D4C282E}"/>
    <hyperlink ref="P582" r:id="rId1132" display="https://my.zakupivli.pro/remote/dispatcher/state_purchase_view/51322354" xr:uid="{3156606A-5D1C-4C5C-8E95-2933BEFE14A9}"/>
    <hyperlink ref="P583" r:id="rId1133" display="https://my.zakupivli.pro/remote/dispatcher/state_purchase_view/51322404" xr:uid="{76EF03C4-1A81-46DE-8E73-6F5A2615A5DC}"/>
    <hyperlink ref="N582" r:id="rId1134" xr:uid="{5CFFA026-5559-47B4-BE25-2E91A831E19F}"/>
    <hyperlink ref="N583" r:id="rId1135" xr:uid="{16669A37-E150-4EB7-8382-50324021482E}"/>
    <hyperlink ref="P584" r:id="rId1136" display="https://my.zakupivli.pro/remote/dispatcher/state_purchase_view/51354614" xr:uid="{ADB71389-ED7E-46FD-9DD3-4223AF1C862A}"/>
    <hyperlink ref="P585" r:id="rId1137" display="https://my.zakupivli.pro/remote/dispatcher/state_purchase_view/51362144" xr:uid="{9AA1D020-1237-45F1-A0CA-9B6BAF081FA0}"/>
    <hyperlink ref="N584" r:id="rId1138" xr:uid="{5990DA14-30BF-4CCE-A803-F1B0D1DD9C05}"/>
    <hyperlink ref="N585" r:id="rId1139" xr:uid="{FA5DF3E6-EC66-469B-A7C7-1071C7AFE5B5}"/>
    <hyperlink ref="N586" r:id="rId1140" xr:uid="{C65F0D2A-1E7E-4ADF-AD17-21FCB5A1B413}"/>
    <hyperlink ref="P586" r:id="rId1141" display="https://my.zakupivli.pro/remote/dispatcher/state_purchase_view/51397532" xr:uid="{5F5200D4-5140-475B-897C-3C8635DBD545}"/>
    <hyperlink ref="P587" r:id="rId1142" display="https://my.zakupivli.pro/remote/dispatcher/state_purchase_view/51454131" xr:uid="{A497A8FE-0883-4B46-B5B6-95561DD64B87}"/>
    <hyperlink ref="N587" r:id="rId1143" xr:uid="{415B9F90-5C0E-4B90-8D13-7CA7BF081661}"/>
    <hyperlink ref="P588" r:id="rId1144" display="https://my.zakupivli.pro/remote/dispatcher/state_purchase_view/51515216" xr:uid="{C1C38FB4-F800-431C-B640-031A1608F852}"/>
    <hyperlink ref="P589" r:id="rId1145" display="https://my.zakupivli.pro/remote/dispatcher/state_purchase_view/51515365" xr:uid="{A5CF9AEA-A15A-4B78-9337-BD182D1F86F0}"/>
    <hyperlink ref="N588" r:id="rId1146" xr:uid="{7E78700D-896B-471E-8F09-13FABD336DD8}"/>
    <hyperlink ref="N589" r:id="rId1147" xr:uid="{F3CB45A5-81D6-4064-8FC4-C9665E0F6A59}"/>
    <hyperlink ref="P590" r:id="rId1148" display="https://my.zakupivli.pro/remote/dispatcher/state_purchase_view/51547469" xr:uid="{C08603F4-4703-4D96-A7CA-92736165D117}"/>
    <hyperlink ref="N590" r:id="rId1149" xr:uid="{AF17D33F-F19E-416E-8913-69C7A5B10456}"/>
    <hyperlink ref="P591" r:id="rId1150" display="https://my.zakupivli.pro/remote/dispatcher/state_purchase_view/51611381" xr:uid="{8BDA39B7-178D-4C31-BFAF-DE79A1A585B2}"/>
    <hyperlink ref="N591" r:id="rId1151" xr:uid="{08ADE484-8A29-4AEC-B7DA-10FD4FCD9B16}"/>
    <hyperlink ref="P592" r:id="rId1152" display="https://my.zakupivli.pro/remote/dispatcher/state_purchase_view/51621292" xr:uid="{28B0F792-E217-4F5B-B357-2C8AB9F36C7A}"/>
    <hyperlink ref="N592" r:id="rId1153" xr:uid="{628EFA6B-B1F7-4AA4-84B9-0B4E41A41737}"/>
    <hyperlink ref="P593" r:id="rId1154" display="https://my.zakupivli.pro/remote/dispatcher/state_purchase_view/51625477" xr:uid="{CB749433-BE7E-4166-9535-E8FDEA508E13}"/>
    <hyperlink ref="N593" r:id="rId1155" xr:uid="{C6A8CF59-E827-491B-A27C-9F2DC0EB29D1}"/>
    <hyperlink ref="P594" r:id="rId1156" display="https://my.zakupivli.pro/remote/dispatcher/state_purchase_view/51698131" xr:uid="{2712B9CF-391A-4975-BFFB-76C6F9E337BC}"/>
    <hyperlink ref="P595" r:id="rId1157" display="https://my.zakupivli.pro/remote/dispatcher/state_purchase_view/51701959" xr:uid="{DC9E9AF8-0404-4E62-85D5-D91B28113215}"/>
    <hyperlink ref="N594" r:id="rId1158" xr:uid="{B7FC9496-AA10-4B3A-A550-E2D06956012B}"/>
    <hyperlink ref="N595" r:id="rId1159" xr:uid="{A63DE463-FE95-4DDA-8416-77178DF5EB66}"/>
    <hyperlink ref="P596" r:id="rId1160" display="https://my.zakupivli.pro/remote/dispatcher/state_purchase_view/51723896" xr:uid="{C4DD34DE-57DA-4C9F-A3DC-C3615D847634}"/>
    <hyperlink ref="N596" r:id="rId1161" xr:uid="{2F27DE04-5FF0-448B-9799-87DE1D2D8717}"/>
    <hyperlink ref="P597" r:id="rId1162" display="https://my.zakupivli.pro/remote/dispatcher/state_purchase_view/51759699" xr:uid="{1ED40384-402C-47D4-B91A-9138FABD6996}"/>
    <hyperlink ref="P598" r:id="rId1163" display="https://my.zakupivli.pro/remote/dispatcher/state_purchase_view/51759838" xr:uid="{1C0D01B9-436F-46D3-B154-5B8DA24B822A}"/>
    <hyperlink ref="P599" r:id="rId1164" display="https://my.zakupivli.pro/remote/dispatcher/state_purchase_view/51759365" xr:uid="{83C32D6B-B415-4729-BF74-0273B3C0F5C6}"/>
    <hyperlink ref="N597" r:id="rId1165" xr:uid="{D47C27C4-2902-4758-9A52-5A3375B481DD}"/>
    <hyperlink ref="N598" r:id="rId1166" xr:uid="{EED43C2E-C087-41F3-8C38-15BA6BECF553}"/>
    <hyperlink ref="N599" r:id="rId1167" xr:uid="{5848A8DC-8E06-46FB-8488-2D98C8465121}"/>
    <hyperlink ref="P600" r:id="rId1168" display="https://my.zakupivli.pro/remote/dispatcher/state_purchase_view/51822469" xr:uid="{6041A474-35B2-4D70-A82D-B56C07848E48}"/>
    <hyperlink ref="P601" r:id="rId1169" display="https://my.zakupivli.pro/remote/dispatcher/state_purchase_view/51820402" xr:uid="{D692ACA7-0983-45CB-8336-D5E2ABFFB861}"/>
    <hyperlink ref="P602" r:id="rId1170" display="https://my.zakupivli.pro/remote/dispatcher/state_purchase_view/51818650" xr:uid="{BA7894D5-4AA5-4187-A8AB-FEB3D9A38E79}"/>
    <hyperlink ref="P603" r:id="rId1171" display="https://my.zakupivli.pro/remote/dispatcher/state_purchase_view/51817543" xr:uid="{A043BD1C-5B5F-40E5-8ADB-43217E5F4461}"/>
    <hyperlink ref="P604" r:id="rId1172" display="https://my.zakupivli.pro/remote/dispatcher/state_purchase_view/51817314" xr:uid="{4ACB9574-295B-49F1-A9A5-A3CEA2370978}"/>
    <hyperlink ref="P605" r:id="rId1173" display="https://my.zakupivli.pro/remote/dispatcher/state_purchase_view/51817193" xr:uid="{D79AF7C0-775B-48E3-A16A-46024C3D012A}"/>
    <hyperlink ref="P606" r:id="rId1174" display="https://my.zakupivli.pro/remote/dispatcher/state_purchase_view/51817090" xr:uid="{DAB101F5-0753-49C8-85D7-F9FC9B0A3E47}"/>
    <hyperlink ref="P607" r:id="rId1175" display="https://my.zakupivli.pro/remote/dispatcher/state_purchase_view/51816944" xr:uid="{B0E05C0F-A468-48A5-94B9-AD12AFB113F8}"/>
    <hyperlink ref="N600" r:id="rId1176" xr:uid="{77EECE64-DB27-45BE-9B1B-941ECA303AE8}"/>
    <hyperlink ref="N601" r:id="rId1177" xr:uid="{8499F38C-0D9C-486D-8499-459C3510C738}"/>
    <hyperlink ref="N602" r:id="rId1178" xr:uid="{8FD6524D-512E-4304-AB26-B971DF3772B8}"/>
    <hyperlink ref="N603" r:id="rId1179" xr:uid="{669501FF-DA61-47E2-A118-A2FD5F4BE367}"/>
    <hyperlink ref="N604" r:id="rId1180" xr:uid="{01298805-D709-4E1F-B022-840EE88AEB9C}"/>
    <hyperlink ref="N605" r:id="rId1181" xr:uid="{5851DAA5-AE58-4FCE-A306-160CFC22D0DB}"/>
    <hyperlink ref="N606" r:id="rId1182" xr:uid="{63243D27-E3D5-4A42-A8C6-4FDB7AD5B3B1}"/>
    <hyperlink ref="N607" r:id="rId1183" xr:uid="{0A3C068C-4A84-4601-979C-2355CAC7F016}"/>
    <hyperlink ref="P608" r:id="rId1184" display="https://my.zakupivli.pro/remote/dispatcher/state_purchase_view/51864709" xr:uid="{42FBF9FA-204B-4E39-A1FA-CBFAF366382F}"/>
    <hyperlink ref="N608" r:id="rId1185" xr:uid="{FC6E0F1D-4333-432D-93AA-F294B1484315}"/>
    <hyperlink ref="P609" r:id="rId1186" display="https://my.zakupivli.pro/remote/dispatcher/state_purchase_view/51920404" xr:uid="{A77708F8-8D85-4CDC-94C3-FBD8B8D485EC}"/>
    <hyperlink ref="N609" r:id="rId1187" xr:uid="{A7337E73-AC64-4D2D-9F9A-00F09C8EE87F}"/>
    <hyperlink ref="P610" r:id="rId1188" display="https://my.zakupivli.pro/remote/dispatcher/state_purchase_view/51931077" xr:uid="{D207680B-8070-4BDE-98EB-0F8ABC63D27D}"/>
    <hyperlink ref="N610" r:id="rId1189" xr:uid="{4010C197-E6AD-4BBA-80F5-5E3819C635AC}"/>
    <hyperlink ref="P611" r:id="rId1190" display="https://my.zakupivli.pro/remote/dispatcher/state_purchase_view/51960186" xr:uid="{AA6CD28E-9BBA-4E19-8429-CB8FC7702211}"/>
    <hyperlink ref="P612" r:id="rId1191" display="https://my.zakupivli.pro/remote/dispatcher/state_purchase_view/51971165" xr:uid="{8B6AAB74-92D9-4B6A-9724-71CE965743BE}"/>
    <hyperlink ref="N611" r:id="rId1192" xr:uid="{8D4E66FE-BA12-4805-8876-FF42D8C534AD}"/>
    <hyperlink ref="N612" r:id="rId1193" xr:uid="{E327BF1B-7104-42BD-B035-3D2E3C684877}"/>
    <hyperlink ref="P613" r:id="rId1194" display="https://my.zakupivli.pro/remote/dispatcher/state_purchase_view/52043167" xr:uid="{73E5B699-3FCD-4A62-8DED-55D799EAEAC3}"/>
    <hyperlink ref="P614" r:id="rId1195" display="https://my.zakupivli.pro/remote/dispatcher/state_purchase_view/52044369" xr:uid="{7251162F-9356-452A-80BA-8F59C4BE5714}"/>
    <hyperlink ref="N613" r:id="rId1196" xr:uid="{E1FD3399-891C-4E25-BDFE-AD3D7F8E17B0}"/>
    <hyperlink ref="N614" r:id="rId1197" xr:uid="{7B3781CE-DC41-47BC-8AD5-970E2738E17B}"/>
    <hyperlink ref="P615" r:id="rId1198" display="https://my.zakupivli.pro/remote/dispatcher/state_purchase_view/52095853" xr:uid="{B20E3022-FC6E-417F-ADA0-750624AD9020}"/>
    <hyperlink ref="N615" r:id="rId1199" xr:uid="{2FB469D4-FBED-453A-AF4F-64CA7E0E5750}"/>
    <hyperlink ref="P616" r:id="rId1200" display="https://my.zakupivli.pro/remote/dispatcher/state_purchase_view/52153166" xr:uid="{6CAFAA8C-74D3-41D1-9F04-BA80009974DA}"/>
    <hyperlink ref="P617" r:id="rId1201" display="https://my.zakupivli.pro/remote/dispatcher/state_purchase_view/52153696" xr:uid="{C509B232-AD94-46F1-985E-3E6EF913FF18}"/>
    <hyperlink ref="P618" r:id="rId1202" display="https://my.zakupivli.pro/remote/dispatcher/state_purchase_view/52158746" xr:uid="{F34278D2-5082-4BEF-AE8F-0D9B3621AE1E}"/>
    <hyperlink ref="N616" r:id="rId1203" xr:uid="{544C2E92-632D-4B7A-8145-49002230A335}"/>
    <hyperlink ref="N617" r:id="rId1204" xr:uid="{B2E5AE92-A1DB-4E9F-95F0-ECF1E60E3028}"/>
    <hyperlink ref="N618" r:id="rId1205" xr:uid="{9CED0889-29CD-46DB-8042-A04135CA425B}"/>
    <hyperlink ref="P619" r:id="rId1206" display="https://my.zakupivli.pro/remote/dispatcher/state_purchase_view/52186008" xr:uid="{E87F7DDF-9CA8-402D-BF6E-03862536B38B}"/>
    <hyperlink ref="N619" r:id="rId1207" xr:uid="{CECA091D-1569-4542-9E14-F6F6A891BE77}"/>
    <hyperlink ref="P620" r:id="rId1208" display="https://my.zakupivli.pro/remote/dispatcher/state_purchase_view/52220424" xr:uid="{6E3BC5EB-377E-432B-BDC4-AD4F387207D4}"/>
    <hyperlink ref="P621" r:id="rId1209" display="https://my.zakupivli.pro/remote/dispatcher/state_purchase_view/52221727" xr:uid="{AF9AF634-A6A4-47D0-AA6D-9DB9314868FE}"/>
    <hyperlink ref="N620" r:id="rId1210" xr:uid="{D08A11C7-9434-4629-8468-6E30D912393D}"/>
    <hyperlink ref="N621" r:id="rId1211" xr:uid="{845D1231-5E33-4F73-B22D-AC74207F32B8}"/>
    <hyperlink ref="P622" r:id="rId1212" display="https://my.zakupivli.pro/remote/dispatcher/state_purchase_view/52265646" xr:uid="{50FFA8F7-45DA-4A48-B62A-9C23E2A74B80}"/>
    <hyperlink ref="P623" r:id="rId1213" display="https://my.zakupivli.pro/remote/dispatcher/state_purchase_view/52266655" xr:uid="{5E09074E-AAF3-499D-8CB0-184222114E84}"/>
    <hyperlink ref="P624" r:id="rId1214" display="https://my.zakupivli.pro/remote/dispatcher/state_purchase_view/52281063" xr:uid="{479D5977-701A-4417-91DB-14BE7994EA80}"/>
    <hyperlink ref="P625" r:id="rId1215" display="https://my.zakupivli.pro/remote/dispatcher/state_purchase_view/52281767" xr:uid="{8DE8CD72-DA01-476C-A31D-F2BA5794B320}"/>
    <hyperlink ref="P626" r:id="rId1216" display="https://my.zakupivli.pro/remote/dispatcher/state_purchase_view/52282158" xr:uid="{A6B6D075-A240-4103-91C8-FB6867236C17}"/>
    <hyperlink ref="N622" r:id="rId1217" xr:uid="{0F02753F-93A1-4B91-944B-9AD40B350472}"/>
    <hyperlink ref="N623" r:id="rId1218" xr:uid="{B55121DE-2878-466F-AE79-B06B9C64AAE6}"/>
    <hyperlink ref="N624" r:id="rId1219" xr:uid="{212CFEC5-29FE-407B-AF78-52DFCBB5B4AB}"/>
    <hyperlink ref="N625" r:id="rId1220" xr:uid="{7AE6DD6D-45BC-4A80-9EA8-BDC3E4421DD7}"/>
    <hyperlink ref="N626" r:id="rId1221" xr:uid="{6460F684-9FEA-49C4-B2E6-FCCFF54B7613}"/>
    <hyperlink ref="P627" r:id="rId1222" display="https://my.zakupivli.pro/remote/dispatcher/state_purchase_view/52298726" xr:uid="{B53E9B74-B9A9-4F16-994C-72F3E0C6A5ED}"/>
    <hyperlink ref="P628" r:id="rId1223" display="https://my.zakupivli.pro/remote/dispatcher/state_purchase_view/52299011" xr:uid="{3F4E9DAB-FB34-4972-89AD-B02DB61C3269}"/>
    <hyperlink ref="N627" r:id="rId1224" xr:uid="{0674B07C-77E8-4E83-A8E4-649617A0570E}"/>
    <hyperlink ref="N628" r:id="rId1225" xr:uid="{129BD3AE-5E03-423C-9661-5BE50821142E}"/>
    <hyperlink ref="P629" r:id="rId1226" display="https://my.zakupivli.pro/remote/dispatcher/state_purchase_view/52314049" xr:uid="{B0D538E7-B402-4671-B127-36309A569BC2}"/>
    <hyperlink ref="P630" r:id="rId1227" display="https://my.zakupivli.pro/remote/dispatcher/state_purchase_view/52314938" xr:uid="{E6FC9A02-B15A-4CF3-977F-01FF69AEC81C}"/>
    <hyperlink ref="P631" r:id="rId1228" display="https://my.zakupivli.pro/remote/dispatcher/state_purchase_view/52315339" xr:uid="{91072B33-A8E2-478A-97D7-BC35CD5FF0BE}"/>
    <hyperlink ref="P632" r:id="rId1229" display="https://my.zakupivli.pro/remote/dispatcher/state_purchase_view/52333680" xr:uid="{197B067D-596F-476A-B6A5-016016FD0ACC}"/>
    <hyperlink ref="N629" r:id="rId1230" xr:uid="{B15C43C9-5735-479C-856E-2205537D03B8}"/>
    <hyperlink ref="N630" r:id="rId1231" xr:uid="{FAEFA970-B6C1-4A29-82BE-7397F6009C02}"/>
    <hyperlink ref="N631" r:id="rId1232" xr:uid="{69BCFD2D-1782-4F4D-81B2-B45D339EB69C}"/>
    <hyperlink ref="N632" r:id="rId1233" xr:uid="{ECADFC76-5EF2-460D-B048-BEE57C242D71}"/>
    <hyperlink ref="P633" r:id="rId1234" display="https://my.zakupivli.pro/remote/dispatcher/state_purchase_view/52342173" xr:uid="{6B39CADC-E10B-4879-9D87-BAC69B1E6866}"/>
    <hyperlink ref="P634" r:id="rId1235" display="https://my.zakupivli.pro/remote/dispatcher/state_purchase_view/52343625" xr:uid="{091FE4D2-EAF5-4507-9061-8D37545F6F82}"/>
    <hyperlink ref="P635" r:id="rId1236" display="https://my.zakupivli.pro/remote/dispatcher/state_purchase_view/52344173" xr:uid="{1C933649-3972-4434-9D6F-4C6A91E4A83B}"/>
    <hyperlink ref="P636" r:id="rId1237" display="https://my.zakupivli.pro/remote/dispatcher/state_purchase_view/52349219" xr:uid="{0F8184DD-64A6-436E-B892-4EB8F8273407}"/>
    <hyperlink ref="P637" r:id="rId1238" display="https://my.zakupivli.pro/remote/dispatcher/state_purchase_view/52353571" xr:uid="{EB412070-7E82-472A-8761-B145A41917AC}"/>
    <hyperlink ref="N633" r:id="rId1239" xr:uid="{E0883AA9-F0BC-43EC-8F10-E0A8A82C3D52}"/>
    <hyperlink ref="N634" r:id="rId1240" xr:uid="{24B744B0-A04D-43D9-A936-1F2A9AFC3879}"/>
    <hyperlink ref="N635" r:id="rId1241" xr:uid="{18197D35-02A2-4ED8-AAA2-723F4A9F904D}"/>
    <hyperlink ref="N636" r:id="rId1242" xr:uid="{D827C3CA-ACF8-41E8-ACA2-19B0D9DB676D}"/>
    <hyperlink ref="N637" r:id="rId1243" xr:uid="{F04D4726-C0FB-4DC8-ABD9-CE5B9E9874EA}"/>
    <hyperlink ref="P638" r:id="rId1244" display="https://my.zakupivli.pro/remote/dispatcher/state_purchase_view/52388202" xr:uid="{09A5696E-7644-4539-9067-1F0587482B04}"/>
    <hyperlink ref="N638" r:id="rId1245" xr:uid="{7CAA140C-57E4-4CDF-9F73-106B20A1ED34}"/>
    <hyperlink ref="P639" r:id="rId1246" display="https://my.zakupivli.pro/remote/dispatcher/state_purchase_view/52465821" xr:uid="{EE2600DD-3A64-4ACF-8D74-0CC1E7ED2F45}"/>
    <hyperlink ref="N639" r:id="rId1247" xr:uid="{2C1220AA-9498-407F-AB64-A6337832916F}"/>
    <hyperlink ref="P640" r:id="rId1248" display="https://my.zakupivli.pro/remote/dispatcher/state_purchase_view/52516319" xr:uid="{67D433A6-E1C3-4C5B-809C-2A7D74C62F89}"/>
    <hyperlink ref="P641" r:id="rId1249" display="https://my.zakupivli.pro/remote/dispatcher/state_purchase_view/52516741" xr:uid="{59543AED-85D8-403C-BDB6-42E4BC011645}"/>
    <hyperlink ref="P642" r:id="rId1250" display="https://my.zakupivli.pro/remote/dispatcher/state_purchase_view/52519045" xr:uid="{70D68AFC-9A9A-4E7B-B99D-F584BB9EE4E2}"/>
    <hyperlink ref="P643" r:id="rId1251" display="https://my.zakupivli.pro/remote/dispatcher/state_purchase_view/52524003" xr:uid="{8CFF2D41-D66E-4DFB-8A9E-25D04E3CF242}"/>
    <hyperlink ref="N640" r:id="rId1252" xr:uid="{9A987A01-52DA-4BCB-8B28-E478F2D73F56}"/>
    <hyperlink ref="N641" r:id="rId1253" xr:uid="{E5471153-B61C-483C-85DD-4BA00C7113B5}"/>
    <hyperlink ref="N642" r:id="rId1254" xr:uid="{049B0152-6D0D-4F20-ACA4-4F7AA702EDBE}"/>
    <hyperlink ref="N643" r:id="rId1255" xr:uid="{B680BD4B-7AA3-4615-8741-D17F57163548}"/>
    <hyperlink ref="P644" r:id="rId1256" display="https://my.zakupivli.pro/remote/dispatcher/state_purchase_view/52587377" xr:uid="{FEA45281-6E3B-4986-8939-E2ADF85C2A93}"/>
    <hyperlink ref="P645" r:id="rId1257" display="https://my.zakupivli.pro/remote/dispatcher/state_purchase_view/52587767" xr:uid="{CB43AAA8-3A57-4BBE-A349-FE45FEA3D3DE}"/>
    <hyperlink ref="P646" r:id="rId1258" display="https://my.zakupivli.pro/remote/dispatcher/state_purchase_view/52589055" xr:uid="{B1842602-57A1-4F0A-A809-EE61982967BB}"/>
    <hyperlink ref="N644" r:id="rId1259" xr:uid="{C74AC524-8990-4DF3-8C89-1FCF14DDB9B4}"/>
    <hyperlink ref="N645" r:id="rId1260" xr:uid="{8949ABC2-1439-4E9F-9A0B-A7B621069BA3}"/>
    <hyperlink ref="N646" r:id="rId1261" xr:uid="{B3861E39-2773-4F09-A153-BA437F5E320E}"/>
    <hyperlink ref="P647" r:id="rId1262" display="https://my.zakupivli.pro/remote/dispatcher/state_purchase_view/52604904" xr:uid="{BA9B7E61-4ACB-4E81-A636-94B5F132F2D0}"/>
    <hyperlink ref="P648" r:id="rId1263" display="https://my.zakupivli.pro/remote/dispatcher/state_purchase_view/52605117" xr:uid="{5F1B33EE-6F81-49B2-AC15-70590C5434F1}"/>
    <hyperlink ref="P649" r:id="rId1264" display="https://my.zakupivli.pro/remote/dispatcher/state_purchase_view/52605307" xr:uid="{5FEE515C-DF4D-428E-8806-10FC2A39E397}"/>
    <hyperlink ref="P650" r:id="rId1265" display="https://my.zakupivli.pro/remote/dispatcher/state_purchase_view/52605472" xr:uid="{4126BA4E-FFA4-4316-BB39-271C7F1DBD42}"/>
    <hyperlink ref="N647" r:id="rId1266" xr:uid="{6FB7702C-8023-400B-80A2-55A9F374AD71}"/>
    <hyperlink ref="N648" r:id="rId1267" xr:uid="{BEA09F80-E8AE-41C2-A02E-E46299F51189}"/>
    <hyperlink ref="N649" r:id="rId1268" xr:uid="{3DE8069D-B0B8-4E8A-B473-3D3B9ACE5061}"/>
    <hyperlink ref="N650" r:id="rId1269" xr:uid="{EE082D57-3BBD-4674-BD4A-0E2BC7D38882}"/>
    <hyperlink ref="P651" r:id="rId1270" display="https://my.zakupivli.pro/remote/dispatcher/state_purchase_view/52855486" xr:uid="{68D1590C-CCC8-4BCC-B155-B08494EF1BA7}"/>
    <hyperlink ref="P652" r:id="rId1271" display="https://my.zakupivli.pro/remote/dispatcher/state_purchase_view/52855277" xr:uid="{0156FEF1-4ED0-405A-B463-54BDFD11C5B3}"/>
    <hyperlink ref="P653" r:id="rId1272" display="https://my.zakupivli.pro/remote/dispatcher/state_purchase_view/52854599" xr:uid="{90AFC58B-99BA-496C-969A-DC09A778BCDE}"/>
    <hyperlink ref="P654" r:id="rId1273" display="https://my.zakupivli.pro/remote/dispatcher/state_purchase_view/52826404" xr:uid="{DC3AFF6B-BA46-4D4F-9AD3-BF5F20D057FA}"/>
    <hyperlink ref="P655" r:id="rId1274" display="https://my.zakupivli.pro/remote/dispatcher/state_purchase_view/52828280" xr:uid="{833403B3-4FFA-4C17-A9BF-E7FE41CBF3E5}"/>
    <hyperlink ref="P656" r:id="rId1275" display="https://my.zakupivli.pro/remote/dispatcher/state_purchase_view/52827119" xr:uid="{97D62623-FE94-4502-9F70-4F01E11C8BCB}"/>
    <hyperlink ref="P657" r:id="rId1276" display="https://my.zakupivli.pro/remote/dispatcher/state_purchase_view/52816266" xr:uid="{6DE25691-A66A-49A0-AB0B-F6342E5B5A86}"/>
    <hyperlink ref="P658" r:id="rId1277" display="https://my.zakupivli.pro/remote/dispatcher/state_purchase_view/52746547" xr:uid="{44ED2852-26EB-4B51-AFF1-6BC816BE0265}"/>
    <hyperlink ref="P659" r:id="rId1278" display="https://my.zakupivli.pro/remote/dispatcher/state_purchase_view/52745815" xr:uid="{C4615D39-6E1F-4291-8EF0-FFCA86F3EC52}"/>
    <hyperlink ref="P660" r:id="rId1279" display="https://my.zakupivli.pro/remote/dispatcher/state_purchase_view/52749428" xr:uid="{3C4A3D5B-4754-43D5-8963-2B177EBA050B}"/>
    <hyperlink ref="P661" r:id="rId1280" display="https://my.zakupivli.pro/remote/dispatcher/state_purchase_view/52757356" xr:uid="{34CFEDB5-E46E-4A0C-B466-8CB8D3707CCE}"/>
    <hyperlink ref="P662" r:id="rId1281" display="https://my.zakupivli.pro/remote/dispatcher/state_purchase_view/52758416" xr:uid="{B0B983EC-3781-4687-935F-C8639A4CABE9}"/>
    <hyperlink ref="P663" r:id="rId1282" display="https://my.zakupivli.pro/remote/dispatcher/state_purchase_view/52758890" xr:uid="{390F5AF5-2BB2-4613-81BA-A76EE6421F07}"/>
    <hyperlink ref="P664" r:id="rId1283" display="https://my.zakupivli.pro/remote/dispatcher/state_purchase_view/52723728" xr:uid="{F77E2F9D-1759-4AD2-8D28-4C6CE52C5A7F}"/>
    <hyperlink ref="P665" r:id="rId1284" display="https://my.zakupivli.pro/remote/dispatcher/state_purchase_view/52723515" xr:uid="{82EC1690-DC26-4E67-B9AF-0CE045EF5450}"/>
    <hyperlink ref="P666" r:id="rId1285" display="https://my.zakupivli.pro/remote/dispatcher/state_purchase_view/52687668" xr:uid="{4487DFCB-AF91-489D-9BC2-487DB6E80EEB}"/>
    <hyperlink ref="P667" r:id="rId1286" display="https://my.zakupivli.pro/remote/dispatcher/state_purchase_view/52706129" xr:uid="{690460FD-056D-4760-8502-610FF985F7B8}"/>
    <hyperlink ref="P668" r:id="rId1287" display="https://my.zakupivli.pro/remote/dispatcher/state_purchase_view/52684518" xr:uid="{BB559A3D-D883-48CE-A0A7-09987FFD9F30}"/>
    <hyperlink ref="P669" r:id="rId1288" display="https://my.zakupivli.pro/remote/dispatcher/state_purchase_view/52648015" xr:uid="{E6937EC6-3B16-4A8B-AAC9-2D1B75567795}"/>
    <hyperlink ref="P670" r:id="rId1289" display="https://my.zakupivli.pro/remote/dispatcher/state_purchase_view/52614637" xr:uid="{EC2C00C8-AFD1-4FED-82B8-50E07907AA43}"/>
    <hyperlink ref="N651" r:id="rId1290" xr:uid="{52647770-B884-4F13-BC1C-7D5C70805CDD}"/>
    <hyperlink ref="N652" r:id="rId1291" xr:uid="{2309DFA1-2ACD-4E28-80A4-4703D968D10C}"/>
    <hyperlink ref="N653" r:id="rId1292" xr:uid="{FD0DC1E0-BD24-4F52-A77E-3B29B4C74302}"/>
    <hyperlink ref="N654" r:id="rId1293" xr:uid="{A07AA722-A2A5-427F-B4F0-3543DFB92B22}"/>
    <hyperlink ref="N655" r:id="rId1294" xr:uid="{C1FBA96A-A19C-43CC-B6D9-01D7EEB95F3B}"/>
    <hyperlink ref="N656" r:id="rId1295" xr:uid="{F90F569E-6729-497F-A37C-CEBEE69DA11A}"/>
    <hyperlink ref="N657" r:id="rId1296" xr:uid="{10D813C0-8553-4AAC-8F3B-53F4580CB865}"/>
    <hyperlink ref="N658" r:id="rId1297" xr:uid="{AB6A79A4-E532-4866-B188-A5FA320E9350}"/>
    <hyperlink ref="N659" r:id="rId1298" xr:uid="{3941A439-C878-4AB5-A7DB-100E84CBE863}"/>
    <hyperlink ref="N660" r:id="rId1299" xr:uid="{B4A966D2-6BD3-4D2D-AE57-93D58C0BEFD5}"/>
    <hyperlink ref="N661" r:id="rId1300" xr:uid="{D7BDD581-0630-467E-B088-E5B653426825}"/>
    <hyperlink ref="N662" r:id="rId1301" xr:uid="{283CDB3E-0629-42C6-9454-7A566D9D9727}"/>
    <hyperlink ref="N663" r:id="rId1302" xr:uid="{45FC4FC0-59F8-4FD1-955A-D2A0780282FD}"/>
    <hyperlink ref="N664" r:id="rId1303" xr:uid="{D9DC3089-90A9-496D-B45E-F2D575EB0A92}"/>
    <hyperlink ref="N665" r:id="rId1304" xr:uid="{32135E26-F039-48BF-9C02-3EA4E34A4932}"/>
    <hyperlink ref="N666" r:id="rId1305" xr:uid="{C264A15F-7882-4D45-BB61-D9EEFB856D96}"/>
    <hyperlink ref="N667" r:id="rId1306" xr:uid="{1A22B9D2-7004-4619-B070-52D50DF71A80}"/>
    <hyperlink ref="N668" r:id="rId1307" xr:uid="{7AA24B95-E092-4CEA-9C3F-CE70164710C7}"/>
    <hyperlink ref="N669" r:id="rId1308" xr:uid="{48AA88A2-7077-441C-A1C1-A5C6347027DE}"/>
    <hyperlink ref="N670" r:id="rId1309" xr:uid="{087D16CE-4C7B-4C6E-9CA8-DB05A16149F0}"/>
    <hyperlink ref="P671" r:id="rId1310" display="https://my.zakupivli.pro/remote/dispatcher/state_purchase_view/52989866" xr:uid="{7E0926C8-022A-4EAA-8667-12A79B3F12BD}"/>
    <hyperlink ref="P672" r:id="rId1311" display="https://my.zakupivli.pro/remote/dispatcher/state_purchase_view/52990788" xr:uid="{BB63BAFC-5DAC-4C66-8945-85C512A63D23}"/>
    <hyperlink ref="N671" r:id="rId1312" xr:uid="{F07E4447-7E3B-4446-ADC4-427613711E28}"/>
    <hyperlink ref="N672" r:id="rId1313" xr:uid="{022E1660-846F-43E1-AE9E-E16250EE25B5}"/>
    <hyperlink ref="P673" r:id="rId1314" display="https://my.zakupivli.pro/remote/dispatcher/state_purchase_view/53031151" xr:uid="{46118D6E-205E-4AE4-B8AD-2E18B8513CA3}"/>
    <hyperlink ref="N673" r:id="rId1315" xr:uid="{58C96F4D-76E3-45BA-A002-F6F0DFC700A4}"/>
    <hyperlink ref="P674" r:id="rId1316" display="https://my.zakupivli.pro/remote/dispatcher/state_purchase_view/53131375" xr:uid="{EBA77014-5830-4BF7-A646-9A9DF5420AC3}"/>
    <hyperlink ref="N674" r:id="rId1317" xr:uid="{419C1CAC-799A-4DCF-AEDF-061AAC799BFD}"/>
    <hyperlink ref="P675" r:id="rId1318" display="https://my.zakupivli.pro/remote/dispatcher/state_purchase_view/53177341" xr:uid="{B5403759-9DC8-4F52-9C06-45B18F591A4A}"/>
    <hyperlink ref="P676" r:id="rId1319" display="https://my.zakupivli.pro/remote/dispatcher/state_purchase_view/53189619" xr:uid="{EF82A2DF-AFFB-4292-A0AD-0808A747DB18}"/>
    <hyperlink ref="N675" r:id="rId1320" xr:uid="{FC0C78AB-4C7C-49C6-906A-FEF397C829F3}"/>
    <hyperlink ref="N676" r:id="rId1321" xr:uid="{14AA84D3-3E5C-46CE-AB4E-9A65F45E92BA}"/>
    <hyperlink ref="P677" r:id="rId1322" display="https://my.zakupivli.pro/remote/dispatcher/state_purchase_view/53208764" xr:uid="{50D8C259-BF75-4AE9-852A-E7489800A54B}"/>
    <hyperlink ref="N677" r:id="rId1323" xr:uid="{FB110E96-A2A9-4A1B-8D1C-55372C0841E8}"/>
    <hyperlink ref="P678" r:id="rId1324" display="https://my.zakupivli.pro/remote/dispatcher/state_purchase_view/53237037" xr:uid="{4248F06F-68A7-46B0-BEED-9904097D5344}"/>
    <hyperlink ref="N678" r:id="rId1325" xr:uid="{B9EECE4D-8575-4B16-9C40-D6F73CB39C00}"/>
    <hyperlink ref="P679" r:id="rId1326" display="https://my.zakupivli.pro/remote/dispatcher/state_purchase_view/53279231" xr:uid="{74ECE959-BB5D-4B3C-855C-D08BD8E18C63}"/>
    <hyperlink ref="P680" r:id="rId1327" display="https://my.zakupivli.pro/remote/dispatcher/state_purchase_view/53281103" xr:uid="{D66CB85B-DAC5-49B5-93CF-F8BD0070F6A7}"/>
    <hyperlink ref="N679" r:id="rId1328" xr:uid="{4D186FC9-A1C4-4292-972B-375D6753B0CB}"/>
    <hyperlink ref="N680" r:id="rId1329" xr:uid="{76ECD9B8-D7C4-44B9-8B7B-A18DCE780DF5}"/>
    <hyperlink ref="P681" r:id="rId1330" display="https://my.zakupivli.pro/remote/dispatcher/state_purchase_view/53295317" xr:uid="{14CAD8D7-5B5A-44AE-A0A6-EF8FF4291E74}"/>
    <hyperlink ref="P682" r:id="rId1331" display="https://my.zakupivli.pro/remote/dispatcher/state_purchase_view/53297243" xr:uid="{6E902866-9F24-4B64-A3C9-645705E0483E}"/>
    <hyperlink ref="P683" r:id="rId1332" display="https://my.zakupivli.pro/remote/dispatcher/state_purchase_view/53311753" xr:uid="{5B1A62F0-888A-4332-A473-A909F2635385}"/>
    <hyperlink ref="P684" r:id="rId1333" display="https://my.zakupivli.pro/remote/dispatcher/state_purchase_view/53313149" xr:uid="{BC7E17C0-E946-46D4-946F-359D6611D179}"/>
    <hyperlink ref="N681" r:id="rId1334" xr:uid="{20EE73CF-33E0-4920-A4EC-21CC3FE6C41F}"/>
    <hyperlink ref="N682" r:id="rId1335" xr:uid="{C6F3CED2-5737-46BF-88E6-3BBE8B527A0F}"/>
    <hyperlink ref="N683" r:id="rId1336" xr:uid="{1782DE52-18F2-4490-BAE4-F9124265BEAD}"/>
    <hyperlink ref="N684" r:id="rId1337" xr:uid="{34B22765-D8A4-48DE-A564-50E6C2002C8E}"/>
    <hyperlink ref="P685" r:id="rId1338" display="https://my.zakupivli.pro/remote/dispatcher/state_purchase_view/53457069" xr:uid="{5C81F705-1CD8-4C38-AA8C-D5995A86B52E}"/>
    <hyperlink ref="P686" r:id="rId1339" display="https://my.zakupivli.pro/remote/dispatcher/state_purchase_view/53451774" xr:uid="{DBAF09DE-B3E7-4B3D-B789-7B1BB8B2C354}"/>
    <hyperlink ref="N685" r:id="rId1340" xr:uid="{2CB68A94-528C-44D0-A6ED-2989DF3086BF}"/>
    <hyperlink ref="N686" r:id="rId1341" xr:uid="{150A8A04-2534-40D4-8F16-71547363CC25}"/>
    <hyperlink ref="P687" r:id="rId1342" display="https://my.zakupivli.pro/remote/dispatcher/state_purchase_view/53509367" xr:uid="{6D9F8D00-C58F-4EBA-B002-3D250216624E}"/>
    <hyperlink ref="P688" r:id="rId1343" display="https://my.zakupivli.pro/remote/dispatcher/state_purchase_view/53498923" xr:uid="{6DE181FF-B2AC-4BE8-878F-3005CDD5159E}"/>
    <hyperlink ref="P689" r:id="rId1344" display="https://my.zakupivli.pro/remote/dispatcher/state_purchase_view/53497297" xr:uid="{AE0F8072-E341-4076-A1DF-C30FEB805AD3}"/>
    <hyperlink ref="P690" r:id="rId1345" display="https://my.zakupivli.pro/remote/dispatcher/state_purchase_view/53492810" xr:uid="{DBA14DF8-E51E-46B8-A55B-4C2883984AA2}"/>
    <hyperlink ref="P691" r:id="rId1346" display="https://my.zakupivli.pro/remote/dispatcher/state_purchase_view/53490995" xr:uid="{CDE8BB25-869A-44E4-BDCC-8E15A68B77BF}"/>
    <hyperlink ref="N687" r:id="rId1347" xr:uid="{4162F1EE-3B68-4BF1-9A95-18F7BA0CDCA0}"/>
    <hyperlink ref="N688" r:id="rId1348" xr:uid="{74426CE6-D6CD-40E6-8413-0B74592A617E}"/>
    <hyperlink ref="N689" r:id="rId1349" xr:uid="{5B8ABADC-9206-46F1-95E5-F320FEB55043}"/>
    <hyperlink ref="N690" r:id="rId1350" xr:uid="{4C322467-06A9-4050-BC03-F709E2A6E970}"/>
    <hyperlink ref="N691" r:id="rId1351" xr:uid="{E14E98EA-0058-4D8F-8C50-9F2D526F265C}"/>
    <hyperlink ref="P692" r:id="rId1352" display="https://my.zakupivli.pro/remote/dispatcher/state_purchase_view/53583248" xr:uid="{C24CDFE4-EAD6-4BA3-A817-6888B7AEE9A7}"/>
    <hyperlink ref="P693" r:id="rId1353" display="https://my.zakupivli.pro/remote/dispatcher/state_purchase_view/53577857" xr:uid="{F6D41B47-B670-4F55-AF48-C00A25399DEF}"/>
    <hyperlink ref="P694" r:id="rId1354" display="https://my.zakupivli.pro/remote/dispatcher/state_purchase_view/53556779" xr:uid="{61E62217-C439-45E7-8807-4ED89ECFA04B}"/>
    <hyperlink ref="P695" r:id="rId1355" display="https://my.zakupivli.pro/remote/dispatcher/state_purchase_view/53556554" xr:uid="{BB8F5462-2AF9-4F5A-AD4E-2F0FD931C2D3}"/>
    <hyperlink ref="P696" r:id="rId1356" display="https://my.zakupivli.pro/remote/dispatcher/state_purchase_view/53556470" xr:uid="{99F49229-A633-40F2-9EE5-97EBE128917B}"/>
    <hyperlink ref="P697" r:id="rId1357" display="https://my.zakupivli.pro/remote/dispatcher/state_purchase_view/53556454" xr:uid="{660C197B-746C-4D44-9FE2-9EAA5D4B1291}"/>
    <hyperlink ref="N692" r:id="rId1358" xr:uid="{2E55B613-73E4-4266-8543-88A8067B21F7}"/>
    <hyperlink ref="N693" r:id="rId1359" xr:uid="{044FE69A-718F-4EFC-957B-9A56DC539D8A}"/>
    <hyperlink ref="N694" r:id="rId1360" xr:uid="{EEF9CD24-FB82-434C-A461-845ED5FC0277}"/>
    <hyperlink ref="N695" r:id="rId1361" xr:uid="{72F52C9B-C013-497F-B0E7-BC31D1FD5984}"/>
    <hyperlink ref="N696" r:id="rId1362" xr:uid="{7AADABAD-65F2-4615-BFF7-9881416B0E56}"/>
    <hyperlink ref="N697" r:id="rId1363" xr:uid="{DFC185DD-CADA-417A-A2AA-324ED5050420}"/>
    <hyperlink ref="P698" r:id="rId1364" display="https://my.zakupivli.pro/remote/dispatcher/state_purchase_view/53622436" xr:uid="{F18E4B56-8B69-49FF-8D21-5E8E072DD7C7}"/>
    <hyperlink ref="P699" r:id="rId1365" display="https://my.zakupivli.pro/remote/dispatcher/state_purchase_view/53622364" xr:uid="{477146F0-4602-4F5A-9997-DAEB19526C4A}"/>
    <hyperlink ref="N698" r:id="rId1366" xr:uid="{DA26C09E-0A58-4511-AD62-2ED118F01FC0}"/>
    <hyperlink ref="N699" r:id="rId1367" xr:uid="{2FFED06C-8A87-4919-AF85-FC674F3341D2}"/>
    <hyperlink ref="P700" r:id="rId1368" display="https://my.zakupivli.pro/remote/dispatcher/state_purchase_view/53763368" xr:uid="{EAC80F68-40A9-4C50-B8E2-8A79E71DF086}"/>
    <hyperlink ref="P701" r:id="rId1369" display="https://my.zakupivli.pro/remote/dispatcher/state_purchase_view/53763004" xr:uid="{F02E2B6F-ADC7-43F8-97EB-6624806ED6A5}"/>
    <hyperlink ref="N700" r:id="rId1370" xr:uid="{8CBE1CB2-DC2C-4950-9E75-35E24A4C2F77}"/>
    <hyperlink ref="N701" r:id="rId1371" xr:uid="{BE564EC9-0B48-4DCD-93F0-49A45F415957}"/>
    <hyperlink ref="P702" r:id="rId1372" display="https://my.zakupivli.pro/remote/dispatcher/state_purchase_view/53861267" xr:uid="{BDFEB9E3-41D4-400A-9684-E85AD82C30D7}"/>
    <hyperlink ref="N702" r:id="rId1373" xr:uid="{E3ABCF6E-DAD2-4B81-87E3-3558285B3C8C}"/>
    <hyperlink ref="P703" r:id="rId1374" display="https://my.zakupivli.pro/remote/dispatcher/state_purchase_view/53984270" xr:uid="{AB81E3FC-A0B8-493B-87D1-F692B25D8350}"/>
    <hyperlink ref="P704" r:id="rId1375" display="https://my.zakupivli.pro/remote/dispatcher/state_purchase_view/53959780" xr:uid="{DEF9B026-5B4A-4B73-A15C-CF1C0DC08DC1}"/>
    <hyperlink ref="N703" r:id="rId1376" xr:uid="{8EA288A4-7630-4ED0-B32D-701366F4AC13}"/>
    <hyperlink ref="N704" r:id="rId1377" xr:uid="{8FBB2205-F4EE-472D-BBE8-79ECAF78A205}"/>
    <hyperlink ref="P705" r:id="rId1378" display="https://my.zakupivli.pro/remote/dispatcher/state_purchase_view/54054503" xr:uid="{3F158271-30CB-40EC-9100-9B02EB1DBFE5}"/>
    <hyperlink ref="N705" r:id="rId1379" xr:uid="{9D9EF7F7-7016-4FE9-8DF2-09644FCF3F14}"/>
    <hyperlink ref="P706" r:id="rId1380" display="https://my.zakupivli.pro/remote/dispatcher/state_purchase_view/54095106" xr:uid="{3E84682A-1A28-4B2C-8217-17B2F357FD75}"/>
    <hyperlink ref="P707" r:id="rId1381" display="https://my.zakupivli.pro/remote/dispatcher/state_purchase_view/54094727" xr:uid="{632C7799-BED8-441F-A1B5-621B02008294}"/>
    <hyperlink ref="P708" r:id="rId1382" display="https://my.zakupivli.pro/remote/dispatcher/state_purchase_view/54094640" xr:uid="{253AA622-1EA6-414D-8DF8-6C8E813BC032}"/>
    <hyperlink ref="P709" r:id="rId1383" display="https://my.zakupivli.pro/remote/dispatcher/state_purchase_view/54094443" xr:uid="{267E183F-A108-4CD0-AEF4-10EC2512917E}"/>
    <hyperlink ref="N706" r:id="rId1384" xr:uid="{FA5C80BC-1BF4-4D17-A07F-B6784482A63E}"/>
    <hyperlink ref="N707" r:id="rId1385" xr:uid="{B4FB6ACF-28D5-45EA-9A8B-D68D58D4A7AC}"/>
    <hyperlink ref="N708" r:id="rId1386" xr:uid="{369E2379-83E6-4FF1-987D-49E245EEEC0B}"/>
    <hyperlink ref="N709" r:id="rId1387" xr:uid="{9BE8C4C5-2A71-40A3-B08B-B628A58DF52D}"/>
    <hyperlink ref="P710" r:id="rId1388" display="https://my.zakupivli.pro/remote/dispatcher/state_purchase_view/54164412" xr:uid="{7976675F-5B2B-4C3A-B8EB-D55B1C632CDF}"/>
    <hyperlink ref="N710" r:id="rId1389" xr:uid="{86BD39AC-A314-4D3D-9852-9BADDB0A83F9}"/>
  </hyperlinks>
  <pageMargins left="0.7" right="0.7" top="0.75" bottom="0.75" header="0.3" footer="0.3"/>
  <pageSetup paperSize="9" scale="34" orientation="landscape" verticalDpi="0" r:id="rId13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2024-10-23T13:58:33Z</dcterms:modified>
</cp:coreProperties>
</file>