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0FCE592F-B751-4573-AE1F-ECE2813D92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147" i="1" l="1"/>
  <c r="P1146" i="1"/>
  <c r="P1145" i="1"/>
  <c r="P1149" i="1"/>
  <c r="P1148" i="1"/>
  <c r="P1144" i="1" l="1"/>
  <c r="P1143" i="1"/>
  <c r="P1142" i="1" l="1"/>
  <c r="P1141" i="1"/>
  <c r="P1140" i="1"/>
  <c r="P1139" i="1" l="1"/>
  <c r="P1138" i="1" l="1"/>
  <c r="P1137" i="1"/>
  <c r="P1136" i="1"/>
  <c r="P1135" i="1"/>
  <c r="P1134" i="1"/>
  <c r="P1133" i="1" l="1"/>
  <c r="P1132" i="1"/>
  <c r="P1131" i="1"/>
  <c r="P1130" i="1" l="1"/>
  <c r="P1129" i="1" l="1"/>
  <c r="P1128" i="1"/>
  <c r="P1127" i="1" l="1"/>
  <c r="P1126" i="1" l="1"/>
  <c r="P1125" i="1"/>
  <c r="P1124" i="1"/>
  <c r="P1123" i="1" l="1"/>
  <c r="P1122" i="1"/>
  <c r="P1121" i="1"/>
  <c r="P1120" i="1"/>
  <c r="P1119" i="1" l="1"/>
  <c r="P1118" i="1"/>
  <c r="P1117" i="1"/>
  <c r="P1116" i="1" l="1"/>
  <c r="P1115" i="1"/>
  <c r="P1114" i="1"/>
  <c r="P1113" i="1"/>
  <c r="P1112" i="1"/>
  <c r="P1111" i="1" l="1"/>
  <c r="P1110" i="1"/>
  <c r="P1109" i="1"/>
  <c r="P1108" i="1" l="1"/>
  <c r="P1107" i="1" l="1"/>
  <c r="P1106" i="1" l="1"/>
  <c r="P1105" i="1" l="1"/>
  <c r="P1104" i="1"/>
  <c r="P1103" i="1"/>
  <c r="P1102" i="1" l="1"/>
  <c r="P1101" i="1"/>
  <c r="P1100" i="1" l="1"/>
  <c r="P1099" i="1"/>
  <c r="P1098" i="1"/>
  <c r="P1097" i="1" l="1"/>
  <c r="P1096" i="1"/>
  <c r="P1095" i="1"/>
  <c r="P1094" i="1"/>
  <c r="P1093" i="1" l="1"/>
  <c r="P1092" i="1" l="1"/>
  <c r="P1091" i="1" l="1"/>
  <c r="P1090" i="1"/>
  <c r="P1089" i="1"/>
  <c r="P1088" i="1" l="1"/>
  <c r="P1087" i="1"/>
  <c r="P1086" i="1"/>
  <c r="P1085" i="1"/>
  <c r="P1084" i="1"/>
  <c r="P1083" i="1" l="1"/>
  <c r="P1082" i="1"/>
  <c r="P1081" i="1"/>
  <c r="P1080" i="1" l="1"/>
  <c r="P1079" i="1"/>
  <c r="P1078" i="1"/>
  <c r="P1077" i="1"/>
  <c r="P1076" i="1"/>
  <c r="P1075" i="1" l="1"/>
  <c r="P1074" i="1"/>
  <c r="P1073" i="1"/>
  <c r="P1072" i="1"/>
  <c r="P1071" i="1"/>
  <c r="P1070" i="1"/>
  <c r="P1069" i="1"/>
  <c r="P1068" i="1" l="1"/>
  <c r="P1067" i="1"/>
  <c r="P1066" i="1"/>
  <c r="P1065" i="1"/>
  <c r="P1064" i="1" l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 l="1"/>
  <c r="P1050" i="1"/>
  <c r="P1049" i="1" l="1"/>
  <c r="P1048" i="1"/>
  <c r="P1047" i="1"/>
  <c r="P1046" i="1"/>
  <c r="P1045" i="1" l="1"/>
  <c r="P1044" i="1"/>
  <c r="P1043" i="1" l="1"/>
  <c r="P1042" i="1"/>
  <c r="P1041" i="1" l="1"/>
  <c r="P1040" i="1"/>
  <c r="P1039" i="1"/>
  <c r="P1038" i="1"/>
  <c r="P1037" i="1" l="1"/>
  <c r="P1036" i="1"/>
  <c r="P1035" i="1"/>
  <c r="P1034" i="1" l="1"/>
  <c r="P1033" i="1" l="1"/>
  <c r="P1032" i="1" l="1"/>
  <c r="P1031" i="1" l="1"/>
  <c r="P1030" i="1"/>
  <c r="P1029" i="1"/>
  <c r="P1028" i="1"/>
  <c r="P1027" i="1" l="1"/>
  <c r="P1026" i="1" l="1"/>
  <c r="P1025" i="1"/>
  <c r="P1024" i="1"/>
  <c r="P1023" i="1" l="1"/>
  <c r="P1022" i="1"/>
  <c r="P1021" i="1" l="1"/>
  <c r="P1020" i="1"/>
  <c r="P1019" i="1"/>
  <c r="P1018" i="1" l="1"/>
  <c r="P1017" i="1" l="1"/>
  <c r="P1016" i="1"/>
  <c r="P1015" i="1"/>
  <c r="P1014" i="1"/>
  <c r="P1013" i="1" l="1"/>
  <c r="P1012" i="1" l="1"/>
  <c r="P1011" i="1"/>
  <c r="P1010" i="1"/>
  <c r="P1009" i="1"/>
  <c r="P1008" i="1"/>
  <c r="P1007" i="1"/>
  <c r="P1006" i="1"/>
  <c r="P1005" i="1"/>
  <c r="P1004" i="1"/>
  <c r="P1003" i="1" l="1"/>
  <c r="P1002" i="1" l="1"/>
  <c r="P1001" i="1" l="1"/>
  <c r="P1000" i="1"/>
  <c r="P999" i="1" l="1"/>
  <c r="P998" i="1" l="1"/>
  <c r="P997" i="1"/>
  <c r="P996" i="1" l="1"/>
  <c r="P995" i="1"/>
  <c r="P994" i="1" l="1"/>
  <c r="P993" i="1"/>
  <c r="P992" i="1"/>
  <c r="P991" i="1" l="1"/>
  <c r="P990" i="1" l="1"/>
  <c r="P989" i="1" l="1"/>
  <c r="P988" i="1"/>
  <c r="P987" i="1"/>
  <c r="P986" i="1"/>
  <c r="P985" i="1"/>
  <c r="P984" i="1" l="1"/>
  <c r="P983" i="1"/>
  <c r="P982" i="1"/>
  <c r="P981" i="1"/>
  <c r="P980" i="1"/>
  <c r="P979" i="1"/>
  <c r="P978" i="1"/>
  <c r="P977" i="1" l="1"/>
  <c r="P976" i="1"/>
  <c r="P975" i="1"/>
  <c r="P974" i="1"/>
  <c r="P973" i="1" l="1"/>
  <c r="P972" i="1"/>
  <c r="P971" i="1"/>
  <c r="P970" i="1"/>
  <c r="P969" i="1"/>
  <c r="P968" i="1"/>
  <c r="P967" i="1"/>
  <c r="P965" i="1" l="1"/>
  <c r="P964" i="1"/>
  <c r="P963" i="1"/>
  <c r="P962" i="1"/>
  <c r="P961" i="1"/>
  <c r="P960" i="1"/>
  <c r="P959" i="1"/>
  <c r="P958" i="1"/>
  <c r="P957" i="1"/>
  <c r="P956" i="1" l="1"/>
  <c r="P955" i="1"/>
  <c r="P954" i="1"/>
  <c r="P953" i="1"/>
  <c r="P952" i="1"/>
  <c r="P951" i="1"/>
  <c r="P950" i="1"/>
  <c r="P949" i="1"/>
  <c r="P948" i="1" l="1"/>
  <c r="P947" i="1" l="1"/>
  <c r="P946" i="1"/>
  <c r="P945" i="1" l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 l="1"/>
  <c r="P919" i="1"/>
  <c r="P918" i="1" l="1"/>
  <c r="P917" i="1"/>
  <c r="P916" i="1"/>
  <c r="P915" i="1"/>
  <c r="P914" i="1"/>
  <c r="P913" i="1"/>
  <c r="P912" i="1"/>
  <c r="P911" i="1" l="1"/>
  <c r="P910" i="1" l="1"/>
  <c r="P909" i="1"/>
  <c r="P908" i="1"/>
  <c r="P907" i="1"/>
  <c r="P906" i="1"/>
  <c r="P905" i="1"/>
  <c r="P904" i="1" l="1"/>
  <c r="P903" i="1"/>
  <c r="P902" i="1"/>
  <c r="P901" i="1"/>
  <c r="P900" i="1"/>
  <c r="P899" i="1"/>
  <c r="P898" i="1"/>
  <c r="P897" i="1" l="1"/>
  <c r="P896" i="1" l="1"/>
  <c r="P895" i="1"/>
  <c r="P894" i="1"/>
  <c r="P893" i="1" l="1"/>
  <c r="P892" i="1" l="1"/>
  <c r="P891" i="1"/>
  <c r="P890" i="1"/>
  <c r="P889" i="1"/>
  <c r="P888" i="1"/>
  <c r="P887" i="1"/>
  <c r="P886" i="1"/>
  <c r="P885" i="1" l="1"/>
  <c r="P884" i="1" l="1"/>
  <c r="P883" i="1"/>
  <c r="P882" i="1"/>
  <c r="P881" i="1"/>
  <c r="P880" i="1"/>
  <c r="P879" i="1"/>
  <c r="P878" i="1" l="1"/>
  <c r="P877" i="1"/>
  <c r="P876" i="1"/>
  <c r="P875" i="1"/>
  <c r="P874" i="1"/>
  <c r="P873" i="1"/>
  <c r="P872" i="1"/>
  <c r="P867" i="1" l="1"/>
  <c r="P866" i="1"/>
  <c r="P871" i="1"/>
  <c r="P870" i="1"/>
  <c r="P869" i="1"/>
  <c r="P868" i="1"/>
  <c r="P865" i="1" l="1"/>
  <c r="P864" i="1"/>
  <c r="P863" i="1"/>
  <c r="P862" i="1" l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 l="1"/>
  <c r="P839" i="1" l="1"/>
  <c r="P838" i="1"/>
  <c r="P837" i="1"/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<sst xmlns="http://schemas.openxmlformats.org/spreadsheetml/2006/main" count="8104" uniqueCount="2432">
  <si>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</si>
  <si>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</si>
  <si>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</si>
  <si>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</si>
  <si>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</si>
  <si>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</si>
  <si>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</si>
  <si>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</si>
  <si>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</si>
  <si>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</si>
  <si>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</si>
  <si>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</si>
  <si>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</si>
  <si>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</si>
  <si>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</si>
  <si>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</si>
  <si>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</si>
  <si>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</si>
  <si>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</si>
  <si>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</si>
  <si>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</si>
  <si>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</si>
  <si>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</si>
  <si>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</si>
  <si>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</si>
  <si>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</si>
  <si>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</si>
  <si>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</si>
  <si>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</si>
  <si>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</si>
  <si>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</si>
  <si>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</si>
  <si>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</si>
  <si>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</si>
  <si>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</si>
  <si>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</si>
  <si>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</si>
  <si>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</si>
  <si>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</si>
  <si>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</si>
  <si>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</si>
  <si>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</si>
  <si>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</si>
  <si>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</si>
  <si>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</si>
  <si>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</si>
  <si>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</si>
  <si>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</si>
  <si>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</si>
  <si>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</si>
  <si>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</si>
  <si>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</si>
  <si>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</si>
  <si>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</si>
  <si>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</si>
  <si>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</si>
  <si>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</si>
  <si>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</si>
  <si>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</si>
  <si>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</si>
  <si>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</si>
  <si>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</si>
  <si>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</si>
  <si>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</si>
  <si>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</si>
  <si>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</si>
  <si>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</si>
  <si>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</si>
  <si>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</si>
  <si>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</si>
  <si>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</si>
  <si>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</si>
  <si>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</si>
  <si>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</si>
  <si>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</si>
  <si>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</si>
  <si>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</si>
  <si>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</si>
  <si>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</si>
  <si>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</si>
  <si>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</si>
  <si>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</si>
  <si>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</si>
  <si>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</si>
  <si>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</si>
  <si>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</si>
  <si>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</si>
  <si>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</si>
  <si>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</si>
  <si>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</si>
  <si>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</si>
  <si>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</si>
  <si>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</si>
  <si>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</si>
  <si>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</si>
  <si>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</si>
  <si>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</si>
  <si>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</si>
  <si>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</si>
  <si>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</si>
  <si>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</si>
  <si>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</si>
  <si>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</si>
  <si>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</si>
  <si>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</si>
  <si>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</si>
  <si>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</si>
  <si>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</si>
  <si>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</si>
  <si>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</si>
  <si>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</si>
  <si>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</si>
  <si>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</si>
  <si>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</si>
  <si>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</si>
  <si>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</si>
  <si>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</si>
  <si>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</si>
  <si>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</si>
  <si>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</si>
  <si>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</si>
  <si>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</si>
  <si>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</si>
  <si>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</si>
  <si>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</si>
  <si>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</si>
  <si>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</si>
  <si>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</si>
  <si>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</si>
  <si>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</si>
  <si>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</si>
  <si>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</si>
  <si>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</si>
  <si>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</si>
  <si>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</si>
  <si>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</si>
  <si>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</si>
  <si>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</si>
  <si>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</si>
  <si>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</si>
  <si>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</si>
  <si>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</si>
  <si>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</si>
  <si>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</si>
  <si>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</si>
  <si>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</si>
  <si>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</si>
  <si>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</si>
  <si>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</si>
  <si>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</si>
  <si>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</si>
  <si>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</si>
  <si>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</si>
  <si>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</si>
  <si>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</si>
  <si>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</si>
  <si>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</si>
  <si>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</si>
  <si>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</si>
  <si>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</si>
  <si>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</si>
  <si>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</si>
  <si>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</si>
  <si>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</si>
  <si>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</si>
  <si>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</si>
  <si>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</si>
  <si>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</si>
  <si>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</si>
  <si>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</si>
  <si>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</si>
  <si>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</si>
  <si>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</si>
  <si>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</si>
  <si>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</si>
  <si>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</si>
  <si>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</si>
  <si>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</si>
  <si>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</si>
  <si>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</si>
  <si>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</si>
  <si>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</si>
  <si>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</si>
  <si>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</si>
  <si>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</si>
  <si>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</si>
  <si>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</si>
  <si>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</si>
  <si>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</si>
  <si>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</si>
  <si>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</si>
  <si>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</si>
  <si>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</si>
  <si>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</si>
  <si>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</si>
  <si>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</si>
  <si>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</si>
  <si>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</si>
  <si>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</si>
  <si>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</si>
  <si>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</si>
  <si>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</si>
  <si>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</si>
  <si>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</si>
  <si>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</si>
  <si>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</si>
  <si>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</si>
  <si>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</si>
  <si>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</si>
  <si>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</si>
  <si>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</si>
  <si>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</si>
  <si>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</si>
  <si>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</si>
  <si>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</si>
  <si>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</si>
  <si>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</si>
  <si>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</si>
  <si>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</si>
  <si>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</si>
  <si>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</si>
  <si>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</si>
  <si>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</si>
  <si>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</si>
  <si>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</si>
  <si>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</si>
  <si>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</si>
  <si>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</si>
  <si>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</si>
  <si>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</si>
  <si>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</si>
  <si>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</si>
  <si>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</si>
  <si>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</si>
  <si>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</si>
  <si>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</si>
  <si>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</si>
  <si>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</si>
  <si>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</si>
  <si>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</si>
  <si>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</si>
  <si>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</si>
  <si>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</si>
  <si>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</si>
  <si>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</si>
  <si>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</si>
  <si>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</si>
  <si>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</si>
  <si>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</si>
  <si>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</si>
  <si>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</si>
  <si>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</si>
  <si>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</si>
  <si>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</si>
  <si>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</si>
  <si>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</si>
  <si>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</si>
  <si>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</si>
  <si>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</si>
  <si>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</si>
  <si>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</si>
  <si>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</si>
  <si>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</si>
  <si>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</si>
  <si>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</si>
  <si>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</si>
  <si>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</si>
  <si>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</si>
  <si>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</si>
  <si>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</si>
  <si>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</si>
  <si>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</si>
  <si>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</si>
  <si>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</si>
  <si>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</si>
  <si>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</si>
  <si>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</si>
  <si>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</si>
  <si>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</si>
  <si>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</si>
  <si>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</si>
  <si>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</si>
  <si>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</si>
  <si>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</si>
  <si>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</si>
  <si>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</si>
  <si>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</si>
  <si>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</si>
  <si>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</si>
  <si>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</si>
  <si>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</si>
  <si>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</si>
  <si>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</si>
  <si>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</si>
  <si>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</si>
  <si>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</si>
  <si>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</si>
  <si>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</si>
  <si>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</si>
  <si>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</si>
  <si>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</si>
  <si>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</si>
  <si>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</si>
  <si>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</si>
  <si>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</si>
  <si>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</si>
  <si>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</si>
  <si>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</si>
  <si>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</si>
  <si>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</si>
  <si>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</si>
  <si>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</si>
  <si>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</si>
  <si>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</si>
  <si>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</si>
  <si>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</si>
  <si>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</si>
  <si>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</si>
  <si>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</si>
  <si>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</si>
  <si>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</si>
  <si>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</si>
  <si>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</si>
  <si>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</si>
  <si>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</si>
  <si>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</si>
  <si>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</si>
  <si>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</si>
  <si>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</si>
  <si>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</si>
  <si>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</si>
  <si>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</si>
  <si>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</si>
  <si>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</si>
  <si>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</si>
  <si>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</si>
  <si>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</si>
  <si>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</si>
  <si>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</si>
  <si>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</si>
  <si>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</si>
  <si>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</si>
  <si>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</si>
  <si>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</si>
  <si>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</si>
  <si>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</si>
  <si>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</si>
  <si>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</si>
  <si>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</si>
  <si>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</si>
  <si>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</si>
  <si>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</si>
  <si>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</si>
  <si>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</si>
  <si>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</si>
  <si>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</si>
  <si>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</si>
  <si>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</si>
  <si>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</si>
  <si>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</si>
  <si>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</si>
  <si>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</si>
  <si>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</si>
  <si>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</si>
  <si>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</si>
  <si>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</si>
  <si>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</si>
  <si>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</si>
  <si>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</si>
  <si>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</si>
  <si>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</si>
  <si>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</si>
  <si>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</si>
  <si>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</si>
  <si>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</si>
  <si>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</si>
  <si>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</si>
  <si>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</si>
  <si>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</si>
  <si>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</si>
  <si>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</si>
  <si>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</si>
  <si>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</si>
  <si>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</si>
  <si>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</si>
  <si>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</si>
  <si>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</si>
  <si>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</si>
  <si>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</si>
  <si>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</si>
  <si>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</si>
  <si>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</si>
  <si>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</si>
  <si>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</si>
  <si>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</si>
  <si>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</si>
  <si>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</si>
  <si>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</si>
  <si>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</si>
  <si>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</si>
  <si>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</si>
  <si>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</si>
  <si>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</si>
  <si>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</si>
  <si>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</si>
  <si>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</si>
  <si>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</si>
  <si>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</si>
  <si>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</si>
  <si>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</si>
  <si>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</si>
  <si>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</si>
  <si>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</si>
  <si>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</si>
  <si>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</si>
  <si>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</si>
  <si>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</si>
  <si>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</si>
  <si>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</si>
  <si>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</si>
  <si>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</si>
  <si>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</si>
  <si>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</si>
  <si>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</si>
  <si>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</si>
  <si>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</si>
  <si>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</si>
  <si>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</si>
  <si>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</si>
  <si>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</si>
  <si>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</si>
  <si>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</si>
  <si>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</si>
  <si>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</si>
  <si>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</si>
  <si>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</si>
  <si>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</si>
  <si>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</si>
  <si>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</si>
  <si>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</si>
  <si>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</si>
  <si>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</si>
  <si>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</si>
  <si>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</si>
  <si>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</si>
  <si>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</si>
  <si>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</si>
  <si>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</si>
  <si>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</si>
  <si>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</si>
  <si>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</si>
  <si>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</si>
  <si>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</si>
  <si>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</si>
  <si>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</si>
  <si>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</si>
  <si>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</si>
  <si>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</si>
  <si>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</si>
  <si>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</si>
  <si>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</si>
  <si>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</si>
  <si>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</si>
  <si>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</si>
  <si>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</si>
  <si>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</si>
  <si>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</si>
  <si>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</si>
  <si>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</si>
  <si>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</si>
  <si>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</si>
  <si>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</si>
  <si>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</si>
  <si>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</si>
  <si>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</si>
  <si>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</si>
  <si>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</si>
  <si>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</si>
  <si>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</si>
  <si>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</si>
  <si>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</si>
  <si>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</si>
  <si>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</si>
  <si>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</si>
  <si>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</si>
  <si>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</si>
  <si>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</si>
  <si>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</si>
  <si>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</si>
  <si>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</si>
  <si>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</si>
  <si>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</si>
  <si>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</si>
  <si>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</si>
  <si>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</si>
  <si>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</si>
  <si>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</si>
  <si>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</si>
  <si>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</si>
  <si>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</si>
  <si>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</si>
  <si>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</si>
  <si>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</si>
  <si>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</si>
  <si>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</si>
  <si>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</si>
  <si>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</si>
  <si>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</si>
  <si>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</si>
  <si>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</si>
  <si>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</si>
  <si>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</si>
  <si>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</si>
  <si>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</si>
  <si>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</si>
  <si>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</si>
  <si>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</si>
  <si>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</si>
  <si>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</si>
  <si>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</si>
  <si>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</si>
  <si>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</si>
  <si>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</si>
  <si>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</si>
  <si>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</si>
  <si>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</si>
  <si>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</si>
  <si>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</si>
  <si>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</si>
  <si>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</si>
  <si>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</si>
  <si>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</si>
  <si>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</si>
  <si>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</si>
  <si>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</si>
  <si>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</si>
  <si>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</si>
  <si>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</si>
  <si>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</si>
  <si>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</si>
  <si>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</si>
  <si>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</si>
  <si>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</si>
  <si>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</si>
  <si>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</si>
  <si>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</si>
  <si>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</si>
  <si>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</si>
  <si>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</si>
  <si>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</si>
  <si>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</si>
  <si>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</si>
  <si>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</si>
  <si>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</si>
  <si>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</si>
  <si>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</si>
  <si>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</si>
  <si>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</si>
  <si>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</si>
  <si>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</si>
  <si>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</si>
  <si>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</si>
  <si>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</si>
  <si>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</si>
  <si>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</si>
  <si>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</si>
  <si>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</si>
  <si>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</si>
  <si>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</si>
  <si>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</si>
  <si>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</si>
  <si>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</si>
  <si>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</si>
  <si>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</si>
  <si>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</si>
  <si>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</si>
  <si>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</si>
  <si>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</si>
  <si>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</si>
  <si>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</si>
  <si>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</si>
  <si>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</si>
  <si>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</si>
  <si>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</si>
  <si>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</si>
  <si>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</si>
  <si>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</si>
  <si>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</si>
  <si>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</si>
  <si>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</si>
  <si>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</si>
  <si>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</si>
  <si>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</si>
  <si>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</si>
  <si>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</si>
  <si>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</si>
  <si>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</si>
  <si>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</si>
  <si>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</si>
  <si>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</si>
  <si>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</si>
  <si>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</si>
  <si>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</si>
  <si>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</si>
  <si>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</si>
  <si>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</si>
  <si>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</si>
  <si>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</si>
  <si>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</si>
  <si>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</si>
  <si>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</si>
  <si>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</si>
  <si>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</si>
  <si>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</si>
  <si>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</si>
  <si>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</si>
  <si>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</si>
  <si>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</si>
  <si>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</si>
  <si>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</si>
  <si>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</si>
  <si>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</si>
  <si>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</si>
  <si>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</si>
  <si>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</si>
  <si>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</si>
  <si>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</si>
  <si>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</si>
  <si>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</si>
  <si>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</si>
  <si>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</si>
  <si>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</si>
  <si>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</si>
  <si>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</si>
  <si>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</si>
  <si>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</si>
  <si>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</si>
  <si>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</si>
  <si>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</si>
  <si>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</si>
  <si>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</si>
  <si>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</si>
  <si>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</si>
  <si>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</si>
  <si>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</si>
  <si>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</si>
  <si>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</si>
  <si>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</si>
  <si>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</si>
  <si>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</si>
  <si>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</si>
  <si>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</si>
  <si>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</si>
  <si>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</si>
  <si>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</si>
  <si>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</si>
  <si>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</si>
  <si>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</si>
  <si>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</si>
  <si>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</si>
  <si>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</si>
  <si>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</si>
  <si>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</si>
  <si>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</si>
  <si>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</si>
  <si>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</si>
  <si>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</si>
  <si>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</si>
  <si>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</si>
  <si>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</si>
  <si>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</si>
  <si>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</si>
  <si>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</si>
  <si>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</si>
  <si>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</si>
  <si>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</si>
  <si>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</si>
  <si>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</si>
  <si>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</si>
  <si>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</si>
  <si>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</si>
  <si>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</si>
  <si>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</si>
  <si>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</si>
  <si>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</si>
  <si>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</si>
  <si>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</si>
  <si>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</si>
  <si>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</si>
  <si>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</si>
  <si>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</si>
  <si>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</si>
  <si>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</si>
  <si>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</si>
  <si>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</si>
  <si>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</si>
  <si>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</si>
  <si>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</si>
  <si>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</si>
  <si>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</si>
  <si>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</si>
  <si>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</si>
  <si>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</si>
  <si>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</si>
  <si>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</si>
  <si>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</si>
  <si>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</si>
  <si>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</si>
  <si>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</si>
  <si>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</si>
  <si>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</si>
  <si>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</si>
  <si>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</si>
  <si>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</si>
  <si>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</si>
  <si>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</si>
  <si>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</si>
  <si>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</si>
  <si>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</si>
  <si>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</si>
  <si>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</si>
  <si>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</si>
  <si>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</si>
  <si>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</si>
  <si>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</si>
  <si>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</si>
  <si>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</si>
  <si>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</si>
  <si>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</si>
  <si>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</si>
  <si>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</si>
  <si>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</si>
  <si>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</si>
  <si>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</si>
  <si>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</si>
  <si>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</si>
  <si>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</si>
  <si>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</si>
  <si>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</si>
  <si>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</si>
  <si>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</si>
  <si>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</si>
  <si>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</si>
  <si>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</si>
  <si>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</si>
  <si>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</si>
  <si>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</si>
  <si>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</si>
  <si>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</si>
  <si>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</si>
  <si>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</si>
  <si>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</si>
  <si>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</si>
  <si>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</si>
  <si>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</si>
  <si>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</si>
  <si>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</si>
  <si>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</si>
  <si>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</si>
  <si>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</si>
  <si>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</si>
  <si>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</si>
  <si>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</si>
  <si>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</si>
  <si>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</si>
  <si>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</si>
  <si>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</si>
  <si>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</si>
  <si>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</si>
  <si>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</si>
  <si>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</si>
  <si>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</si>
  <si>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</si>
  <si>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</si>
  <si>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</si>
  <si>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</si>
  <si>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</si>
  <si>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</si>
  <si>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</si>
  <si>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</si>
  <si>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</si>
  <si>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</si>
  <si>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</si>
  <si>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</si>
  <si>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</si>
  <si>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</si>
  <si>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</si>
  <si>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</si>
  <si>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</si>
  <si>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</si>
  <si>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</si>
  <si>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</si>
  <si>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</si>
  <si>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</si>
  <si>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</si>
  <si>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</si>
  <si>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</si>
  <si>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</si>
  <si>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</si>
  <si>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</si>
  <si>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</si>
  <si>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</si>
  <si>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</si>
  <si>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</si>
  <si>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</si>
  <si>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</si>
  <si>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</si>
  <si>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</si>
  <si>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</si>
  <si>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</si>
  <si>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</si>
  <si>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</si>
  <si>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</si>
  <si>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</si>
  <si>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</si>
  <si>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</si>
  <si>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</si>
  <si>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</si>
  <si>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</si>
  <si>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</si>
  <si>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</si>
  <si>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</si>
  <si>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</si>
  <si>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</si>
  <si>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</si>
  <si>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</si>
  <si>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</si>
  <si>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</si>
  <si>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</si>
  <si>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</si>
  <si>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</si>
  <si>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</si>
  <si>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</si>
  <si>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</si>
  <si>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</si>
  <si>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</si>
  <si>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</si>
  <si>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</si>
  <si>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</si>
  <si>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</si>
  <si>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</si>
  <si>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</si>
  <si>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</si>
  <si>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</si>
  <si>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</si>
  <si>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</si>
  <si>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</si>
  <si>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</si>
  <si>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</si>
  <si>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</si>
  <si>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</si>
  <si>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</si>
  <si>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</si>
  <si>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</si>
  <si>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</si>
  <si>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</si>
  <si>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</si>
  <si>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</si>
  <si>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</si>
  <si>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</si>
  <si>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</si>
  <si>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</si>
  <si>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</si>
  <si>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</si>
  <si>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</si>
  <si>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</si>
  <si>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</si>
  <si>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</si>
  <si>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</si>
  <si>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</si>
  <si>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</si>
  <si>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</si>
  <si>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</si>
  <si>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</si>
  <si>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</si>
  <si>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</si>
  <si>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</si>
  <si>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</si>
  <si>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</si>
  <si>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</si>
  <si>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</si>
  <si>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</si>
  <si>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</si>
  <si>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</si>
  <si>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</si>
  <si>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</si>
  <si>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</si>
  <si>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</si>
  <si>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</si>
  <si>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</si>
  <si>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</si>
  <si>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</si>
  <si>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</si>
  <si>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</si>
  <si>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</si>
  <si>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</si>
  <si>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</si>
  <si>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</si>
  <si>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</si>
  <si>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</si>
  <si>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</si>
  <si>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</si>
  <si>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</si>
  <si>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</si>
  <si>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</si>
  <si>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</si>
  <si>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</si>
  <si>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</si>
  <si>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</si>
  <si>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</si>
  <si>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</si>
  <si>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</si>
  <si>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</si>
  <si>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</si>
  <si>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</si>
  <si>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</si>
  <si>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</si>
  <si>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</si>
  <si>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</si>
  <si>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</si>
  <si>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</si>
  <si>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</si>
  <si>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</si>
  <si>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</si>
  <si>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</si>
  <si>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</si>
  <si>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</si>
  <si>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</si>
  <si>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</si>
  <si>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</si>
  <si>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</si>
  <si>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</si>
  <si>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</si>
  <si>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</si>
  <si>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</si>
  <si>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</si>
  <si>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</si>
  <si>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</si>
  <si>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</si>
  <si>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</si>
  <si>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</si>
  <si>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</si>
  <si>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</si>
  <si>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</si>
  <si>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</si>
  <si>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</si>
  <si>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</si>
  <si>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</si>
  <si>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</si>
  <si>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</si>
  <si>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</si>
  <si>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</si>
  <si>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</si>
  <si>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</si>
  <si>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</si>
  <si>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</si>
  <si>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</si>
  <si>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</si>
  <si>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</si>
  <si>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</si>
  <si>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</si>
  <si>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</si>
  <si>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</si>
  <si>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</si>
  <si>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</si>
  <si>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</si>
  <si>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</si>
  <si>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</si>
  <si>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</si>
  <si>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</si>
  <si>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</si>
  <si>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</si>
  <si>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</si>
  <si>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</si>
  <si>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</si>
  <si>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</si>
  <si>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</si>
  <si>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</si>
  <si>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</si>
  <si>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</si>
  <si>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</si>
  <si>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</si>
  <si>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</si>
  <si>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</si>
  <si>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</si>
  <si>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</si>
  <si>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</si>
  <si>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</si>
  <si>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</si>
  <si>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</si>
  <si>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</si>
  <si>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</si>
  <si>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</si>
  <si>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</si>
  <si>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</si>
  <si>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</si>
  <si>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</si>
  <si>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</si>
  <si>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</si>
  <si>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</si>
  <si>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</si>
  <si>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</si>
  <si>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</si>
  <si>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</si>
  <si>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</si>
  <si>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</si>
  <si>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</si>
  <si>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</si>
  <si>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</si>
  <si>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</si>
  <si>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</si>
  <si>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</si>
  <si>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</si>
  <si>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</si>
  <si>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</si>
  <si>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</si>
  <si>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</si>
  <si>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</si>
  <si>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</si>
  <si>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</si>
  <si>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</si>
  <si>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</si>
  <si>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</si>
  <si>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</si>
  <si>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</si>
  <si>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</si>
  <si>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</si>
  <si>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</si>
  <si>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</si>
  <si>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</si>
  <si>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</si>
  <si>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</si>
  <si>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</si>
  <si>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</si>
  <si>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</si>
  <si>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</si>
  <si>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</si>
  <si>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</si>
  <si>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</si>
  <si>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</si>
  <si>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</si>
  <si>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</si>
  <si>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</si>
  <si>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</si>
  <si>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</si>
  <si>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</si>
  <si>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</si>
  <si>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</si>
  <si>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</si>
  <si>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</si>
  <si>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</si>
  <si>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</si>
  <si>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</si>
  <si>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</si>
  <si>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</si>
  <si>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</si>
  <si>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</si>
  <si>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</si>
  <si>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</si>
  <si>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</si>
  <si>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</si>
  <si>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</si>
  <si>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</si>
  <si>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</si>
  <si>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</si>
  <si>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</si>
  <si>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</si>
  <si>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</si>
  <si>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</si>
  <si>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</si>
  <si>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</si>
  <si>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</si>
  <si>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</si>
  <si>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</si>
  <si>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</si>
  <si>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</si>
  <si>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</si>
  <si>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</si>
  <si>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</si>
  <si>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</si>
  <si>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</si>
  <si>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</si>
  <si>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</si>
  <si>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</si>
  <si>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</si>
  <si>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</si>
  <si>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</si>
  <si>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</si>
  <si>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</si>
  <si>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</si>
  <si>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</si>
  <si>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</si>
  <si>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</si>
  <si>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</si>
  <si>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</si>
  <si>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</si>
  <si>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</si>
  <si>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</si>
  <si>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</si>
  <si>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</si>
  <si>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</si>
  <si>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</si>
  <si>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</si>
  <si>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</si>
  <si>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</si>
  <si>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</si>
  <si>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</si>
  <si>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</si>
  <si>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</si>
  <si>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</si>
  <si>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</si>
  <si>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</si>
  <si>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</si>
  <si>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</si>
  <si>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</si>
  <si>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</si>
  <si>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</si>
  <si>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</si>
  <si>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</si>
  <si>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</si>
  <si>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</si>
  <si>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</si>
  <si>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</si>
  <si>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</si>
  <si>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</si>
  <si>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</si>
  <si>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</si>
  <si>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</si>
  <si>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</si>
  <si>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</si>
  <si>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</si>
  <si>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</si>
  <si>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</si>
  <si>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</si>
  <si>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</si>
  <si>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</si>
  <si>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</si>
  <si>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</si>
  <si>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</si>
  <si>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</si>
  <si>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</si>
  <si>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</si>
  <si>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</si>
  <si>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</si>
  <si>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</si>
  <si>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</si>
  <si>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</si>
  <si>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</si>
  <si>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</si>
  <si>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</si>
  <si>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</si>
  <si>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</si>
  <si>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</si>
  <si>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</si>
  <si>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</si>
  <si>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</si>
  <si>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</si>
  <si>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</si>
  <si>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</si>
  <si>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</si>
  <si>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</si>
  <si>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</si>
  <si>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</si>
  <si>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</si>
  <si>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</si>
  <si>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</si>
  <si>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</si>
  <si>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</si>
  <si>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</si>
  <si>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</si>
  <si>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</si>
  <si>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</si>
  <si>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</si>
  <si>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</si>
  <si>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</si>
  <si>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</si>
  <si>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</si>
  <si>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</si>
  <si>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</si>
  <si>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</si>
  <si>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</si>
  <si>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</si>
  <si>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</si>
  <si>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</si>
  <si>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</si>
  <si>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</si>
  <si>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</si>
  <si>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</si>
  <si>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</si>
  <si>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</si>
  <si>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</si>
  <si>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</si>
  <si>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</si>
  <si>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</si>
  <si>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</si>
  <si>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</si>
  <si>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</si>
  <si>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</si>
  <si>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</si>
  <si>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</si>
  <si>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</si>
  <si>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</si>
  <si>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</si>
  <si>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</si>
  <si>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</si>
  <si>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</si>
  <si>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</si>
  <si>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</si>
  <si>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</si>
  <si>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</si>
  <si>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</si>
  <si>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</si>
  <si>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</si>
  <si>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</si>
  <si>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</si>
  <si>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</si>
  <si>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</si>
  <si>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</si>
  <si>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</si>
  <si>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</si>
  <si>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</si>
  <si>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</si>
  <si>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</si>
  <si>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</si>
  <si>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</si>
  <si>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</si>
  <si>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</si>
  <si>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</si>
  <si>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</si>
  <si>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</si>
  <si>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</si>
  <si>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</si>
  <si>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</si>
  <si>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</si>
  <si>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</si>
  <si>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</si>
  <si>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</si>
  <si>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</si>
  <si>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</si>
  <si>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</si>
  <si>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</si>
  <si>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</si>
  <si>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</si>
  <si>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</si>
  <si>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</si>
  <si>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</si>
  <si>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</si>
  <si>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</si>
  <si>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</si>
  <si>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</si>
  <si>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</si>
  <si>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</si>
  <si>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</si>
  <si>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</si>
  <si>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</si>
  <si>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</si>
  <si>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</si>
  <si>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</si>
  <si>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</si>
  <si>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</si>
  <si>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</si>
  <si>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</si>
  <si>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</si>
  <si>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</si>
  <si>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</si>
  <si>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</si>
  <si>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</si>
  <si>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</si>
  <si>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</si>
  <si>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</si>
  <si>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</si>
  <si>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</si>
  <si>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</si>
  <si>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</si>
  <si>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</si>
  <si>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</si>
  <si>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</si>
  <si>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</si>
  <si>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</si>
  <si>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</si>
  <si>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</si>
  <si>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</si>
  <si>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</si>
  <si>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</si>
  <si>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</si>
  <si>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</si>
  <si>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</si>
  <si>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</si>
  <si>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</si>
  <si>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</si>
  <si>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</si>
  <si>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</si>
  <si>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</si>
  <si>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</si>
  <si>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</si>
  <si>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</si>
  <si>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</si>
  <si>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</si>
  <si>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</si>
  <si>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</si>
  <si>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</si>
  <si>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</si>
  <si>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</si>
  <si>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</si>
  <si>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</si>
  <si>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</si>
  <si>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</si>
  <si>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</si>
  <si>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</si>
  <si>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</si>
  <si>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</si>
  <si>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</si>
  <si>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</si>
  <si>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</si>
  <si>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</si>
  <si>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</si>
  <si>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</si>
  <si>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</si>
  <si>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</si>
  <si>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</si>
  <si>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</si>
  <si>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</si>
  <si>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</si>
  <si>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</si>
  <si>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</si>
  <si>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</si>
  <si>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</si>
  <si>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</si>
  <si>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</si>
  <si>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</si>
  <si>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</si>
  <si>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</si>
  <si>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</si>
  <si>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</si>
  <si>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</si>
  <si>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</si>
  <si>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</si>
  <si>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</si>
  <si>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</si>
  <si>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</si>
  <si>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</si>
  <si>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</si>
  <si>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</si>
  <si>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</si>
  <si>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</si>
  <si>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</si>
  <si>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</si>
  <si>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</si>
  <si>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</si>
  <si>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</si>
  <si>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</si>
  <si>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</si>
  <si>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</si>
  <si>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</si>
  <si>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</si>
  <si>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</si>
  <si>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</si>
  <si>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</si>
  <si>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</si>
  <si>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</si>
  <si>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</si>
  <si>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</si>
  <si>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</si>
  <si>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</si>
  <si>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</si>
  <si>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</si>
  <si>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</si>
  <si>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</si>
  <si>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</si>
  <si>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</si>
  <si>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</si>
  <si>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</si>
  <si>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</si>
  <si>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</si>
  <si>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</si>
  <si>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</si>
  <si>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</si>
  <si>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</si>
  <si>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</si>
  <si>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</si>
  <si>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</si>
  <si>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</si>
  <si>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</si>
  <si>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</si>
  <si>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</si>
  <si>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</si>
  <si>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</si>
  <si>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</si>
  <si>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</si>
  <si>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</si>
  <si>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</si>
  <si>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</si>
  <si>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</si>
  <si>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</si>
  <si>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</si>
  <si>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</si>
  <si>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</si>
  <si>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</si>
  <si>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</si>
  <si>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</si>
  <si>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</si>
  <si>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</si>
  <si>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</si>
  <si>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</si>
  <si>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</si>
  <si>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</si>
  <si>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</si>
  <si>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</si>
  <si>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</si>
  <si>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</si>
  <si>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</si>
  <si>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</si>
  <si>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</si>
  <si>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</si>
  <si>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</si>
  <si>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</si>
  <si>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</si>
  <si>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</si>
  <si>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</si>
  <si>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</si>
  <si>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</si>
  <si>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</si>
  <si>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</si>
  <si>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</si>
  <si>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</si>
  <si>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</si>
  <si>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</si>
  <si>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</si>
  <si>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</si>
  <si>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</si>
  <si>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</si>
  <si>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</si>
  <si>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</si>
  <si>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</si>
  <si>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</si>
  <si>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</si>
  <si>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</si>
  <si>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</si>
  <si>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</si>
  <si>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</si>
  <si>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</si>
  <si>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</si>
  <si>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</si>
  <si>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</si>
  <si>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</si>
  <si>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</si>
  <si>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</si>
  <si>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</si>
  <si>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</si>
  <si>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</si>
  <si>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</si>
  <si>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</si>
  <si>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</si>
  <si>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</si>
  <si>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</si>
  <si>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</si>
  <si>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</si>
  <si>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</si>
  <si>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</si>
  <si>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</si>
  <si>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</si>
  <si>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</si>
  <si>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</si>
  <si>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</si>
  <si>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</si>
  <si>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</si>
  <si>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</si>
  <si>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</si>
  <si>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</si>
  <si>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</si>
  <si>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</si>
  <si>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</si>
  <si>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</si>
  <si>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</si>
  <si>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</si>
  <si>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</si>
  <si>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</si>
  <si>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</si>
  <si>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</si>
  <si>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</si>
  <si>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</si>
  <si>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</si>
  <si>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</si>
  <si>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</si>
  <si>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</si>
  <si>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</si>
  <si>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</si>
  <si>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</si>
  <si>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</si>
  <si>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</si>
  <si>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</si>
  <si>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</si>
  <si>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</si>
  <si>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</si>
  <si>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</si>
  <si>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</si>
  <si>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</si>
  <si>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</si>
  <si>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</si>
  <si>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</si>
  <si>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</si>
  <si>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</si>
  <si>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</si>
  <si>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</si>
  <si>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</si>
  <si>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</si>
  <si>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</si>
  <si>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</si>
  <si>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</si>
  <si>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</si>
  <si>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</si>
  <si>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</si>
  <si>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</si>
  <si>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</si>
  <si>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</si>
  <si>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</si>
  <si>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</si>
  <si>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</si>
  <si>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</si>
  <si>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</si>
  <si>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</si>
  <si>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</si>
  <si>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</si>
  <si>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</si>
  <si>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</si>
  <si>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</si>
  <si>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</si>
  <si>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</si>
  <si>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</si>
  <si>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</si>
  <si>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</si>
  <si>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</si>
  <si>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</si>
  <si>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</si>
  <si>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</si>
  <si>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</si>
  <si>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</si>
  <si>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</si>
  <si>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</si>
  <si>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</si>
  <si>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</si>
  <si>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</si>
  <si>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</si>
  <si>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</si>
  <si>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</si>
  <si>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</si>
  <si>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</si>
  <si>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</si>
  <si>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</si>
  <si>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</si>
  <si>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</si>
  <si>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</si>
  <si>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</si>
  <si>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</si>
  <si>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</si>
  <si>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</si>
  <si>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</si>
  <si>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</si>
  <si>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</si>
  <si>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</si>
  <si>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</si>
  <si>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</si>
  <si>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</si>
  <si>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</si>
  <si>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</si>
  <si>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</si>
  <si>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</si>
  <si>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</si>
  <si>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</si>
  <si>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</si>
  <si>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</si>
  <si>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</si>
  <si>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</si>
  <si>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</si>
  <si>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</si>
  <si>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</si>
  <si>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</si>
  <si>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</si>
  <si>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</si>
  <si>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</si>
  <si>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</si>
  <si>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</si>
  <si>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</si>
  <si>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</si>
  <si>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</si>
  <si>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</si>
  <si>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</si>
  <si>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</si>
  <si>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</si>
  <si>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</si>
  <si>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</si>
  <si>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</si>
  <si>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</si>
  <si>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</si>
  <si>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</si>
  <si>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</si>
  <si>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</si>
  <si>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</si>
  <si>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</si>
  <si>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</si>
  <si>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</si>
  <si>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</si>
  <si>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</si>
  <si>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</si>
  <si>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</si>
  <si>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</si>
  <si>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</si>
  <si>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</si>
  <si>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</si>
  <si>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</si>
  <si>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</si>
  <si>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</si>
  <si>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</si>
  <si>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</si>
  <si>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</si>
  <si>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</si>
  <si>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</si>
  <si>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</si>
  <si>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</si>
  <si>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</si>
  <si>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</si>
  <si>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</si>
  <si>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</si>
  <si>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</si>
  <si>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</si>
  <si>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</si>
  <si>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</si>
  <si>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</si>
  <si>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</si>
  <si>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</si>
  <si>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</si>
  <si>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</si>
  <si>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</si>
  <si>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</si>
  <si>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</si>
  <si>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</si>
  <si>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</si>
  <si>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</si>
  <si>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</si>
  <si>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</si>
  <si>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</si>
  <si>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</si>
  <si>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</si>
  <si>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</si>
  <si>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</si>
  <si>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</si>
  <si>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</si>
  <si>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</si>
  <si>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</si>
  <si>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</si>
  <si>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</si>
  <si>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</si>
  <si>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</si>
  <si>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</si>
  <si>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</si>
  <si>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</si>
  <si>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</si>
  <si>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</si>
  <si>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</si>
  <si>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</si>
  <si>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</si>
  <si>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</si>
  <si>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</si>
  <si>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</si>
  <si>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</si>
  <si>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</si>
  <si>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</si>
  <si>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</si>
  <si>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</si>
  <si>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</si>
  <si>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</si>
  <si>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</si>
  <si>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</si>
  <si>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</si>
  <si>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</si>
  <si>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</si>
  <si>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Шафа КТПС 100 кВА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</si>
  <si>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</si>
  <si>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</si>
  <si>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</si>
  <si>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</si>
  <si>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</si>
  <si>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</si>
  <si>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</si>
  <si>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</si>
  <si>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</si>
  <si>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</si>
  <si>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</si>
  <si>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</si>
  <si>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</si>
  <si>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</si>
  <si>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</si>
  <si>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</si>
  <si>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</si>
  <si>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</si>
  <si>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</si>
  <si>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</si>
  <si>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</si>
  <si>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</si>
  <si>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</si>
  <si>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</si>
  <si>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</si>
  <si>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</si>
  <si>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</si>
  <si>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</si>
  <si>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</si>
  <si>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</si>
  <si>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</si>
  <si>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</si>
  <si>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</si>
  <si>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</si>
  <si>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</si>
  <si>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</si>
  <si>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</si>
  <si>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2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</si>
  <si>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</si>
  <si>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</si>
  <si>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</si>
  <si>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</si>
  <si>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</si>
  <si>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</si>
  <si>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</si>
  <si>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</si>
  <si>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</si>
  <si>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</si>
  <si>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</si>
  <si>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</si>
  <si>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</si>
  <si>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</si>
  <si>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</si>
  <si>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</si>
  <si>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</si>
  <si>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</si>
  <si>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</si>
  <si>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</si>
  <si>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Нове будівництво ЩТП-50/В (100 кВА) в сел. Вільшанка Голованівського району Кіровоградської області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</si>
  <si>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</si>
  <si>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</si>
  <si>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</si>
  <si>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</si>
  <si>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</si>
  <si>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</si>
  <si>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</si>
  <si>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</si>
  <si>
    <t>Роботи з капiтального ремонту КЛ-10кВ ТП-65- ТП-367 (ділянка через проїздну частину дороги на розі вул. Полтавська та пров.Крутим) м. Кропивницький</t>
  </si>
  <si>
    <t>Будівництво ПЛ,ПЛІ-0,4 кВ Л-2, Л-4 КТП-183 для зовнішнього електропостачання житлового будинку гр. Єгорова О.А. по вул. Зарічна, буд. 11 в с. Клинці Кропивницького району</t>
  </si>
  <si>
    <t>https://zakupivli.pro/gov/tenders/ua-2025-01-22-016532-a</t>
  </si>
  <si>
    <t>https://zakupivli.pro/gov/tenders/ua-2025-01-22-010427-a/lot-ab55c876957845d995a437ad188d9b09</t>
  </si>
  <si>
    <t>https://zakupivli.pro/gov/tenders/ua-2025-01-22-002610-a</t>
  </si>
  <si>
    <t>https://zakupivli.pro/gov/tenders/ua-2025-01-23-015872-a</t>
  </si>
  <si>
    <t>Акумулятор стаціонарний A412/100 F10</t>
  </si>
  <si>
    <t>https://zakupivli.pro/gov/tenders/ua-2025-01-27-005506-a/lot-1c70e86f1a0341b0842814bcb542a94d</t>
  </si>
  <si>
    <t>https://zakupivli.pro/gov/tenders/ua-2025-01-27-004441-a</t>
  </si>
  <si>
    <t>https://zakupivli.pro/gov/tenders/ua-2025-01-27-004273-a</t>
  </si>
  <si>
    <t>Реконструкція ПЛ-0,4кВ від ЗТП-1045 в м. Олександрія Кіровоградської області (Олександрійські ЕМ) (пункт 1.2.4.1.2 Інвестиційної Програми 2025):Реконструкція ПЛ-0,4кВ від ЗТП-1045 в м. Олександрія Кіровоградської області (Олександрійські ЕМ) (пункт 1.2.4.1.2 Інвестиційної Програми 2025)</t>
  </si>
  <si>
    <t>Реконструкція ПЛ-150кВ Л-85К, 86К “Кварцит - Тимкове тягова” в Кропивницькому районі Кіровоградської області (пункт 1.2.1.1. Інвестиційної Програми 2025):Реконструкція ПЛ-150кВ Л-85К, 86К “Кварцит - Тимкове тягова” в Кропивницькому районі Кіровоградської області (пункт 1.2.1.1. Інвестиційної Програми 2025)</t>
  </si>
  <si>
    <t>Реконструкція ПЛ-0,4кВ від ЗТП-1034 в м. Олександрія Кіровоградської області (Олександрійські ЕМ) (пункт 1.2.4.1.1 Інвестиційної Програми 2025):Реконструкція ПЛ-0,4кВ від ЗТП-1034 в м. Олександрія Кіровоградської області (Олександрійські ЕМ) (пункт 1.2.4.1.1 Інвестиційної Програми 2025)</t>
  </si>
  <si>
    <t>https://zakupivli.pro/gov/tenders/ua-2025-01-27-012573-a/lot-c1ffa8a86b97469f9acfff5201e327d4</t>
  </si>
  <si>
    <t>https://zakupivli.pro/gov/tenders/ua-2025-01-27-012515-a/lot-6be83a9fe00e47c98a043124b93bf4a7</t>
  </si>
  <si>
    <t>https://zakupivli.pro/gov/tenders/ua-2025-01-27-012138-a/lot-829e8af6f8794bdab5ad08ace204eed8</t>
  </si>
  <si>
    <t>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2025):Реконструкція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</t>
  </si>
  <si>
    <t>https://zakupivli.pro/gov/tenders/ua-2025-01-27-013389-a/lot-24b32a68a0114d39b27e6c59ff10b19f</t>
  </si>
  <si>
    <t>https://zakupivli.pro/gov/tenders/ua-2025-01-27-013156-a/lot-334269c96a704ae083d20b7c3fb063e2</t>
  </si>
  <si>
    <t>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2025):Нове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</t>
  </si>
  <si>
    <t>Реконструкція ПЛ-0,4кВ від ЗТП-1174 в м. Олександрія Кіровоградської області (Олександрійські ЕМ) (пункт 1.2.4.1.4 Інвестиційної Програми 2025):Реконструкція ПЛ-0,4кВ від ЗТП-1174 в м. Олександрія Кіровоградської області (Олександрійські ЕМ) (пункт 1.2.4.1.4 Інвестиційної Програми 2025)</t>
  </si>
  <si>
    <t>https://zakupivli.pro/gov/tenders/ua-2025-01-27-013503-a/lot-56b5f04516aa48b491fc70654eaac6ab</t>
  </si>
  <si>
    <t>https://zakupivli.pro/gov/tenders/ua-2025-01-27-013497-a/lot-fba86f69435b4c718ce82c25cdf706d3</t>
  </si>
  <si>
    <t>Реконструкція ПЛ-0,4кВ від ЗТП-1219 в м. Олександрія Кіровоградської області (Олександрійські ЕМ) (пункт 1.2.4.1.5 Інвестиційної Програми 2025):Реконструкція ПЛ-0,4кВ від ЗТП-1219 в м. Олександрія Кіровоградської області (Олександрійські ЕМ) (пункт 1.2.4.1.5 Інвестиційної Програми 2025)</t>
  </si>
  <si>
    <t>https://zakupivli.pro/gov/tenders/ua-2025-01-27-014006-a/lot-c9f5e8c54e174ee9b5281df26e296368</t>
  </si>
  <si>
    <t>https://zakupivli.pro/gov/tenders/ua-2025-01-27-013929-a/lot-c3e5392d9cc84705805a425ed3abf81e</t>
  </si>
  <si>
    <t>Нове будівництво КЛ-10кВ від ТП-342 до ТП-402 в м. Кропивницький Кіровоградської області (Кропивницькі міські ЕМ) (пункт 1.1.3.1.2 Інвестиційної Програми 2025).:Нове будівництво КЛ-10кВ від ТП-342 до ТП-402 в м. Кропивницький Кіровоградської області (Кропивницькі міські ЕМ) (пункт 1.1.3.1.2 Інвестиційної Програми 2025).</t>
  </si>
  <si>
    <t>https://zakupivli.pro/gov/tenders/ua-2025-01-27-014685-a/lot-7ebf7d015b0e43e2ad5e33a049576feb</t>
  </si>
  <si>
    <t>https://zakupivli.pro/gov/tenders/ua-2025-01-27-014227-a/lot-301fda2687614776ba6eb6a72abd4da7</t>
  </si>
  <si>
    <t>1525,731,12</t>
  </si>
  <si>
    <t>Будівництво ЩТП-384 в с. Новопетрівка Кропивницьких ЕМ для зовнішнього електропостачання будівлі з будівельним майданчиком гр.Резніченко К.М.</t>
  </si>
  <si>
    <t>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2025):Реконструкція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</t>
  </si>
  <si>
    <t>https://zakupivli.pro/gov/tenders/ua-2025-01-27-015305-a</t>
  </si>
  <si>
    <t>https://zakupivli.pro/gov/tenders/ua-2025-01-27-014719-a/lot-29e910c05cde4e8dba4c630368dc8cc7</t>
  </si>
  <si>
    <t>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2025):Реконструкція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</t>
  </si>
  <si>
    <t>Нове будівництво КЛ-10кВ від ТП-342 до ТП-317 в м. Кропивницький Кіровоградської області (Кропивницькі міські ЕМ) (пункт 1.1.3.1.3 Інвестиційної Програми 2025).:Нове будівництво КЛ-10кВ від ТП-342 до ТП-317 в м. Кропивницький Кіровоградської області (Кропивницькі міські ЕМ) (пункт 1.1.3.1.3 Інвестиційної Програми 2025).</t>
  </si>
  <si>
    <t>https://zakupivli.pro/gov/tenders/ua-2025-01-27-015612-a/lot-1aa4d4a700c34f02a01be277e1f3b26f</t>
  </si>
  <si>
    <t>https://zakupivli.pro/gov/tenders/ua-2025-01-27-015561-a/lot-d44bee8237774ce1bacbb4fbf3bb18e8</t>
  </si>
  <si>
    <t>Реконструкція ЦРП-1 в м. Кропивницький Кіровоградської області (Коригування) (Кропивницькі міські ЕМ) (пункт 1.4.3.2.2 Інвестиційної Програми 2025):Реконструкція ЦРП-1 в м. Кропивницький Кіровоградської області (Коригування) (Кропивницькі міські ЕМ) (пункт 1.4.3.2.2 Інвестиційної Програми 2025)</t>
  </si>
  <si>
    <t>https://zakupivli.pro/gov/tenders/ua-2025-01-27-016031-a/lot-2a84a17627bb4b1a8f5e179c494cf6b2</t>
  </si>
  <si>
    <t>https://zakupivli.pro/gov/tenders/ua-2025-01-27-016004-a/lot-d5b65214dd394aafade3265be9b80114</t>
  </si>
  <si>
    <t>Реконструкція ЗТП-402 в м. Кропивницький Кіровоградської області (Кропивницькі міські ЕМ) (п.1.4.3.1.2 Інвестиційної програми 2025 року):Реконструкція ЗТП-402 в м. Кропивницький Кіровоградської області (Кропивницькі міські ЕМ) (п.1.4.3.1.2 Інвестиційної програми 2025 року)</t>
  </si>
  <si>
    <t>Реконструкція ЗТП-317 в м. Кропивницький Кіровоградської області (Кропивницькі міські ЕМ) (пункт 1.4.3.1.1 Інвестиційної Програми 2025):Реконструкція ЗТП-317 в м. Кропивницький Кіровоградської області (Кропивницькі міські ЕМ) (пункт 1.4.3.1.1 Інвестиційної Програми 2025)</t>
  </si>
  <si>
    <t>https://zakupivli.pro/gov/tenders/ua-2025-01-27-016823-a/lot-fb9afbcaff604148b3fa33c37f2fbf5c</t>
  </si>
  <si>
    <t>https://zakupivli.pro/gov/tenders/ua-2025-01-27-016390-a/lot-bce7f642a8d543b19c64fef566732ced</t>
  </si>
  <si>
    <t>44810000-1 Фарби</t>
  </si>
  <si>
    <t>https://zakupivli.pro/gov/tenders/ua-2025-01-28-015503-a/lot-a9addf6190e145e7a7985e06b6788d73</t>
  </si>
  <si>
    <t>https://zakupivli.pro/gov/tenders/ua-2025-01-28-014015-a/lot-34f91b92437e4b4b9a396b2900749ffd</t>
  </si>
  <si>
    <t>https://zakupivli.pro/gov/tenders/ua-2025-01-28-011482-a</t>
  </si>
  <si>
    <t>закупівля не відбулась</t>
  </si>
  <si>
    <t>https://zakupivli.pro/gov/tenders/ua-2025-01-29-003903-a/lot-35a62486fc704813b60b1b05ff9ab601</t>
  </si>
  <si>
    <t>https://zakupivli.pro/gov/tenders/ua-2025-01-29-003903-a/lot-ca859737ced54c19a4e1385ab7f4fa20</t>
  </si>
  <si>
    <t>https://zakupivli.pro/gov/tenders/ua-2025-01-30-008146-a/lot-4e7bb5152a3340e2823a16de636f491d</t>
  </si>
  <si>
    <t>https://zakupivli.pro/gov/tenders/ua-2025-01-30-008146-a/lot-5ffaee847c684cb6ad73096f99ffe10e</t>
  </si>
  <si>
    <t>https://zakupivli.pro/gov/tenders/ua-2025-01-30-008146-a/lot-619468b0d6ca413494bc08d5599e3b3c</t>
  </si>
  <si>
    <t>https://zakupivli.pro/gov/tenders/ua-2025-01-30-008146-a/lot-1950539852ab49e2a5f68117c24da0f7</t>
  </si>
  <si>
    <t>Роботи по капітальному ремонту на ПС 150/35/6кВ Сільмаш-1 в частині заміни моторного приводу РПН силового трансформатора 2Т типу ТДТН-25000/150</t>
  </si>
  <si>
    <t>Роботи по капітальному ремонту на ПС 150/35/10кВ Новоукраїнська в частині заміни моторного приводу РПН силового трансформатора 2Т типу ТДТН-25000/150</t>
  </si>
  <si>
    <t>Вироби з дроту (або еквівалент) (основна діяльність):ЛОТ 2</t>
  </si>
  <si>
    <t>44310000-6 Вироби з дроту</t>
  </si>
  <si>
    <t>https://zakupivli.pro/gov/tenders/ua-2025-01-31-008018-a</t>
  </si>
  <si>
    <t>https://zakupivli.pro/gov/tenders/ua-2025-01-31-007250-a</t>
  </si>
  <si>
    <t>https://zakupivli.pro/gov/tenders/ua-2025-01-31-003646-a</t>
  </si>
  <si>
    <t>https://zakupivli.pro/gov/tenders/ua-2025-01-31-003489-a</t>
  </si>
  <si>
    <t>https://zakupivli.pro/gov/tenders/ua-2025-01-31-001734-a/lot-67ece4c36e0f4d39863dee79a9354364</t>
  </si>
  <si>
    <t>https://zakupivli.pro/gov/tenders/ua-2025-01-31-000377-a/lot-3f4121e2ea834d82a18b9dc6570e8d81</t>
  </si>
  <si>
    <t>https://zakupivli.pro/gov/tenders/ua-2025-01-31-000377-a/lot-634ee94893dc45c28c4e9ce2ec0e4acb</t>
  </si>
  <si>
    <t>Ремонтно-відновлювальні роботи енергооб’єктів 6-10 кВ в аварійних ситуаціях</t>
  </si>
  <si>
    <t>Ремонтно-відновлювальні роботи енергооб’єктів 0,4 кВ в аварійних ситуаціях</t>
  </si>
  <si>
    <t>https://zakupivli.pro/gov/tenders/ua-2025-02-03-010811-a</t>
  </si>
  <si>
    <t>https://zakupivli.pro/gov/tenders/ua-2025-02-03-010425-a</t>
  </si>
  <si>
    <t>https://zakupivli.pro/gov/tenders/ua-2025-02-03-009439-a</t>
  </si>
  <si>
    <t>https://zakupivli.pro/gov/tenders/ua-2025-02-03-009297-a</t>
  </si>
  <si>
    <t>https://zakupivli.pro/gov/tenders/ua-2025-02-03-000583-a</t>
  </si>
  <si>
    <t>https://zakupivli.pro/gov/tenders/ua-2025-02-03-000158-a</t>
  </si>
  <si>
    <t>Послуги з ремонту і технічного обслуговування мототранспортних засобів і супутнього обладнання:Послуги з ремонту і технічного обслуговування мототранспортних засобів і супутнього обладнання</t>
  </si>
  <si>
    <t>https://zakupivli.pro/gov/tenders/ua-2025-02-04-013387-a/lot-1a391c9ea1fe4992ac4f126a3fe3a103</t>
  </si>
  <si>
    <t>Будівництво КЛ-10 кВ ТП-811-ТП-841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</si>
  <si>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КЛ-10 кВ ТП-721-ТП-841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</si>
  <si>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КТП-841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</si>
  <si>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Частини до світильників та освітлювального обладнання (основна діяльність):Частини до світильників та освітлювального обладнання (основна діяльність)</t>
  </si>
  <si>
    <t>Клеї (або еквівалент) (основна діяльність):Клеї (або еквівалент) (основна діяльність)</t>
  </si>
  <si>
    <t>https://zakupivli.pro/gov/tenders/ua-2025-02-05-014871-a</t>
  </si>
  <si>
    <t>https://zakupivli.pro/gov/tenders/ua-2025-02-05-010881-a</t>
  </si>
  <si>
    <t>https://zakupivli.pro/gov/tenders/ua-2025-02-05-009779-a</t>
  </si>
  <si>
    <t>https://zakupivli.pro/gov/tenders/ua-2025-02-05-009432-a</t>
  </si>
  <si>
    <t>https://zakupivli.pro/gov/tenders/ua-2025-02-05-008804-a/lot-f4b5d89e64d34844ae27bc85a1c79acf</t>
  </si>
  <si>
    <t>https://zakupivli.pro/gov/tenders/ua-2025-02-05-008594-a/lot-afe1992d07f94057be69f5765f50b620</t>
  </si>
  <si>
    <t>https://zakupivli.pro/gov/tenders/ua-2025-02-05-002451-a/lot-cdef295c5eb14b61baed22f44fad4796</t>
  </si>
  <si>
    <t>Телефонне обладнання (основна діяльність):Телефонне обладнання (основна діяльність)</t>
  </si>
  <si>
    <t>https://zakupivli.pro/gov/tenders/ua-2025-02-06-004155-a/lot-24c427644b5b49478be73c703893dc0d</t>
  </si>
  <si>
    <t>https://zakupivli.pro/gov/tenders/ua-2025-02-07-010817-a/lot-a67752bd5f084d6fa7839c33b4ee117f</t>
  </si>
  <si>
    <t>https://zakupivli.pro/gov/tenders/ua-2025-02-07-007901-a</t>
  </si>
  <si>
    <t>https://zakupivli.pro/gov/tenders/ua-2025-02-07-001208-a</t>
  </si>
  <si>
    <t>Ремонт пункту керування диспетчерського центрального ПКДЦ</t>
  </si>
  <si>
    <t>https://zakupivli.pro/gov/tenders/ua-2025-02-10-005542-a</t>
  </si>
  <si>
    <t>Опори СК-105-12 (або еквівалент), Стійки СК-120-15 (або еквівалент) (основна діяльність):Опори СК-105-12 (або еквівалент), Стійки СК-120-15 (або еквівалент) (основна діяльність)</t>
  </si>
  <si>
    <t>Електрична апаратура для комутування та захисту електричних кіл (основна діяльність):ЛОТ2</t>
  </si>
  <si>
    <t>Електрична апаратура для комутування та захисту електричних кіл (основна діяльність):ЛОТ3</t>
  </si>
  <si>
    <t>Панель ЩО-05-1420 (зовнішне електропостачання нежитлового приміщення гр. Лихопой Н.В. в м. Олександрія)</t>
  </si>
  <si>
    <t>https://zakupivli.pro/gov/tenders/ua-2025-02-11-014813-a/lot-1bd3ad2cd8504b62ac0f25b1d3d65110</t>
  </si>
  <si>
    <t>https://zakupivli.pro/gov/tenders/ua-2025-02-11-014703-a/lot-74f1ea1d960c4f238096402c86a9ef27</t>
  </si>
  <si>
    <t>https://zakupivli.pro/gov/tenders/ua-2025-02-11-014703-a/lot-3b27ac22678548a3bedeaf13ff8039f4</t>
  </si>
  <si>
    <t>https://zakupivli.pro/gov/tenders/ua-2025-02-11-014703-a/lot-2b425a3538b34f61abf9d66504fadba9</t>
  </si>
  <si>
    <t>https://zakupivli.pro/gov/tenders/ua-2025-02-11-014703-a/lot-ba32cb5fde3b4a99a211f91c31c3949e</t>
  </si>
  <si>
    <t>https://zakupivli.pro/gov/tenders/ua-2025-02-11-012151-a/lot-1f4d63afd42e4d30a8010bebe549fcab</t>
  </si>
  <si>
    <t>https://zakupivli.pro/gov/tenders/ua-2025-02-12-008425-a</t>
  </si>
  <si>
    <t>Замок навісний бочонок</t>
  </si>
  <si>
    <t>Реконструкція ПЛ-0,4 кВ Л-3 від КТП-74 в с.Тарасівка Бобринецьких ЕМ для зовнішнього електропостачання житлового будинку Романюк Н.В.</t>
  </si>
  <si>
    <t>44830000-7 Мастики, шпаклівки, замазки та розчинники</t>
  </si>
  <si>
    <t>https://zakupivli.pro/gov/tenders/ua-2025-02-13-010243-a</t>
  </si>
  <si>
    <t>https://zakupivli.pro/gov/tenders/ua-2025-02-13-009809-a/lot-563a933143104f4a8f4a9e74b9e920e9</t>
  </si>
  <si>
    <t>https://zakupivli.pro/gov/tenders/ua-2025-02-13-009405-a/lot-33c26c030db143278a55cb7505b56ce9</t>
  </si>
  <si>
    <t>https://zakupivli.pro/gov/tenders/ua-2025-02-13-008334-a</t>
  </si>
  <si>
    <t>https://zakupivli.pro/gov/tenders/ua-2025-02-13-007747-a</t>
  </si>
  <si>
    <t>https://zakupivli.pro/gov/tenders/ua-2025-02-13-004874-a</t>
  </si>
  <si>
    <t>https://zakupivli.pro/gov/tenders/ua-2025-02-13-013204-a</t>
  </si>
  <si>
    <t>Інші завершальні будівельні роботи</t>
  </si>
  <si>
    <t xml:space="preserve">Каболка </t>
  </si>
  <si>
    <t>Індикатор пошкодження LineTroll 111 K</t>
  </si>
  <si>
    <t>https://zakupivli.pro/gov/tenders/ua-2025-02-14-010906-a/lot-93e17c31d80c4bed8bbf8cdcf89249b6</t>
  </si>
  <si>
    <t>https://zakupivli.pro/gov/tenders/ua-2025-02-14-009461-a</t>
  </si>
  <si>
    <t>https://zakupivli.pro/gov/tenders/ua-2025-02-14-008779-a</t>
  </si>
  <si>
    <t>https://zakupivli.pro/gov/tenders/ua-2025-02-14-008026-a</t>
  </si>
  <si>
    <t>https://zakupivli.pro/gov/tenders/ua-2025-02-14-007675-a</t>
  </si>
  <si>
    <t>https://zakupivli.pro/gov/tenders/ua-2025-02-14-007472-a/lot-c8d5d5cc5f4645c4a95504f29a895189</t>
  </si>
  <si>
    <t>https://zakupivli.pro/gov/tenders/ua-2025-02-14-004784-a</t>
  </si>
  <si>
    <t>Будівництво ПЛ,ПЛІ-0,4 кВ Л-3,Л-5 оп.1-24 КТП-1062 в м.Олександрія для зовнішнього електропостачання ОК "Жовтень"</t>
  </si>
  <si>
    <t>Реконструкція ПЛІ-0,4 кВ від КТП-306 для гр. Король І.Ф., по вул. Кременчузька, 34 в смт. Власівка Олександрійського району</t>
  </si>
  <si>
    <t>https://zakupivli.pro/gov/tenders/ua-2025-02-18-000134-a</t>
  </si>
  <si>
    <t>https://zakupivli.pro/gov/tenders/ua-2025-02-18-000121-a</t>
  </si>
  <si>
    <t>закупівлю скасовано</t>
  </si>
  <si>
    <t>Трансформатори струму (пункти 2.1.4. Інвестиційної програми 2025р.):Трансформатори струму (пункти 2.1.4. Інвестиційної програми 2025р.)</t>
  </si>
  <si>
    <t>Термореле цифрове РТ4010.-40...150.ТСМ 50М кріплення рамки 1М</t>
  </si>
  <si>
    <t>Лічильники (інвестиційна програма п.2.1.1, п.2.1.2, п.2.1.3, п.2.2., п.2.1.5):ЛОТ 1 (інвестиційна програма п.2.1.1, п.2.1.2, п.2.1.3, п.2.1.5)</t>
  </si>
  <si>
    <t>Лічильники (інвестиційна програма п.2.1.1, п.2.1.2, п.2.1.3, п.2.2., п.2.1.5):ЛОТ 2 (інвестиційна програма п.2.2.)</t>
  </si>
  <si>
    <t>32350000-1 Частини до аудіо- та відеообладнання</t>
  </si>
  <si>
    <t>https://zakupivli.pro/gov/tenders/ua-2025-02-20-010663-a</t>
  </si>
  <si>
    <t>https://zakupivli.pro/gov/tenders/ua-2025-02-20-008191-a/lot-b4beb872b6e6474d88283380ce450f29</t>
  </si>
  <si>
    <t>https://zakupivli.pro/gov/tenders/ua-2025-02-20-007017-a</t>
  </si>
  <si>
    <t>https://zakupivli.pro/gov/tenders/ua-2025-02-20-002410-a/lot-4d8c32db68af45aa9cf9e1561776df37</t>
  </si>
  <si>
    <t>https://zakupivli.pro/gov/tenders/ua-2025-02-20-002410-a/lot-30d758f496b443a298ed49fde3b279b3</t>
  </si>
  <si>
    <t>https://zakupivli.pro/gov/tenders/ua-2025-02-20-001195-a/lot-0d3368cde5af4256b3fb8ca0e6a2fd32</t>
  </si>
  <si>
    <t>Капітальний ремонт і реставрація</t>
  </si>
  <si>
    <t>Автомобільні акумуляторні батареї (основна діяльність):Автомобільні акумуляторні батареї (основна діяльність)</t>
  </si>
  <si>
    <t>Болт, гайка, шайба</t>
  </si>
  <si>
    <t>https://zakupivli.pro/gov/tenders/ua-2025-02-21-009763-a</t>
  </si>
  <si>
    <t>https://zakupivli.pro/gov/tenders/ua-2025-02-21-008660-a/lot-7d142c426f864b2b8364f606082d47f1</t>
  </si>
  <si>
    <t>https://zakupivli.pro/gov/tenders/ua-2025-02-21-001879-a</t>
  </si>
  <si>
    <t>https://zakupivli.pro/gov/tenders/ua-2025-02-21-001736-a</t>
  </si>
  <si>
    <t>Двигуни та їх частини</t>
  </si>
  <si>
    <t>https://zakupivli.pro/gov/tenders/ua-2025-02-25-013333-a</t>
  </si>
  <si>
    <t>https://zakupivli.pro/gov/tenders/ua-2025-02-25-008377-a</t>
  </si>
  <si>
    <t>https://zakupivli.pro/gov/tenders/ua-2025-02-26-012076-a</t>
  </si>
  <si>
    <t>https://zakupivli.pro/gov/tenders/ua-2025-02-26-011456-a</t>
  </si>
  <si>
    <t>https://zakupivli.pro/gov/tenders/ua-2025-02-26-010814-a</t>
  </si>
  <si>
    <t>https://zakupivli.pro/gov/tenders/ua-2025-02-26-009008-a</t>
  </si>
  <si>
    <t>https://zakupivli.pro/gov/tenders/ua-2025-02-26-008765-a</t>
  </si>
  <si>
    <t>https://zakupivli.pro/gov/tenders/ua-2025-02-26-006375-a</t>
  </si>
  <si>
    <t>Нове будівництво АСДУ Світловодського РЕМ (11 ПС-35кВ, 3 ПС-150кВ, 6 ЦРП) (пункт 3.1 Інвестиційної Програми 2025):Нове будівництво АСДУ Світловодського РЕМ (11 ПС-35кВ, 3 ПС-150кВ, 6 ЦРП) (пункт 3.1 Інвестиційної Програми 2025)</t>
  </si>
  <si>
    <t>Нове будівництво АСДУ ПС 150/35/10кВ (8 ПС-150кВ) (пункт 3.2 Інвестиційної Програми 2025):Нове будівництво АСДУ ПС 150/35/10кВ (8 ПС-150кВ) (пункт 3.2 Інвестиційної Програми 2025)</t>
  </si>
  <si>
    <t>https://zakupivli.pro/gov/tenders/ua-2025-02-27-009761-a/lot-bc2012377fee4754b5af103061ab9e97</t>
  </si>
  <si>
    <t>https://zakupivli.pro/gov/tenders/ua-2025-02-27-000432-a/lot-0d928d09299541788533a61ff4394140</t>
  </si>
  <si>
    <t>https://zakupivli.pro/gov/tenders/ua-2025-03-03-010821-a</t>
  </si>
  <si>
    <t>https://zakupivli.pro/gov/tenders/ua-2025-03-03-010382-a</t>
  </si>
  <si>
    <t>https://zakupivli.pro/gov/tenders/ua-2025-03-04-011644-a</t>
  </si>
  <si>
    <t>Кріпильні деталі (або еквівалент) (основна діяльність):Кріпильні деталі (або еквівалент) (основна діяльність)</t>
  </si>
  <si>
    <t>https://zakupivli.pro/gov/tenders/ua-2025-03-05-003221-a/lot-7ac74d20a64546aa9c2f00b03b7918b9</t>
  </si>
  <si>
    <t>https://zakupivli.pro/gov/tenders/ua-2025-03-05-002451-a</t>
  </si>
  <si>
    <t>35110000-8 Протипожежне, рятувальне та захисне обладнання</t>
  </si>
  <si>
    <t>35120000-1 Системи та пристрої нагляду та охорони</t>
  </si>
  <si>
    <t>https://zakupivli.pro/gov/tenders/ua-2025-03-06-012902-a/lot-c427a5dfa4714ff5bf8f32c912ab5d8b</t>
  </si>
  <si>
    <t>https://zakupivli.pro/gov/tenders/ua-2025-03-06-010281-a</t>
  </si>
  <si>
    <t>Реконструкція ПЛ-0,4кВ Л-1 КТП-51 для зовнішнього електропостачання житлового будинку гр. Березолова І.М. в с. Аджамка, вул. Овражна, 23 Кропивницького району Кіровоградської області</t>
  </si>
  <si>
    <t>https://zakupivli.pro/gov/tenders/ua-2025-03-10-004948-a</t>
  </si>
  <si>
    <t>Продукція, пов'язана з конструкційними матеріалами (основна діяльність):Продукція, пов'язана з конструкційними матеріалами (основна діяльність)</t>
  </si>
  <si>
    <t>Будівництво ПЛІ-0,4 кВ Л-2 від ЩТП-469 для зовнішнього електропостачання житлового будинку з будівельним майданчиком гр. Татаров О. І. по вул. Львівська (кад.№3522587201:51:030:0075), буд.37 в с. Соколівське Кропивницького району</t>
  </si>
  <si>
    <t>https://zakupivli.pro/gov/tenders/ua-2025-03-13-009703-a</t>
  </si>
  <si>
    <t>https://zakupivli.pro/gov/tenders/ua-2025-03-13-007768-a/lot-718bb28a98ec44afa8afcda3a1ae6132</t>
  </si>
  <si>
    <t>https://zakupivli.pro/gov/tenders/ua-2025-03-13-002322-a</t>
  </si>
  <si>
    <t>https://zakupivli.pro/gov/tenders/ua-2025-03-13-002113-a</t>
  </si>
  <si>
    <t>https://zakupivli.pro/gov/tenders/ua-2025-03-13-000096-a</t>
  </si>
  <si>
    <t>Пароніт</t>
  </si>
  <si>
    <t>Послуги з повірки законодавчо регульованих засобів вимірювальної техніки (ЗВТ), калібрування, визначення метрологічних характеристик ЗВТ, та/або випробувального обладнання (ВО)</t>
  </si>
  <si>
    <t>https://zakupivli.pro/gov/tenders/ua-2025-03-14-009710-a/lot-be2b52f381b143eea4f55f685adc6a57</t>
  </si>
  <si>
    <t>https://zakupivli.pro/gov/tenders/ua-2025-03-14-003738-a</t>
  </si>
  <si>
    <t>https://zakupivli.pro/gov/tenders/ua-2025-03-14-000631-a</t>
  </si>
  <si>
    <t>Будівництво ПЛІ-0,4 кВ Л-3 оп.9/1 КТП-154 в с.Хмельове Маловисківських ЕМ для зовнішнього електропостачання абонентської станції мобільного зв'язку ПрАТ "Київстар"</t>
  </si>
  <si>
    <t>Будівництво ПЛ,ПЛІ-0,4 кВ Л-1,Л-3 КТП-234 в с.Підгайці Кропивницьких ЕМ для зовнішнього електропостачання житлового будинку гр. Манюти Н.В. по вул. Тарана, 8</t>
  </si>
  <si>
    <t>https://zakupivli.pro/gov/tenders/ua-2025-03-19-012837-a</t>
  </si>
  <si>
    <t>https://zakupivli.pro/gov/tenders/ua-2025-03-19-012800-a</t>
  </si>
  <si>
    <t>https://zakupivli.pro/gov/tenders/ua-2025-03-19-007714-a/lot-8c517341ff314607bccbe31b72bfd47b</t>
  </si>
  <si>
    <t>Будівництво ПЛ-10 кВ Л-186 на тер.Помічнянської міської ради для зовнішнього електропостачання сонячної електростанції "ГРІН ЕНЕРДЖІ САН 2" ТОВ"ГРІН ЕНЕРДЖІ САН" Кад.№3524084800:02:001:0244 (будівництво)</t>
  </si>
  <si>
    <t>https://zakupivli.pro/gov/tenders/ua-2025-03-20-002481-a</t>
  </si>
  <si>
    <t>54,,71789</t>
  </si>
  <si>
    <t>https://zakupivli.pro/gov/tenders/ua-2025-03-21-011182-a</t>
  </si>
  <si>
    <t>Гравій, пісок, щебінь і наповнювачі (основна діяльність)</t>
  </si>
  <si>
    <t>Будівництво ПЛ-10,ПЛ-0,4 кВ Л-184 КТП-55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</si>
  <si>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>https://zakupivli.pro/gov/tenders/ua-2025-03-24-001110-a</t>
  </si>
  <si>
    <t>тонни</t>
  </si>
  <si>
    <t>https://zakupivli.pro/gov/tenders/ua-2025-03-24-001051-a</t>
  </si>
  <si>
    <t>https://zakupivli.pro/gov/tenders/ua-2025-03-24-000961-a</t>
  </si>
  <si>
    <t>https://zakupivli.pro/gov/tenders/ua-2025-03-24-000505-a</t>
  </si>
  <si>
    <t>21.03ю2025</t>
  </si>
  <si>
    <t>Прилади для вимірювання величин (основна діяльність)</t>
  </si>
  <si>
    <t>https://zakupivli.pro/gov/tenders/ua-2025-03-24-012151-a/lot-e410f9495fd94b3aa9151c5090bdfd0c</t>
  </si>
  <si>
    <t>UA-2025-03-24-012151-a</t>
  </si>
  <si>
    <t>Технічне переоснащення  ПЛ-10кВ Л-125 ПС "Хмельове"-35/10 кВ ком. № 10 - оп.41 для зовнішнього електропостачання нового будівництва сонячної електричної станції "СЕС Хмельове" ТОВ"ГРІН ЕНЕРДЖІ САН" на території Смолінської селищної ради Новоукраїнського району Кіровоградської області</t>
  </si>
  <si>
    <t>Вентиляційне обладнання (основна діяльність):Вентиляційне обладнання (основна діяльність)</t>
  </si>
  <si>
    <t>Будівництво ПЛІ-0,4 кВ Л-7 КТП-754  в с. Липове Кропивницьких ЕМ для зовнішнього електропостачання житлового будинку гр. Єсько В.В. по вул. Липова, 4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</si>
  <si>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2025):Реконструкція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</si>
  <si>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https://zakupivli.pro/gov/tenders/ua-2025-03-31-003187-a</t>
  </si>
  <si>
    <t>https://zakupivli.pro/gov/tenders/ua-2025-03-28-000686-a</t>
  </si>
  <si>
    <t>https://zakupivli.pro/gov/tenders/ua-2025-03-27-007442-a/lot-cf460c0176b34ffb81814b741250f1bb</t>
  </si>
  <si>
    <t>https://zakupivli.pro/gov/tenders/ua-2025-03-27-003821-a</t>
  </si>
  <si>
    <t>https://zakupivli.pro/gov/tenders/ua-2025-03-25-007819-a/lot-d029fc1166bb43dfbce5b3417de00213</t>
  </si>
  <si>
    <t>https://zakupivli.pro/gov/tenders/ua-2025-03-25-003266-a/lot-90fd47f16ff343cb81f9b845d1569a1c</t>
  </si>
  <si>
    <t>https://zakupivli.pro/gov/tenders/ua-2025-03-25-002632-a/lot-080978ce6735455d94f514629190d47c</t>
  </si>
  <si>
    <t xml:space="preserve">Капітальний  ремонт адміністративної  база  ЕМ  по  вул. Заводська,  2а, м. Олександрія, Олександрійських ЕМ (заміна дверей, водовідведення) </t>
  </si>
  <si>
    <t>Капітальний ремонт будівлі котельні (кімната для відряджених) по вул. Заводська, 2а, м. Олександрія, Олександрійських ЕМ (заміна дверей)</t>
  </si>
  <si>
    <t>Технічне переоснащення лінійної комірки КРН-ІІІ-10 (№14) на 2С-10 кВ ВРП-10 кВ ПС "Новопавлівка"-35/10 кВ для зовнішнього електропостачання  сонячної електростанції "ГРІН ЕНЕРДЖІ САН 1" ТОВ"ГРІН ЕНЕРДЖІ САН" на території Помічнянської  міської ради Кад. №3524084800:02:001:0243</t>
  </si>
  <si>
    <t>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(приєднання):Будівництво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</t>
  </si>
  <si>
    <t>https://zakupivli.pro/gov/tenders/ua-2025-04-03-005470-a</t>
  </si>
  <si>
    <t>https://zakupivli.pro/gov/tenders/ua-2025-04-03-005195-a</t>
  </si>
  <si>
    <t>https://zakupivli.pro/gov/tenders/ua-2025-04-03-000378-a</t>
  </si>
  <si>
    <t>https://zakupivli.pro/gov/tenders/ua-2025-04-01-011215-a/lot-0f088b511d4145e886ac9bbccd57dd61</t>
  </si>
  <si>
    <t xml:space="preserve"> 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</si>
  <si>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ПЛ-0,4 кВ Л-1 від КТП-183 до оп.41 в с.Ізмайлівка Олександрійських ЕМ для зовнішнього електропостачання житлового будинку гр.Баранова Ю.М.</t>
  </si>
  <si>
    <t>Реконструкція ЗТП-П-12 в селищі Смоліне для зовнішнього електропостачання продовольчого магазину ТОВ "Вересень плюс"  по вул. Казакова (Маловисківських ЕМ)</t>
  </si>
  <si>
    <t>Технічне переоснащення КЛ-10кВ Л-126 до оп.1 від ком.9 ПС «Добровеличківка»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</si>
  <si>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Технічне переоснащення ПС «Добровеличківська»-35/10кВ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</si>
  <si>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Будівництво ПЛІ-0,4 кВ Л-3 від КТП-100/У в сел.Устинівка Долинських ЕМ для зовнішнього електропостачання нежитлового приміщення ТОВ «Агробізнес 2025»</t>
  </si>
  <si>
    <t>Технічне переоснащення лінійної ком.№10 Л-125 ПС ″Хмельове″-35/10 кВ для зовнішнього електропостачання сонячної електричної станції "Сонячний хміль" ТОВ "ГРІН ЕНЕРДЖІ САН" на території Смолінської селищної ради кад.№3523186800:02:000:0182 Новоукраїнського району Кіровоградської області</t>
  </si>
  <si>
    <t>https://zakupivli.pro/gov/tenders/ua-2025-04-07-011371-a</t>
  </si>
  <si>
    <t>https://zakupivli.pro/gov/tenders/ua-2025-04-07-011210-a</t>
  </si>
  <si>
    <t>https://zakupivli.pro/gov/tenders/ua-2025-04-07-011056-a</t>
  </si>
  <si>
    <t>https://zakupivli.pro/gov/tenders/ua-2025-04-07-010912-a</t>
  </si>
  <si>
    <t>https://zakupivli.pro/gov/tenders/ua-2025-04-07-006839-a</t>
  </si>
  <si>
    <t>https://zakupivli.pro/gov/tenders/ua-2025-04-07-006636-a</t>
  </si>
  <si>
    <t>https://zakupivli.pro/gov/tenders/ua-2025-04-07-000293-a</t>
  </si>
  <si>
    <t xml:space="preserve"> 45231000-5 Будівництво трубопроводів, ліній зв’язку та електропередач</t>
  </si>
  <si>
    <t xml:space="preserve"> 42520000-7 Вентиляційне обладнання</t>
  </si>
  <si>
    <t xml:space="preserve"> 45310000-3 Електромонтажні роботи</t>
  </si>
  <si>
    <t xml:space="preserve">Будівництво ПЛ,ПЛІ-0,4 кВ А-2,А-3 оп.37-74 КТП-535 в с.Захарівка Світловодських ЕМ для зовнішнього електропостачання домоволодіння Бузейніков М.Г. </t>
  </si>
  <si>
    <t xml:space="preserve">38340000-0 Прилади для вимірювання величин </t>
  </si>
  <si>
    <t xml:space="preserve"> Будівництво ПЛ-10 кВ Л-184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</si>
  <si>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 Будівництво  ЩТП-66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</si>
  <si>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45231000-5 Будівництво трубопроводів, ліній зв’язку та електропередач </t>
  </si>
  <si>
    <t xml:space="preserve">14210000-6 Гравій, пісок, щебінь і наповнювачі </t>
  </si>
  <si>
    <t xml:space="preserve"> Ремонт елегазового вимикача  LTB-170 "категорії Б" ПС 150/35/10 кВ ПТО</t>
  </si>
  <si>
    <t xml:space="preserve"> Штанга оперативна ізольована, захисний апарат ПЛЗ (основна діяльність):Штанга оперативна ізольована, захисний апарат ПЛЗ (основна діяльність)</t>
  </si>
  <si>
    <t xml:space="preserve">71630000-3 Послуги з технічного огляду та випробовувань </t>
  </si>
  <si>
    <t xml:space="preserve">19710000-6 Синтетичний каучук </t>
  </si>
  <si>
    <t xml:space="preserve"> Елементи електричних схем (основна діяльність)
:Елементи електричних схем (основна діяльність)</t>
  </si>
  <si>
    <t xml:space="preserve"> Капітальний ремонт будівлі складу Новоархангельських ЕМ по вул. Котляревського, 67 в смт Новоархангельськ, Кіровоградської обл. (Улаштування покрівлі з металопрофілю)</t>
  </si>
  <si>
    <t xml:space="preserve"> Капітальний ремонт будівлі контори смт Новоархангельськ, вул. Котляревського, 67, Новоархангельські ЕМ (заміна дверей, вікон)</t>
  </si>
  <si>
    <t xml:space="preserve">44140000-3 Продукція, пов’язана з конструкційними матеріалами </t>
  </si>
  <si>
    <t xml:space="preserve">31680000-6 Електричне приладдя та супутні товари до електричного обладнання </t>
  </si>
  <si>
    <t xml:space="preserve">31320000-5 Електророзподільні кабелі </t>
  </si>
  <si>
    <t xml:space="preserve"> 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</si>
  <si>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</si>
  <si>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 xml:space="preserve"> 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</si>
  <si>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</si>
  <si>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31210000-1 Електрична апаратура для комутування та захисту електричних кіл </t>
  </si>
  <si>
    <t xml:space="preserve">45310000-3 Електромонтажні роботи </t>
  </si>
  <si>
    <t xml:space="preserve"> Гравій, пісок, щебінь і наповнювачі (основна діяльність):Гравій, пісок, щебінь і наповнювачі (основна діяльність)</t>
  </si>
  <si>
    <t xml:space="preserve"> Будівництво ПЛІ-0,4 кВ Л-4 оп.№1 - оп.№4  КТП-420 ПНВМП фірма "ІНКОПМАРК" по вул. Велика Перспективна (між будинками №17 та №19) в  м. Кропивницький</t>
  </si>
  <si>
    <t xml:space="preserve">31720000-9 Електромеханічне обладнання </t>
  </si>
  <si>
    <t>Електронне обладнання</t>
  </si>
  <si>
    <t>https://zakupivli.pro/gov/tenders/ua-2025-04-08-003191-a</t>
  </si>
  <si>
    <t>Будівництво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</si>
  <si>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Будівництво 2ПЛІ-0,4 кВ КТП-450,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</si>
  <si>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</si>
  <si>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ПЛІ-0,4 кВ від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</si>
  <si>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https://zakupivli.pro/gov/tenders/ua-2025-04-09-008129-a</t>
  </si>
  <si>
    <t>https://zakupivli.pro/gov/tenders/ua-2025-04-09-007809-a</t>
  </si>
  <si>
    <t>https://zakupivli.pro/gov/tenders/ua-2025-04-09-007528-a</t>
  </si>
  <si>
    <t>https://zakupivli.pro/gov/tenders/ua-2025-04-09-005554-a</t>
  </si>
  <si>
    <t>Прилади для вимірювання величин (основна діяльність):Прилади для вимірювання величин (основна діяльність)</t>
  </si>
  <si>
    <t>https://zakupivli.pro/gov/tenders/ua-2025-04-10-002695-a/lot-b3f191b3dc114ff1aa834120dc268e21</t>
  </si>
  <si>
    <t xml:space="preserve"> Телекомунікаційні кабелі та обладнання</t>
  </si>
  <si>
    <t xml:space="preserve"> Комутатор мережевий</t>
  </si>
  <si>
    <t xml:space="preserve"> Протипожежне, рятувальне та захисне обладнання (основна діяльність):Протипожежне, рятувальне та захисне обладнання (основна діяльність)</t>
  </si>
  <si>
    <t xml:space="preserve"> Будівництво ПЛІ-0,4 кВ Л-2 оп.4-4/4 від КТП-39 для зовнішнього електропостачання житлового будинку гр. Павленко Н. О. по вул. Мира, 59-А в с. Покровське Кропивницького району</t>
  </si>
  <si>
    <t xml:space="preserve">44530000-4 Кріпильні деталі </t>
  </si>
  <si>
    <t xml:space="preserve"> Капітальний ремонт і реставрація</t>
  </si>
  <si>
    <t xml:space="preserve"> Будівництво ПЛІ-0,4кВ від ТП-431  в с. Високі Байраки для зовнішнього електропостачання абонентської станції мобільного зв'язку ПрАТ  "ВФ Україна" (Кропивницькі ЕМ)</t>
  </si>
  <si>
    <t xml:space="preserve"> Інші завершальні будівельні роботи</t>
  </si>
  <si>
    <t xml:space="preserve">34310000-3 Двигуни та їх частини </t>
  </si>
  <si>
    <t xml:space="preserve"> Впровадження програмного комплексу "АСТОР 8" (пункт 4.3 проекту Інвестиційної Програми 2025)</t>
  </si>
  <si>
    <t xml:space="preserve"> Відновлення асфальтобетонного покриття після ремонту КЛ 0,4-10 кВ</t>
  </si>
  <si>
    <t xml:space="preserve">31440000-2 Акумуляторні батареї </t>
  </si>
  <si>
    <t xml:space="preserve"> Частини до аудіо-та відеообладнання (основна діяльність):Частини до аудіо-та відеообладнання (основна діяльність)</t>
  </si>
  <si>
    <t xml:space="preserve">38550000-5 Лічильники </t>
  </si>
  <si>
    <t xml:space="preserve">31220000-4 Елементи електричних схем </t>
  </si>
  <si>
    <t xml:space="preserve">31170000-8 Трансформатори </t>
  </si>
  <si>
    <t xml:space="preserve"> Ремонт приладів захисту від ОЗЗ на землю "АЛЬТРА" ПС 150/35/10 кВ "Південно-Східна"</t>
  </si>
  <si>
    <t>Двері металопластикові, двері металеві, вікна металопластикові (Ремонтна програма)</t>
  </si>
  <si>
    <t>https://zakupivli.pro/gov/tenders/ua-2025-04-14-002092-a</t>
  </si>
  <si>
    <t>Автоматичні вимикачі (приєднання, ремонтна програма):Автоматичні вимикачі (приєднання, ремонтна програма)</t>
  </si>
  <si>
    <t xml:space="preserve">Реконструкція АСДУ Кіровоградського міського РЕМ (6 ПС-35кВ, 5 ПС-150кВ, 14 ЦРП) (перехідний захід 2025-2026) (пункт 3.3 Інвестиційної Програми 2025)
:Реконструкція АСДУ Кіровоградського міського РЕМ (6 ПС-35кВ, 5 ПС-150кВ, 14 ЦРП) (перехідний захід 2025-2026) (пункт 3.3 Інвестиційної Програми 2025)
</t>
  </si>
  <si>
    <t>Ремонтна програма, заходи з приєднання</t>
  </si>
  <si>
    <t>https://zakupivli.pro/gov/tenders/ua-2025-04-15-012874-a/lot-037bfe7693d2404097b959e850de27f4</t>
  </si>
  <si>
    <t>https://zakupivli.pro/gov/tenders/ua-2025-04-15-012229-a/lot-6b3747526fcb4336a7a087d1d3302ae7</t>
  </si>
  <si>
    <t>https://zakupivli.pro/gov/tenders/ua-2025-04-15-002650-a</t>
  </si>
  <si>
    <t>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(приєднання):Будівництво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</t>
  </si>
  <si>
    <t>https://zakupivli.pro/gov/tenders/ua-2025-04-17-000408-a/lot-19cd55c591204a4d97054bc0f733b073</t>
  </si>
  <si>
    <t>Технічне переоснащення ЗТП-29 в м. Кропивницький для зовнішнього електропостачання нежитлового приміщення  ТОВ "СОКОЛІВСЬКИЙ М'ЯСОКОМБІНАТ" по вул. Шульгіних 39/4</t>
  </si>
  <si>
    <t>https://zakupivli.pro/gov/tenders/ua-2025-04-17-010179-a</t>
  </si>
  <si>
    <t>https://zakupivli.pro/gov/tenders/ua-2025-04-18-008450-a/lot-e218fb7fa3bb4b34b9c47b7be8f9531c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</si>
  <si>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ПС-1503510кВ “Новоукраїнська” між оп. №351 - №361 (кабельна вставка під залізницею) в м. Новоукраїнка (Новоукраїнські ЕМ) (пункт 1.2.3.1.3 Інвестиційної Програми 2025)</t>
  </si>
  <si>
    <t>https://zakupivli.pro/gov/tenders/ua-2025-04-18-008599-a/lot-d1930e606bf14e32bb19439d60d5eb4c</t>
  </si>
  <si>
    <t>https://zakupivli.pro/gov/tenders/ua-2025-04-23-000184-a</t>
  </si>
  <si>
    <t>Капітальний ремонт будівлі РВБ та гаражу на 8 боксів (приміщення ГРЕ) Добровеличківського ЕМ по вул. Європейська, 2а, смт Добровеличківка, Кіровоградської обл. (ремонтна програма)</t>
  </si>
  <si>
    <t xml:space="preserve"> Апаратура для запису та відтворення аудіо- та відеоматеріалу (основна діяльність):Апаратура для запису та відтворення аудіо- та відеоматеріалу (основна діяльність)</t>
  </si>
  <si>
    <t xml:space="preserve">39540000-9 Вироби різні з канату, мотузки, шпагату та сітки </t>
  </si>
  <si>
    <t xml:space="preserve"> Будівництво ПЛІ-0,4 кВ від ЩТП-50/В в сел. Вільшанка Голованівського району Кіровоградської області</t>
  </si>
  <si>
    <t>Будівництво ПЛІ-0,4 кВ Л-20 ТП-756 оп.№18-33 в м. Кропивницький для зовнішнього електропостачання житлового будинку гр. Животова С.М. по вул. Степова, буд. 16 в с-ще Нове</t>
  </si>
  <si>
    <t>Будівництво ПЛІ-0,4 кВ від КТП-78 в сел.Петрове для електропостачання ж/б з будівельним майданчиком гр.Солодовнікова Г.О.</t>
  </si>
  <si>
    <t>https://zakupivli.pro/gov/tenders/ua-2025-04-30-002643-a</t>
  </si>
  <si>
    <t>https://zakupivli.pro/gov/tenders/ua-2025-04-30-002296-a</t>
  </si>
  <si>
    <t>Телекомунікаційні кабелі та обладнання</t>
  </si>
  <si>
    <t>https://zakupivli.pro/gov/tenders/ua-2025-05-01-001961-a</t>
  </si>
  <si>
    <t>Будівництво ПЛ-6 кВ від оп.№9 ПЛ-6 кВ Ф-605 для зовнішнього електропостачання будівлі профілакторію №2 ФОП Рудич Л.М., вул. Городоцька, буд. 77, м. Світловодськ</t>
  </si>
  <si>
    <t>https://zakupivli.pro/gov/tenders/ua-2025-05-02-003008-a</t>
  </si>
  <si>
    <t xml:space="preserve">45450000-6 Інші завершальні будівельні роботи </t>
  </si>
  <si>
    <t xml:space="preserve"> Вироби різні з канату, мотузки, шпагату та сітки (основна діяльність):Вироби різні з канату, мотузки, шпагату та сітки (основна діяльність)</t>
  </si>
  <si>
    <t xml:space="preserve"> Капітальний ремонт реєстраторів аварійних подій "РЕКОН-07БС"</t>
  </si>
  <si>
    <t xml:space="preserve"> Будівництво ЩТП-74 в с.Тарасівка Бобринецьких ЕМ для зовнішнього електропостачання житлового будинку Романюк Н.В.</t>
  </si>
  <si>
    <t xml:space="preserve"> Будівництво ПЛЗ-10 кВ Л-89 до ЩТП-384 в с. Новопетрівка Кропивницьких ЕМ для зовнішнього електропостачання нежитлової будівлі з будівельним майданчиком гр. Смоляр А. М.</t>
  </si>
  <si>
    <t xml:space="preserve"> Світильники та освітлювальна арматура (основна діяльність):Світильники та освітлювальна арматура (основна діяльність)</t>
  </si>
  <si>
    <t xml:space="preserve"> Мастики, шпаклівки, замазки та розчинники (або еквівалент) (основна діяльність):Мастики, шпаклівки, замазки та розчинники (або еквівалент) (основна діяльність)</t>
  </si>
  <si>
    <t xml:space="preserve">44520000-1 Замки, ключі та петлі </t>
  </si>
  <si>
    <t xml:space="preserve"> Телекомунікаційні кабелі та обладнання (основна діяльність):Телекомунікаційні кабелі та обладнання (основна діяльність)</t>
  </si>
  <si>
    <t xml:space="preserve"> Електрична апаратура для комутування та захисту електричних кіл (основна діяльність):ЛОТ4</t>
  </si>
  <si>
    <t xml:space="preserve"> Електрична апаратура для комутування та захисту електричних кіл (основна діяльність):ЛОТ1</t>
  </si>
  <si>
    <t xml:space="preserve">44210000-5 Конструкції та їх частини </t>
  </si>
  <si>
    <t xml:space="preserve">45453000-7 Капітальний ремонт і реставрація </t>
  </si>
  <si>
    <t xml:space="preserve"> Капітальний ремонт адміністративної будівлі м. Мала Виска по Новомиргородському шосе, 3, Маловисковські ЕМ  (роздягальня)</t>
  </si>
  <si>
    <t xml:space="preserve"> Технічне переоснащення лінійних комірки №18 1СШ-6кВ ЦРП-7 та комірки №14 2СШ-6кВ ЦРП-7 в м.Кропивницький для зовнішнього електропостачання багатоквартирного житлового будинку ТОВ"СУЗІР'Я СКАЙ"  вул. Степана Чобану, 2-А</t>
  </si>
  <si>
    <t xml:space="preserve"> Відеокамери та відеореєстратори (основна діяльність).:Відеокамери та відеореєстратори (основна діяльність).</t>
  </si>
  <si>
    <t xml:space="preserve">32550000-3 Телефонне обладнання </t>
  </si>
  <si>
    <t xml:space="preserve">24910000-6 Клеї </t>
  </si>
  <si>
    <t xml:space="preserve"> Шини для транспортних засобів (Основна діяльність)
:Шини для транспортних засобів (Основна діяльність)</t>
  </si>
  <si>
    <t>Капітальний ремонт будівлі сервісного центру ( ремонт системи пожежогасіння В2, паркінг ) по вул. Велика Перспективна, 78 м. Кропивницький.</t>
  </si>
  <si>
    <t>Капітальний ремонт будівлі сервісного центру ( ремонт системи подачі води В1, встановлення додаткових засувок ) по вул. Велика Перспективна, 78 м. Кропивницький</t>
  </si>
  <si>
    <t>Капітальний ремонт будівлі ЗТП-1221 по вул.Свердлова, смт. Пантаївка, Олександрійського р-ну,  Кіровоградської обл.  (Улаштування покрівлі з металопрофілю, вимощення)</t>
  </si>
  <si>
    <t>Капітальний  ремонт будівлі ЗТП-1116 по вул. Нагорна, м. Олександрія, Кіровоградської обл. (Улаштування покрівлі з металопрофілю, вимощення). Ремонтні роботи</t>
  </si>
  <si>
    <t>Капітальний ремонт будівлі ЗТП-1222 по вул. Шкільна, смт Пантаївка, Олександрійського р-ну,  Кіровоградської обл. (Улаштування покрівлі з металопрофілю, вимощення) Ремонтні роботи</t>
  </si>
  <si>
    <t>Капітальний  ремонт будівлі ЗТП-1117 по вул. 8-го Березня, м. Олександрія, Кіровоградської обл. (Улаштування покрівлі з металопрофілю, вимощення). Ремонтні роботи.</t>
  </si>
  <si>
    <t>Капітальний  ремонт будівлі ЗТП-1122 по вул. Говорова, м. Олександрія, Кіровоградської обл. (Улаштування покрівлі з металопрофілю, вимощення). Ремонтні роботи.</t>
  </si>
  <si>
    <t>Технічне переоснащення ПЛ-0,4 кВ від КТП-78 в с. Обознівка Кропивницьких ЕМ для зовнішнього електропостачання житлового будинку гр. Довгокер І.М. по вул. Світанкова, буд. 35</t>
  </si>
  <si>
    <t>Будівництво ПЛ, ПЛІ-0,4 кВ Л-1, Л-4 від КТП-78 в с. Обознівка Кропивницьких ЕМ для зовнішнього електропостачання житлового будинку гр. Довгокер І.М. по вул. Світанкова, буд. 35</t>
  </si>
  <si>
    <t>https://zakupivli.pro/gov/tenders/ua-2025-05-06-012412-a</t>
  </si>
  <si>
    <t>https://zakupivli.pro/gov/tenders/ua-2025-05-06-012147-a</t>
  </si>
  <si>
    <t>https://zakupivli.pro/gov/tenders/ua-2025-05-06-011060-a</t>
  </si>
  <si>
    <t>https://zakupivli.pro/gov/tenders/ua-2025-05-06-010641-a</t>
  </si>
  <si>
    <t>https://zakupivli.pro/gov/tenders/ua-2025-05-06-010317-a</t>
  </si>
  <si>
    <t>https://zakupivli.pro/gov/tenders/ua-2025-05-06-009792-a</t>
  </si>
  <si>
    <t>https://zakupivli.pro/gov/tenders/ua-2025-05-06-009789-a</t>
  </si>
  <si>
    <t>https://zakupivli.pro/gov/tenders/ua-2025-05-06-008012-a</t>
  </si>
  <si>
    <t>https://zakupivli.pro/gov/tenders/ua-2025-05-06-007587-a</t>
  </si>
  <si>
    <t>Капітальний ремонт лінійного посту, контори Петрівськіх ЕМ за адресою с.Петрове, вул.Святкова, 57 (аварійне підсилення несучих конструкцій)</t>
  </si>
  <si>
    <t>https://zakupivli.pro/gov/tenders/ua-2025-05-07-007781-a</t>
  </si>
  <si>
    <t>Будівництво ЩТП-144 в с.Новий Стародуб для зовнішнього електропостачання ж/б Ціціми О.М(приєднання)</t>
  </si>
  <si>
    <t>Реконструкція ПЛ-0,4 кВ Л-3 КТП-147 в с.Новий Стародуб для зовнішнього електропостачання ж/б Ціціми О.М.</t>
  </si>
  <si>
    <t>Будівництво ПЛ-10 кВ Л-132 в с.Новий Стародуб для зовнішнього електропостачання ж/б Ціціми О.М.</t>
  </si>
  <si>
    <t>Реконструкція ПЛ-0,4кВ від КТП-438 в м. Кропивницький для зовнішнього електропостачання житлового будинку гр. Мартишевської П.О. по вул. Лицарів зимового походу, 12</t>
  </si>
  <si>
    <t>https://zakupivli.pro/gov/tenders/ua-2025-05-08-001478-a</t>
  </si>
  <si>
    <t>https://zakupivli.pro/gov/tenders/ua-2025-05-08-001289-a</t>
  </si>
  <si>
    <t>https://zakupivli.pro/gov/tenders/ua-2025-05-08-001179-a</t>
  </si>
  <si>
    <t>https://zakupivli.pro/gov/tenders/ua-2025-05-08-001145-a</t>
  </si>
  <si>
    <t xml:space="preserve">31530000-0 Частини до світильників та освітлювального обладнання </t>
  </si>
  <si>
    <t xml:space="preserve">50110000-9 Послуги з ремонту і технічного обслуговування мототранспортних засобів і супутнього обладнання </t>
  </si>
  <si>
    <t xml:space="preserve"> Будівництво ПЛІ-0,4кВ Л-4 від оп.№1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</si>
  <si>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 xml:space="preserve"> Будівництво ПЛ, ПЛІ-0,4кВ Л-1,Л-4 від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</si>
  <si>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Капітальний ремонт: Розчистка трас охоронної зони на ділянках повітряної лінії 10 кВ Л-153 Олександрійський район Кіровоградська область</t>
  </si>
  <si>
    <t>https://zakupivli.pro/gov/tenders/ua-2025-05-09-011607-a</t>
  </si>
  <si>
    <t>Будівництво ПЛІ-0,4кВ Л-1 від ЩТП-14 в с. Аджамка для зовнішнього електропостачання житлового будинку гр. Маленко О.О. по вул. Шевченка, 24 Кропивницького району(Приєднання)</t>
  </si>
  <si>
    <t>Будівництво ЩТП-14 в с. Аджамка для зовнішнього електропостачання житлового будинку гр. Маленко О.О. по вул. Шевченка, 24 Кропивницького району</t>
  </si>
  <si>
    <t>Будівництво ПЛІ-0,4 кВ ТП-209 Л-19 оп.№1-14/1  для зовнішнього електропостачання житлового будинку гр. Жиминюк Л.О. по вул. Юрія Краснокутського, буд. 1-И в м. Кропивницький</t>
  </si>
  <si>
    <t>https://zakupivli.pro/gov/tenders/ua-2025-05-12-011976-a</t>
  </si>
  <si>
    <t>https://zakupivli.pro/gov/tenders/ua-2025-05-12-011885-a</t>
  </si>
  <si>
    <t>https://zakupivli.pro/gov/tenders/ua-2025-05-12-008899-a</t>
  </si>
  <si>
    <t>Замки, ключі та петлі (основна діяльність):ЛОТ 1</t>
  </si>
  <si>
    <t>Замки, ключі та петлі (основна діяльність):ЛОТ 2</t>
  </si>
  <si>
    <t>https://zakupivli.pro/gov/tenders/ua-2025-05-13-002429-a/lot-0a149ea944924aba91b2f8156e2dd006</t>
  </si>
  <si>
    <t>https://zakupivli.pro/gov/tenders/ua-2025-05-13-002429-a/lot-58b8102ff3034429b3bc418a46aaca85</t>
  </si>
  <si>
    <t xml:space="preserve">Будівництво ПЛІ-0,4кВ Л-9 оп.2-14 ТП-542 в м. Кропивницький для зовнішнього електропостачання комплексу будівель ТОВ "Магазин №117 Лелеківський" по вул. Холодноярська, буд. 198 (приєднання) </t>
  </si>
  <si>
    <t>Будівництво KJI-0,4 кB Л-8 TП-532 для зовнішнього електропостачання мийки самообслуговування ТОВ "АВТОМИЙСАМЦЕНТР" по просп. Інженерів, 21 в м. Кропивницький</t>
  </si>
  <si>
    <t>Реконструкція ЗТП-532 для зовнішнього електропостачання мийки самообслуговування ТОВ "АВТОМИЙСАМЦЕНТР" по просп. Інженерів, 21 в м. Кропивницький</t>
  </si>
  <si>
    <t>https://zakupivli.pro/gov/tenders/ua-2025-05-16-000275-a</t>
  </si>
  <si>
    <t>https://zakupivli.pro/gov/tenders/ua-2025-05-16-000256-a</t>
  </si>
  <si>
    <t>https://zakupivli.pro/gov/tenders/ua-2025-05-16-000205-a</t>
  </si>
  <si>
    <t>Капітальний ремонт будівлі адміністративної (заміна віконних склопакетів диспетчерського пункту ОДС, каб.213) за адресою вул. Андріївська, 84, м. Кропивницький (Ремонтна програма)</t>
  </si>
  <si>
    <t>https://zakupivli.pro/gov/tenders/ua-2025-05-19-012608-a</t>
  </si>
  <si>
    <t>Блок стабілізатора АВР СТ (ремонтна програма):Блок стабілізатора АВР СТ (ремонтна програма)</t>
  </si>
  <si>
    <t>Будівництво ПЛЗ-10 кВ Л-89 до ЩТП-380 для зовнішнього електропостачання житлового будинку гр. Осадча Н.Г. по вул. Кавказька, буд. 14 в с. Черняхівка Кропивницького району</t>
  </si>
  <si>
    <t>Будівництво ЩТП-380 для зовнішнього електропостачання житлового будинку гр. Осадча Н.Г. по вул. Кавказька, буд. 14 в с. Черняхівка Кропивницького району( приєднання)</t>
  </si>
  <si>
    <t>https://zakupivli.pro/gov/tenders/ua-2025-05-20-009372-a/lot-a2407ef306b440eb8a6028369464803b</t>
  </si>
  <si>
    <t>https://zakupivli.pro/gov/tenders/ua-2025-05-20-001567-a</t>
  </si>
  <si>
    <t>https://zakupivli.pro/gov/tenders/ua-2025-05-20-001540-a</t>
  </si>
  <si>
    <t>Мережеве обладнання (основна діяльність):Мережеве обладнання (основна діяльність)</t>
  </si>
  <si>
    <t>https://zakupivli.pro/gov/tenders/ua-2025-05-21-010260-a/lot-f9a5b4b4f14c40dca57b09386b3c8ffe</t>
  </si>
  <si>
    <t>Будівництво ПЛЗ-10кВ Л-1 оп.113, 113/1-113/4  в с. Соколівське для зовнішнього електропостачання нежитлового приміщення гр. Кириченка П.О. кад.№3522587200:02:000:5142 (приєднання)</t>
  </si>
  <si>
    <t>https://zakupivli.pro/gov/tenders/ua-2025-05-22-003797-a</t>
  </si>
  <si>
    <t>Будівництво ПЛІ-0,4 кВ від КТП-423 в м.Новоукраїнка для зовнішнього електропостачання абонентської станції мобільного зв’язку ПрАТ «Київстар» по вул.Зразкова (Комарова),1а</t>
  </si>
  <si>
    <t>https://zakupivli.pro/gov/tenders/ua-2025-05-23-009263-a</t>
  </si>
  <si>
    <t>Ремонт КПП трактора Т-150 (ремонтна програма)</t>
  </si>
  <si>
    <t>https://zakupivli.pro/gov/tenders/ua-2025-05-26-004827-a</t>
  </si>
  <si>
    <t xml:space="preserve">Технічне переоснащення комірки №13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 </t>
  </si>
  <si>
    <t>Технічне переоснащення комірки №2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</t>
  </si>
  <si>
    <t>https://zakupivli.pro/gov/tenders/ua-2025-05-27-003751-a</t>
  </si>
  <si>
    <t>https://zakupivli.pro/gov/tenders/ua-2025-05-27-001919-a</t>
  </si>
  <si>
    <t>Аварійний ремонт пошкодженої ділянки кабельного виходу 35 кВ Л-720 на ПС 35/10 кВ "Краснохутірська ГЕС" в с. Синюха, Голованівського району Кіровоградської області (ремонтна програма)</t>
  </si>
  <si>
    <t>https://zakupivli.pro/gov/tenders/ua-2025-05-27-012930-a</t>
  </si>
  <si>
    <t xml:space="preserve"> Ремонтно-відновлювальні роботи енергооб’єктів 0,4 кВ в аварійних ситуаціях</t>
  </si>
  <si>
    <t xml:space="preserve"> Ремонтно-відновлювальні роботи енергооб’єктів 6-10 кВ в аварійних ситуаціях</t>
  </si>
  <si>
    <t xml:space="preserve">44310000-6 Вироби з дроту </t>
  </si>
  <si>
    <t xml:space="preserve"> Вироби з дроту (або еквівалент) (основна діяльність):ЛОТ 1</t>
  </si>
  <si>
    <t xml:space="preserve"> Роботи по капітальному ремонту на ПС 150/35/6кВ Сільмаш-1 в частині заміни моторного приводу РПН силового трансформатора 1Т типу ТДТН-25000/150</t>
  </si>
  <si>
    <t xml:space="preserve"> Реконструкція РУ-0,4 кВ КТП-820 для  зовнішнього електропостачання житлового будинку з об’єктами торгово-розважальної та ринкової інфраструктури в м. Кропивницький вул. Андріївська, 2а</t>
  </si>
  <si>
    <t xml:space="preserve"> Трансформатори (або еквівалент) (основна діяльність):ЛОТ 1</t>
  </si>
  <si>
    <t xml:space="preserve">31430000-9 Електричні акумулятори </t>
  </si>
  <si>
    <t xml:space="preserve"> Системи керування та контролю, друкарське і графічне обладнання та обладнання для автоматизації офісу й обробки інформації (основна діяльність):Системи керування та контролю, друкарське і графічне обладнання та обладнання для автоматизації офісу й обробки інформації (основна діяльність)</t>
  </si>
  <si>
    <t xml:space="preserve"> Фарби (основна діяльність):Фарби (основна діяльність)</t>
  </si>
  <si>
    <t xml:space="preserve"> 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2025).:Реконструкція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</t>
  </si>
  <si>
    <t xml:space="preserve"> Реконструкція ПЛ-0,4кВ від КТП-1417 в м. Олександрія Кіровоградської області (Олександрійські ЕМ) (пункт 1.2.4.1.6 Інвестиційної Програми 2025):Реконструкція ПЛ-0,4кВ від КТП-1417 в м. Олександрія Кіровоградської області (Олександрійські ЕМ) (пункт 1.2.4.1.6 Інвестиційної Програми 2025)</t>
  </si>
  <si>
    <t xml:space="preserve"> 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2025):Реконструкція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</t>
  </si>
  <si>
    <t xml:space="preserve"> Реконструкція ПЛ-0,4кВ від ЗТП-1084 в м. Олександрія Кіровоградської області (Олександрійські ЕМ) (пункт 1.2.4.1.3 Інвестиційної Програми 2025):Реконструкція ПЛ-0,4кВ від ЗТП-1084 в м. Олександрія Кіровоградської області (Олександрійські ЕМ) (пункт 1.2.4.1.3 Інвестиційної Програми 2025)</t>
  </si>
  <si>
    <t xml:space="preserve"> Баласти для розрядних ламп чи трубок</t>
  </si>
  <si>
    <t xml:space="preserve"> Абразивні вироби (основна діяльність):Абразивні вироби (основна діяльність)</t>
  </si>
  <si>
    <t xml:space="preserve"> Технічне переоснащення МТП-724 для зовнішнього електропостачання житлового будинку гр. Горбатовська І. Л. по пров. Курінний, буд. 11 в м. Кропивницький</t>
  </si>
  <si>
    <t xml:space="preserve"> Елементи електричних схем ЛОТ №1,2 (основна діяльність):ЛОТ2</t>
  </si>
  <si>
    <t xml:space="preserve"> Елементи електричних схем ЛОТ №1,2 (основна діяльність):ЛОТ1</t>
  </si>
  <si>
    <t xml:space="preserve"> Послуги з післягарантійного або негарантійного ремонту приладів обліку електричної енергії</t>
  </si>
  <si>
    <t xml:space="preserve"> 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</si>
  <si>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 xml:space="preserve"> Основні неорганічні хімічні речовини (основна діяльність):Основні неорганічні хімічні речовини (основна діяльність)</t>
  </si>
  <si>
    <t xml:space="preserve">50410000-2 Послуги з ремонту і технічного обслуговування вимірювальних, випробувальних і контрольних приладів </t>
  </si>
  <si>
    <t xml:space="preserve">09210000-4 Мастильні засоби </t>
  </si>
  <si>
    <t xml:space="preserve"> Шафа КТПС 160 кВА (зовнішне електропостачання житлового будинку, гр. Руденко С.В. в с. Липовеньке, Голованівського р-ну)</t>
  </si>
  <si>
    <t xml:space="preserve">42960000-3 Системи керування та контролю, друкарське і графічне обладнання та обладнання для автоматизації офісу й обробки інформації </t>
  </si>
  <si>
    <t xml:space="preserve">44110000-4 Конструкційні матеріали </t>
  </si>
  <si>
    <t xml:space="preserve"> Конструкційні матеріали (або еквівалент) (основна діяльність):ЛОТ 1</t>
  </si>
  <si>
    <t xml:space="preserve">19510000-4 Гумові вироби </t>
  </si>
  <si>
    <t xml:space="preserve"> Шафа КТП-400/10/0,4 У1 (або еквівалент) (приєднання):Шафа КТП-400/10/0,4 У1 (або еквівалент) (приєднання)</t>
  </si>
  <si>
    <t xml:space="preserve">31710000-6 Електронне обладнання </t>
  </si>
  <si>
    <t xml:space="preserve"> Електронне обладнання (або еквівалент) (основна діяльність):ЛОТ 1</t>
  </si>
  <si>
    <t xml:space="preserve"> Лічильники (основна діяльність):Лічильники (основна діяльність)</t>
  </si>
  <si>
    <t xml:space="preserve"> 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</si>
  <si>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 xml:space="preserve"> 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</si>
  <si>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 xml:space="preserve"> 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</si>
  <si>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 xml:space="preserve"> Телеметричне та термінальне обладнання (основна діяльність):Телеметричне та термінальне обладнання (основна діяльність)</t>
  </si>
  <si>
    <t xml:space="preserve"> Спеціалізована хімічна продукція (основна діяльність):Спеціалізована хімічна продукція (основна діяльність)</t>
  </si>
  <si>
    <t xml:space="preserve"> 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</si>
  <si>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 xml:space="preserve"> Елементи електричних схем ЛОТ №1-2 (основна діяльність):ЛОТ2</t>
  </si>
  <si>
    <t>Ремонт привода елегазового вимикача С-1 типу LTB-170 на ПС 150/35/10 кВ "Бобринець"</t>
  </si>
  <si>
    <t>Будівництво КЛ-10 кВ ком.№13 – оп.№1 (Л-165)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</si>
  <si>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 xml:space="preserve">Будівництво КЛ-10 кВ ком.№2 – оп.№1 (Л-161)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ЕМ)(приєднання) </t>
  </si>
  <si>
    <t>Будівництво ПЛ-10 кВ оп.№58/7 Л-165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</si>
  <si>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>https://zakupivli.pro/gov/tenders/ua-2025-05-30-006154-a</t>
  </si>
  <si>
    <t>https://zakupivli.pro/gov/tenders/ua-2025-05-30-000908-a</t>
  </si>
  <si>
    <t>https://zakupivli.pro/gov/tenders/ua-2025-05-30-000828-a</t>
  </si>
  <si>
    <t>https://zakupivli.pro/gov/tenders/ua-2025-05-30-000803-a</t>
  </si>
  <si>
    <t>Капітальний  ремонт будівлі ЗТП-1420 по пр. Будівельників, м.Олександрія, Кіровоградської обл.(Улаштування покрівлі з металопрофілю). Ремонтна програма.</t>
  </si>
  <si>
    <t>Капітальний  ремонт будівлі ЗТП-1208 по вул. Трудових резервів, смт. Димитрово, Олександрійського р-ну, Кіровоградської обл.(Улаштування покрівлі з металопрофілю, вимощення, мет. ворота). Ремонтні роботи.</t>
  </si>
  <si>
    <t>https://zakupivli.pro/gov/tenders/ua-2025-06-03-009863-a</t>
  </si>
  <si>
    <t>https://zakupivli.pro/gov/tenders/ua-2025-06-03-009568-a</t>
  </si>
  <si>
    <t>Муфти кабельні (приєднання)</t>
  </si>
  <si>
    <t>https://zakupivli.pro/gov/tenders/ua-2025-06-04-003192-a</t>
  </si>
  <si>
    <t>Капітальний ремонт будівлі ЗТП-220 по вул.Районний Бульвар 65-п, м.Кропивницький (Улаштування покрівлі з металопрофілю, мет.двері, вимощення) (ремонтна програма)</t>
  </si>
  <si>
    <t>https://zakupivli.pro/gov/tenders/ua-2025-06-04-001086-a</t>
  </si>
  <si>
    <t>Реконструкція ЗТП - 345  для зовнішнього електропостачання відділу комп’ютерної томографії КНП "Центральна міська лікарня" Міської ради міста Кропивницький", УКБ Кропивницької міської ради по вул. Салганні піски, буд.14 в м. Кропивницький (приєднання)</t>
  </si>
  <si>
    <t xml:space="preserve">Будівництво ПЛ,ПЛІ-0,4 кВ Л-4 КТП-114 в с.Грушка Благовіщенських ЕМ для зовнішнього електропостачання житлового будинку гр. Лебедин В.В. по вул. Центральна, 156 (приєднання) </t>
  </si>
  <si>
    <t>Будівництво ПЛ,ПЛІ-10-0,4 кВ Л-123 Л-1,2 КТП-426 в с.Великі Трояни Благовіщенських ЕМ для зовнішнього електропостачання 23/100 частини складу гр. Бирлівської Г.С. по пров. Степовий, 5-а Благовіщенські ЕМ (приєднання)</t>
  </si>
  <si>
    <t>Реконструкція ПЛ-0,4кВ Л-1 КТП-448 для зовнішнього електропостачання житлового будинку гр. Проданчук Т.В.  в с. Вільхове, вул. Сонячна, 65 Благовіщенські ЕМ (приєднання)</t>
  </si>
  <si>
    <t>https://zakupivli.pro/gov/tenders/ua-2025-06-05-004619-a</t>
  </si>
  <si>
    <t>https://zakupivli.pro/gov/tenders/ua-2025-06-05-002438-a</t>
  </si>
  <si>
    <t>https://zakupivli.pro/gov/tenders/ua-2025-06-05-002216-a</t>
  </si>
  <si>
    <t>https://zakupivli.pro/gov/tenders/ua-2025-06-05-002120-a</t>
  </si>
  <si>
    <t>Будівництво ПЛ,ПЛІ-10-0,4 кВ Л-104, Л-2 КТП-472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</si>
  <si>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Будівництво ЩТП-428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</si>
  <si>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https://zakupivli.pro/gov/tenders/ua-2025-06-06-006809-a</t>
  </si>
  <si>
    <t>https://zakupivli.pro/gov/tenders/ua-2025-06-06-006663-a</t>
  </si>
  <si>
    <t xml:space="preserve">Будівництво КЛ-6 кВ оп. №157-№157/1 Ф-18П ПС «Підгайці»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 </t>
  </si>
  <si>
    <t>Будівництво ПЛ-6 кВ оп. №157/1 до ЩТП-843 Ф-18П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</si>
  <si>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Будівництво ЩТП - 843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</si>
  <si>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Капітальний ремонт будівлі ЗТП-5 по вул.Шевченка 36-п, м.Кропивницький (вимощення, фарбування, металеві двері) (ремонтна програма)</t>
  </si>
  <si>
    <t>Капітальний ремонт будівлі ЗТП-5А по вул.Шевченка 36-п, м.Кропивницький (фасад, металеві двері) (ремонтна програма)</t>
  </si>
  <si>
    <t>Будівництво двох КЛ-10кВ Л-109, Л-104 від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 (приєднання)</t>
  </si>
  <si>
    <t>Технічне переоснащення ПС "ПТО" 150/35/10кВ для приєднання електроустановки зберігання енергії ТОВ "ОЛЕКСАНДРІЙСЬКА БЕСС", що знаходиться за адресою: Кіровоградська область, Олександрійський район, м. Олександрія, шосе Дніпровське, кад.№3510300000:07:230:0003. (із використанням матеріалів підрядника) (приєднання)</t>
  </si>
  <si>
    <t>Технічне переоснащення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Кад.№3510600000:50:231:0010. (із використанням матеріалів підрядника) (приєднання)</t>
  </si>
  <si>
    <t>Будівництво двох КЛ-10кВ Л-316, Л-434 від ПС "ПТО" 150/35/10кВ для приєднання електроустановки зберігання енергії ТОВ "ОЛЕКСАНДРІЙСЬКА БЕСС", що знаходиться за адресою, Кіровоградська область, Олександрійський район,  м. Олександрія, шосе Дніпровське, кад. №3510300000:07:230:0003 (приєднання)</t>
  </si>
  <si>
    <t>Технічне переоснащення ПС 150/110/35/10кВ "Новомиргородська" для приєднання електроустановки зберігання енергії ТОВ "НОВОМИРГОРОДСЬКА БЕСС", що знаходиться за адресою, м. Новомиргород (за межами населеного пункту) Кад.номер:3523810100:03:000:0017 (приєднання)</t>
  </si>
  <si>
    <t>Будівництво двох КЛ-10кВ Ф-33Г, Ф47Г від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(приєднання)</t>
  </si>
  <si>
    <t>Технічне переоснащення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(із використанням матеріалів підрядника) (приєднання)</t>
  </si>
  <si>
    <t>Нове будівництво двох КЛ-10кВ Л-137, Л-157 видачі потужності електроустановки зберігання енергії ТОВ "НОВОМИРГОРОДСЬКА БЕСС", що знаходиться за адресою Новоукраїнський район, м. Новомиргород (за межами населеного пункту) (із матеріалів та обладнання підрядника) (приєднання)</t>
  </si>
  <si>
    <t>https://zakupivli.pro/gov/tenders/ua-2025-06-12-012234-a/lot-0a0fc49b923f404c943dc4e8936e94dc</t>
  </si>
  <si>
    <t>https://zakupivli.pro/gov/tenders/ua-2025-06-12-011681-a/lot-4f34003fa74d4c5fa982e862baf8a11f</t>
  </si>
  <si>
    <t>https://zakupivli.pro/gov/tenders/ua-2025-06-12-011075-a/lot-977eae71a9824ae8b72230ce316343fa</t>
  </si>
  <si>
    <t>https://zakupivli.pro/gov/tenders/ua-2025-06-12-010920-a/lot-744cd84cdf2d435aafecd57807db16ba</t>
  </si>
  <si>
    <t>https://zakupivli.pro/gov/tenders/ua-2025-06-12-008984-a</t>
  </si>
  <si>
    <t>https://zakupivli.pro/gov/tenders/ua-2025-06-12-008628-a</t>
  </si>
  <si>
    <t>https://zakupivli.pro/gov/tenders/ua-2025-06-12-008425-a</t>
  </si>
  <si>
    <t>https://zakupivli.pro/gov/tenders/ua-2025-06-12-001850-a</t>
  </si>
  <si>
    <t>https://zakupivli.pro/gov/tenders/ua-2025-06-12-001669-a</t>
  </si>
  <si>
    <t>https://zakupivli.pro/gov/tenders/ua-2025-06-12-000344-a/lot-6678744630fd4adaa7ca7fd43269f9a9</t>
  </si>
  <si>
    <t>https://zakupivli.pro/gov/tenders/ua-2025-06-12-000284-a/lot-1e0182cc577d49c9af4f2131102c902f</t>
  </si>
  <si>
    <t>https://zakupivli.pro/gov/tenders/ua-2025-06-12-000279-a/lot-f26ee65b706c4d75a5ba58abf9a1b833</t>
  </si>
  <si>
    <t>https://zakupivli.pro/gov/tenders/ua-2025-06-12-000131-a/lot-0554f39f1e12484bb119715e1c27b2dc</t>
  </si>
  <si>
    <t>Будівництво ПЛІ-0,4 кВ Л-1 оп.1-3-33, оп.64-66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</si>
  <si>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 xml:space="preserve">Будівництво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 </t>
  </si>
  <si>
    <t>Будівництво ПЛ-10 кВ Л-134 оп.248-700-712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</si>
  <si>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>Будівництво ПЛ,ПЛІ-0,4 кВ Л-1,Л-3 КТП-606 в с.Калинівка Кропивницьких ЕМ для зовнішнього електропостачання житлового будинку Переверзєва А.В. по вул. Інгульська, 86 (приєднання)</t>
  </si>
  <si>
    <t>https://zakupivli.pro/gov/tenders/ua-2025-06-18-011358-a</t>
  </si>
  <si>
    <t>https://zakupivli.pro/gov/tenders/ua-2025-06-18-011141-a</t>
  </si>
  <si>
    <t>https://zakupivli.pro/gov/tenders/ua-2025-06-18-010961-a</t>
  </si>
  <si>
    <t>https://zakupivli.pro/gov/tenders/ua-2025-06-18-000255-a</t>
  </si>
  <si>
    <t>Реконструкція ЗТП-69А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</si>
  <si>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ЗТП-69А Л-8 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</si>
  <si>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 Л-8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</si>
  <si>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Будівництво КЛ-0,4 кВ ТП-478 А-15 ком.4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</si>
  <si>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Реконструкція ЗТП-69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</si>
  <si>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Реконструкція ЗТП-478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</si>
  <si>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 xml:space="preserve">Будівництво КЛ-0,4 кВ ТП-478 А-14 ком.2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</si>
  <si>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https://zakupivli.pro/gov/tenders/ua-2025-06-19-007510-a</t>
  </si>
  <si>
    <t>https://zakupivli.pro/gov/tenders/ua-2025-06-19-007258-a</t>
  </si>
  <si>
    <t>https://zakupivli.pro/gov/tenders/ua-2025-06-19-007122-a</t>
  </si>
  <si>
    <t>https://zakupivli.pro/gov/tenders/ua-2025-06-19-007061-a</t>
  </si>
  <si>
    <t>https://zakupivli.pro/gov/tenders/ua-2025-06-19-007019-a</t>
  </si>
  <si>
    <t>https://zakupivli.pro/gov/tenders/ua-2025-06-19-006954-a</t>
  </si>
  <si>
    <t>https://zakupivli.pro/gov/tenders/ua-2025-06-19-006872-a</t>
  </si>
  <si>
    <t>Капітальний  ремонт будівлі ЗТП-1393 по вул. Самофалова, м. Олександрія, Кіровоградської обл.(Улаштування покрівлі з металопрофілю). Ремонтна програма.</t>
  </si>
  <si>
    <t>Капітальний  ремонт будівлі ЗТП-1040 по пр. Соборному, м. Олександрія, Кіровоградської обл.(Улаштування покрівлі з металопрофілю, вимощення). Ремонтна програма.</t>
  </si>
  <si>
    <t>Будівництво КТП-246 в с-щі Кам'янець Кропивницького району для зовнішнього електропостачання нежитлового приміщення ТОВ "Вересень плюс" по вул. Центральна, буд.4-А (приєднання)</t>
  </si>
  <si>
    <t>Капітальний  ремонт будівлі ЗТП-1181 по пр. Соборний, м. Олександрія, Кіровоградської обл.(Улаштування покрівлі з металопрофілю). Ремонтна програма</t>
  </si>
  <si>
    <t>Капітальний  ремонт будівлі ЗТП-1176 по вул. Семашко, м. Олександрія, Кіровоградської обл.(Улаштування покрівлі з металопрофілю, вимощення). Ремонтна програма</t>
  </si>
  <si>
    <t>https://zakupivli.pro/gov/tenders/ua-2025-06-20-003030-a</t>
  </si>
  <si>
    <t>https://zakupivli.pro/gov/tenders/ua-2025-06-20-002917-a</t>
  </si>
  <si>
    <t>https://zakupivli.pro/gov/tenders/ua-2025-06-20-002761-a</t>
  </si>
  <si>
    <t>https://zakupivli.pro/gov/tenders/ua-2025-06-20-002703-a</t>
  </si>
  <si>
    <t>https://zakupivli.pro/gov/tenders/ua-2025-06-20-002566-a</t>
  </si>
  <si>
    <t>Ремонт РВТ, гідроциліндрів (ремонтна програма)</t>
  </si>
  <si>
    <t xml:space="preserve">Будівництво ПЛ-10 кВ Л-126 оп.214-214/1 в с.Клинці Кропивницьких ЕМ для зовнішнього електропостачання комплексу будівель ТОВ"АГРО-СТАЙЛ"  по вул. Перемоги, 42 (приєднання) </t>
  </si>
  <si>
    <t xml:space="preserve">Будівництво ПЛ,ПЛІ-10-0,4 кВ Л-123, Л-1 від КТП-117 в с.Грушка Благовіщенських ЕМ для зовнішнього електропостачання житлового будинку гр. Величко Г.П. по пров.Садовий, 7(приєднання) </t>
  </si>
  <si>
    <t>https://zakupivli.pro/gov/tenders/ua-2025-06-23-004108-a</t>
  </si>
  <si>
    <t>https://zakupivli.pro/gov/tenders/ua-2025-06-23-001718-a</t>
  </si>
  <si>
    <t>https://zakupivli.pro/gov/tenders/ua-2025-06-23-000983-a</t>
  </si>
  <si>
    <t>Будівництво ЩТП-115 в сел. Нова Прага Олександрійських ЕМ для зовнішнього електропостачання ж/б Шкіренко О.С. (приєднання)</t>
  </si>
  <si>
    <t>Будівництво ПЛ,ПЛІ-0,4 кВ Л-7, Л-4 КТП-407 в м.Благовіщенське  для зовнішнього електропостачання житлового будинку гр. Шевченко Н.П.  по вул. Райдужна, 15 (приєднання)</t>
  </si>
  <si>
    <t>Реконструкція ПЛ-0,4 кВ від КТП-44 в сел. Нова Прага Олександрійських ЕМ для зовнішнього електропостачання ж/б Шкіренко О.С. (приєднання)</t>
  </si>
  <si>
    <t>Будівництво ПЛІ-0,4 кВ Л-1 ЩТП-311 в с. Дівоче Поле Олександрійських ЕМ для зовнішнього електропостачання нежитлового приміщення ТОВ "ПРИВАТНЕ ВІДКОРМІВЕЛЬНО-ТОРГОВЕ ПІДПРИЄМСТВО" "ІМПУЛЬС-ПЛЮС" (із використанням матеріалів підрядника) (приєднання)</t>
  </si>
  <si>
    <t>Будівництво ЩТП-311 в с. Дівоче Поле Олександрійських ЕМ для зовнішнього електропостачання нежитлового приміщення ТОВ "ПРИВАТНЕ ВІДКОРМІВЕЛЬНО-ТОРГОВЕ ПІДПРИЄМСТВО" "ІМПУЛЬС-ПЛЮС" (із використанням матеріалів підрядника) (приєднання)</t>
  </si>
  <si>
    <t>https://zakupivli.pro/gov/tenders/ua-2025-06-24-000612-a</t>
  </si>
  <si>
    <t>https://zakupivli.pro/gov/tenders/ua-2025-06-24-000503-a</t>
  </si>
  <si>
    <t>https://zakupivli.pro/gov/tenders/ua-2025-06-24-000275-a</t>
  </si>
  <si>
    <t>https://zakupivli.pro/gov/tenders/ua-2025-06-24-000229-a</t>
  </si>
  <si>
    <t>https://zakupivli.pro/gov/tenders/ua-2025-06-24-000119-a</t>
  </si>
  <si>
    <t xml:space="preserve">Будівництво ПЛ-10 кВ Л-210 в м.Новоукраїнка для зовнішнього електропостачання ж/б Яндульського О.І.(приєднання) </t>
  </si>
  <si>
    <t>Будівництво ЩТП-85 в м.Новоукраїнка для зовнішнього електропостачання ж/б Яндульського О.І. (приєднання)</t>
  </si>
  <si>
    <t>Реконструкція ПЛ-0,4 кВ від КТП-14 в м.Новоукраїнка для зовнішнього електропостачання ж/б Яндульського О.І. (приєднання)</t>
  </si>
  <si>
    <t>https://zakupivli.pro/gov/tenders/ua-2025-06-25-008168-a</t>
  </si>
  <si>
    <t>https://zakupivli.pro/gov/tenders/ua-2025-06-25-007605-a</t>
  </si>
  <si>
    <t>https://zakupivli.pro/gov/tenders/ua-2025-06-25-007384-a</t>
  </si>
  <si>
    <t>https://zakupivli.pro/gov/tenders/ua-2025-07-01-003172-a</t>
  </si>
  <si>
    <t>Реконструкція ПЛ-0,4кВ Л-3 КТП-314 для зовнішнього електропостачання громадського будинку з господарськими будівлями та спорудами (будівля амбулаторії) Соколівська сільська рада по вул. Центральна,  буд.1-а в с. Карлівка Кропивницького району (приєднання)</t>
  </si>
  <si>
    <t>Придбання ліцензій на програмні продукти Eset (антивірусний захист) (пункт 4.2 Інвестиційної Програми 2025)</t>
  </si>
  <si>
    <t>https://zakupivli.pro/gov/tenders/ua-2025-07-03-006327-a/lot-6c2378808bf342aea0c81b65223f722e</t>
  </si>
  <si>
    <t>Будівництво КЛ-0,4 кВ Л-8 від ЗТП-1163 в м. Олександрія для зовнішнього електропостачання 1-під`їздного будинку ТОВ "Стандарт" (приєднання)</t>
  </si>
  <si>
    <t>Будівництво ЩТП-268  в м. Світловодську для зовнішнього електропостачання комплексу будівель ТОВ "НІКА КВІТОЙЛ" по вул. Джерельна, 110-Г (приєднання)</t>
  </si>
  <si>
    <t>Реконструкція ПЛ-0,4кВ Л-1 КТП-20  в с. Зелений Гай для зовнішнього електропостачання житлового будинку гр. Гринюкової Л.М. по вул.Цибулівська, 1 (Кропивницькі ЕМ) (приєднання)</t>
  </si>
  <si>
    <t>Будівництво ПЛ,ПЛІ-0,4 кВ Л-1,Л-3 оп.27 КТП-8 в смт. Нова Прага Олександрійських ЕМ для зовнішнього електропостачання житлового будинку ФОП Обушко А.М. (приєднання)</t>
  </si>
  <si>
    <t>https://zakupivli.pro/gov/tenders/ua-2025-07-04-006460-a</t>
  </si>
  <si>
    <t>https://zakupivli.pro/gov/tenders/ua-2025-07-04-006294-a</t>
  </si>
  <si>
    <t>https://zakupivli.pro/gov/tenders/ua-2025-07-04-006242-a</t>
  </si>
  <si>
    <t>https://zakupivli.pro/gov/tenders/ua-2025-07-04-006125-a</t>
  </si>
  <si>
    <t>Будівництво КЛ-10 кВ ТП-481 1СШ-ТП-828 для зовнішнього електропостачання ТОВ «АГ» по вул. Яновського, 65/52 в м. Кропивницький (приєднання)</t>
  </si>
  <si>
    <t>Реконструкція ЗТП-481 для зовнішнього електропостачання ТОВ «АГ» по вул. Яновського, 65/52 в м. Кропивницький (приєднання)</t>
  </si>
  <si>
    <t xml:space="preserve">Будівництво КЛ-10 кВ ТП-481 2СШ-ТП-828 для зовнішнього електропостачання ТОВ «АГ» по вул. Яновського, 65/52 в м. Кропивницький  (приєднання) </t>
  </si>
  <si>
    <t>https://zakupivli.pro/gov/tenders/ua-2025-07-04-008474-a</t>
  </si>
  <si>
    <t>https://zakupivli.pro/gov/tenders/ua-2025-07-04-008295-a</t>
  </si>
  <si>
    <t>https://zakupivli.pro/gov/tenders/ua-2025-07-04-008271-a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</si>
  <si>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</si>
  <si>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</si>
  <si>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https://zakupivli.pro/gov/tenders/ua-2025-07-09-000191-a/lot-51b0a06de7194763a783cd2b89d2328b</t>
  </si>
  <si>
    <t>https://zakupivli.pro/gov/tenders/ua-2025-07-09-000174-a/lot-449d5256fc8f43a6a12357b015f502c2</t>
  </si>
  <si>
    <t>Будівництво ПЛ, 2ПЛІ-0,4кВ Л-1, Л-4, Л-6 від КТП-168 в с.Підгайці для зовнішнього електропостачання житлового будинку гр. Казарян Г.Д.  по вул.Литвинова (кад.№3522581200:57:000:0776), 4-а Кропивницького району (приєднання)</t>
  </si>
  <si>
    <t xml:space="preserve">Будівництво КЛ-0,4 кВ Л-1 ЗТП-1226 оп.23/1-23/2 в с.Пантаївка Олександрійських ЕМ для зовнішнього електропостачання абонентської станції мобільного звя'зку ПрАТ "Київстар" по вул. Привокзальна  (приєднання) </t>
  </si>
  <si>
    <t>Будівництво ПЛІ-0,4 кВ Л-1 оп.23 ЗТП-1226 в с.Пантаївка Олександрійських ЕМ для зовнішнього електропостачання абонентської станції мобільного звя'зку ПрАТ "Київстар" по вул. Привокзальна (приєднання)</t>
  </si>
  <si>
    <t>https://zakupivli.pro/gov/tenders/ua-2025-07-09-006761-a</t>
  </si>
  <si>
    <t>https://zakupivli.pro/gov/tenders/ua-2025-07-09-006707-a</t>
  </si>
  <si>
    <t>https://zakupivli.pro/gov/tenders/ua-2025-07-09-006700-a</t>
  </si>
  <si>
    <t xml:space="preserve">Ремонт кермового управління, ходової частини (ремонтна програма) </t>
  </si>
  <si>
    <t>https://zakupivli.pro/gov/tenders/ua-2025-07-10-005768-a</t>
  </si>
  <si>
    <t>5 480,71253</t>
  </si>
  <si>
    <t>10 651,5086</t>
  </si>
  <si>
    <t>6 526,65576</t>
  </si>
  <si>
    <t>4 451,68018</t>
  </si>
  <si>
    <t>3 014,3434</t>
  </si>
  <si>
    <t>2 436,96884</t>
  </si>
  <si>
    <t>14 600,33166</t>
  </si>
  <si>
    <t xml:space="preserve">Будівництво ПЛІ-0,4 кВ від ЩТП-425 для зовнішнього електропостачання житлового будинку Процюк О.І. в с.Вершино-Кам’янка по вул.Центральна, 75-Б Кам’янецьких ЕМ" (приєднання) </t>
  </si>
  <si>
    <t>https://zakupivli.pro/gov/tenders/ua-2025-07-17-006467-a</t>
  </si>
  <si>
    <t>Розробка проектно-кошторисної документації  Реконструкція ПС 35/10 кВ «Сухий Ташлик» в частині встановлення вимикачів, заміна ТВП, заміна ТС та РЗА у зв’язку із приєднанням сонячної електростанції ТОВ «СОНЯЧНА-4» в с.Сухий Ташлик Голованівського району Кіровоградської області (згідно КНУ Настанова з визначення вартості проектних, науково-проектних, вишукувальних робіт та експертизи проектної документації на будівництво – проектні роботи)</t>
  </si>
  <si>
    <t>https://zakupivli.pro/gov/tenders/ua-2025-07-17-010273-a</t>
  </si>
  <si>
    <t>Реконструкція ПЛ-0,4КВ КТП 184 для зовнішнього електропостачання житлового будинку  гр. Грозан В.М. по вул. Садова, буд. 64 в с. Клинці Кропивницького району (приєднання)</t>
  </si>
  <si>
    <t>Будівництво ЩТП-571 для зовнішнього електропостачання житлового будинку  гр. Грозан В.М. по вул. Садова, буд. 64 в с. Клинці Кропивницького району (приєднання)</t>
  </si>
  <si>
    <t>Будівництво ПЛ-10 кВ Л-126 до ЩТП-571  для зовнішнього електропостачання житлового будинку  гр. Грозан В.М. по вул. Садова, буд. 64 в с. Клинці Кропивницького району (приєднання)</t>
  </si>
  <si>
    <t>https://zakupivli.pro/gov/tenders/ua-2025-07-22-007428-a</t>
  </si>
  <si>
    <t>https://zakupivli.pro/gov/tenders/ua-2025-07-22-007419-a</t>
  </si>
  <si>
    <t>https://zakupivli.pro/gov/tenders/ua-2025-07-22-007339-a</t>
  </si>
  <si>
    <t>Будівництво ПЛІ-0,4 кВ Л-1 ЩТП-694 для зовнішнього електропостачання житлового  будинку гр. Ярошенко О.М. по вул. Златопольська, буд. 188 в с. Соколівське Кропивницького району (приєднання)</t>
  </si>
  <si>
    <t xml:space="preserve">Будівництво ЩТП-694  для зовнішнього електропостачання житлового  будинку гр. Ярошенко О.М. по вул. Златопольська, буд. 188 в с. Соколівське Кропивницького району (приєднання) </t>
  </si>
  <si>
    <t xml:space="preserve">Будівництво ПЛЗ-10 кВ оп.132 Л-112 ПС 35/10 кВ "Гайворонська ГЕС" в м. Гайворон для зовнішнього електропостачання олійного заводу ПП "ГАЙВОРОНСЬКИЙ ОЛІЙНИЙ ЗАВОД" по вул. В.Стуса, буд. 3Т (приєднання) </t>
  </si>
  <si>
    <t xml:space="preserve">Будівництво КТП-75 в м. Гайворон для зовнішнього електропостачання олійного заводу ПП "ГАЙВОРОНСЬКИЙ ОЛІЙНИЙ ЗАВОД" по вул. В.Стуса, буд. 3Т (приєднання) </t>
  </si>
  <si>
    <t>Капітальний ремонт адмінбудівлі бази  ЕМ по вул. Діброви, 1, м. Олександрія, Олександрійського ЕМ  (водовідведення, вимощення). Ремонтна програма</t>
  </si>
  <si>
    <t>https://zakupivli.pro/gov/tenders/ua-2025-07-24-006216-a</t>
  </si>
  <si>
    <t>https://zakupivli.pro/gov/tenders/ua-2025-07-24-006045-a</t>
  </si>
  <si>
    <t>https://zakupivli.pro/gov/tenders/ua-2025-07-24-005950-a</t>
  </si>
  <si>
    <t>https://zakupivli.pro/gov/tenders/ua-2025-07-24-005897-a</t>
  </si>
  <si>
    <t>https://zakupivli.pro/gov/tenders/ua-2025-07-24-000121-a</t>
  </si>
  <si>
    <t xml:space="preserve">Будівництво ПЛІ-0,4 кВ від ЩТП-844 в м.Кропивницький для зовнішнього електропостачання садового будинку Мітєва О.М. (Садове товариство «Тюльпан») (приєднання) </t>
  </si>
  <si>
    <t xml:space="preserve">Будівництво ПЛЗ-6 кВ від ПС «Підгайці»-35/6 кВ оп.23 в м.Кропивницький для зовнішнього електропостачання садового будинку Мітєва О.М. (Садове товариство «Тюльпан») (приєднання) </t>
  </si>
  <si>
    <t xml:space="preserve">Будівництво ЩТП-844  в м.Кропивницький для зовнішнього електропостачання садового будинку Мітєва О.М. (Садове товариство «Тюльпан») (приєднання) </t>
  </si>
  <si>
    <t>https://zakupivli.pro/gov/tenders/ua-2025-07-28-009575-a</t>
  </si>
  <si>
    <t>https://zakupivli.pro/gov/tenders/ua-2025-07-28-009442-a</t>
  </si>
  <si>
    <t>https://zakupivli.pro/gov/tenders/ua-2025-07-28-009339-a</t>
  </si>
  <si>
    <t>Будівництво ЩТП-846 в м. Кропивницький для зовнішнього електропостачання ж/б з будівельним майданчиком гр. Беспалий І. Л. по проїзду Підлісний (кад.№3510100000:04:046:0431) (приєднання)</t>
  </si>
  <si>
    <t xml:space="preserve">Реконструкція ПЛ-0,4 кВ Л-1 КТП-476 в с.Гаївка Добровеличківських ЕМ для зовнішнього електропостачання ж/б Неофіти І.Б. (приєднання) </t>
  </si>
  <si>
    <t xml:space="preserve">Будівництво ЩТП-80 в м.Гайворон для зовнішнього електропостачання магазину гр. Олійник С.О.  по вул. Центральна, 158 (приєднання) </t>
  </si>
  <si>
    <t>Будівництво 2ПЛІ-0,4кВ Л-1, Л-4 КТП-184  в с. Клинці для зовнішнього електропостачання житлового будинку гр. Гупало В.М.  по вул. Садова, 104а (Кропивницькі ЕМ) (приєднання)</t>
  </si>
  <si>
    <t>https://zakupivli.pro/gov/tenders/ua-2025-07-29-008026-a</t>
  </si>
  <si>
    <t>https://zakupivli.pro/gov/tenders/ua-2025-07-29-003807-a</t>
  </si>
  <si>
    <t>https://zakupivli.pro/gov/tenders/ua-2025-07-29-002744-a</t>
  </si>
  <si>
    <t>https://zakupivli.pro/gov/tenders/ua-2025-07-29-001884-a</t>
  </si>
  <si>
    <t xml:space="preserve">Будівництво ПЛІ-0,4кВ  КТП-813 Л-10 оп.4-4/5 в м. Кропивницький для зовнішнього електропостачання житлового будинку гр. Стельмухової Л.Д.  по вул. Десятинна Кад.№3510100000:06:047:0121, 15 (приєднання) </t>
  </si>
  <si>
    <t>Реконструкція ПЛ-0,4кВ Л-2 КТП-561 в с. Велика Северинка для зовнішнього електропостачання житлового будинку гр. Сало О.М. по вул. Перемоги, 33 (Кропивницькі ЕМ) (приєднання)</t>
  </si>
  <si>
    <t xml:space="preserve">Ящик управління освітленням ЯУО-2 без автомата (приєднання) </t>
  </si>
  <si>
    <t>https://zakupivli.pro/gov/tenders/ua-2025-07-30-009282-a</t>
  </si>
  <si>
    <t>https://zakupivli.pro/gov/tenders/ua-2025-07-30-009195-a</t>
  </si>
  <si>
    <t>https://zakupivli.pro/gov/tenders/ua-2025-07-30-003593-a</t>
  </si>
  <si>
    <t>Капітальний ремонт будівлі ЗТП-5  по вул. Геологів, смт. Смоліно Кіровоградської обл. (Улаштування покрівлі з металопрофілю, вимощення)  Ремонтна програма</t>
  </si>
  <si>
    <t>https://zakupivli.pro/gov/tenders/ua-2025-07-31-000211-a</t>
  </si>
  <si>
    <t>Будівництво КТП-138 в с.Польове Кропивницького району (Олександрівських ЕМ) для зовнішнього електропостачання комплексу ТОВ "2-ге ім. Петровського" по вул. Центральна, 2а (приєднання)</t>
  </si>
  <si>
    <t>Будівництво ЩТП-289 в с.Мар'ївка Добровеличківських ЕМ для зовнішнього електропостачання ж/б Куліш О.П. (приєднання)</t>
  </si>
  <si>
    <t>https://zakupivli.pro/gov/tenders/ua-2025-08-01-006413-a</t>
  </si>
  <si>
    <t>https://zakupivli.pro/gov/tenders/ua-2025-08-01-005922-a</t>
  </si>
  <si>
    <t>Реконструкція ПЛ-0,4 кВ Л-2 КТП-47 оп.19-39 в сел.Добровеличківка для зовнішнього електропостачання ж/б Невельського І.С. (приєднання)</t>
  </si>
  <si>
    <t>https://zakupivli.pro/gov/tenders/ua-2025-08-04-007795-a</t>
  </si>
  <si>
    <t>Будівництво ЩТП-432 в с.Йосипівка Благовіщенських ЕМ для зовнішнього електропостачання житлового будинку Бурлаки Я.Ю. (приєднання)</t>
  </si>
  <si>
    <t xml:space="preserve">Будівництво ПЛІ-0,4 кВ Л-1 ЩТП-432 в с.Йосипівка Благовіщенських ЕМ для зовнішнього електропостачання житлового будинку Бурлаки Я.Ю. (приєднання) </t>
  </si>
  <si>
    <t xml:space="preserve">Будівництво ПЛ,ПЛІ-0,4 кВ Л-2 оп.74 КТП-315 в с.Олександро-Завадське Добровеличківських ЕМ для зовнішнього електропостачання ж/б Силенко Л.В.  (приєднання) </t>
  </si>
  <si>
    <t>https://zakupivli.pro/gov/tenders/ua-2025-08-06-006869-a</t>
  </si>
  <si>
    <t>https://zakupivli.pro/gov/tenders/ua-2025-08-06-006805-a</t>
  </si>
  <si>
    <t>https://zakupivli.pro/gov/tenders/ua-2025-08-06-002944-a</t>
  </si>
  <si>
    <t>Будівництво КЛ-0,4 кВ Л-16 ЗТП-1199 в м. Олександрія для зовнішнього електропостачання салону магазину з будівельним майданчиком по вул. Гетьмана Мазепи,15-а (приєднання)</t>
  </si>
  <si>
    <t>Реконструкція ПЛ-0,4 кВ Л-2 КТП-42 оп.16-36  в сел. Нова Прага Олександрійських ЕМ для зовнішнього електропостачання житлового будинку з надвірними будівлями Гавінської Н.В. (приєднання)</t>
  </si>
  <si>
    <t xml:space="preserve">Будівництво ПЛІ-0,4 кВ Л-1 ЩТП-174 в с.Бережинка Кропивницьких ЕМ для зовнішнього електропостачання абонентської станції мобільного зв'язку ПрАТ "Київстар" (приєднання) </t>
  </si>
  <si>
    <t>Будівництво  КЛ-10 кВ Ф-46Г оп. №8/1 для зовнішнього електропостачання складського приміщення з будівельним майданчиком гр. Андрієць О.Г. біля вул. Перша Виставкова, кад. №3522581900:02:000:9108 в Кропивницькому районі (приєднання)</t>
  </si>
  <si>
    <t>Реконструкція ПЛ-10 кВ Ф-46Г ПС «Гідросила» - 150/10кВ  для зовнішнього електропостачання складського приміщення з будівельним майданчиком гр. Андрієць О.Г. біля вул. Перша Виставкова, кад. №3522581900:02:000:9108 в Кропивницькому районі (приєднання)</t>
  </si>
  <si>
    <t>https://zakupivli.pro/gov/tenders/ua-2025-08-07-007040-a</t>
  </si>
  <si>
    <t>https://zakupivli.pro/gov/tenders/ua-2025-08-07-006917-a</t>
  </si>
  <si>
    <t>https://zakupivli.pro/gov/tenders/ua-2025-08-07-006729-a</t>
  </si>
  <si>
    <t>https://zakupivli.pro/gov/tenders/ua-2025-08-07-000717-a</t>
  </si>
  <si>
    <t>https://zakupivli.pro/gov/tenders/ua-2025-08-07-000635-a</t>
  </si>
  <si>
    <t>Реконструкція ПЛ-0,4 кВ Л-2 КТП-116 оп.7-24  в с.Грушка Благовіщенських ЕМ для зовнішнього електропостачання ж/б Губерніцького В.В. (приєднання)</t>
  </si>
  <si>
    <t>https://zakupivli.pro/gov/tenders/ua-2025-08-12-000427-a</t>
  </si>
  <si>
    <t>Капітальний ремонт будівлі РВБ , відновлення вимощення виробничо - службового корпусу (літ. Е) та вертикальної ізоляції стін підвалу (літ. Е1) по просп. Соколівський, 23, с. Соколівське, Кропивницького району, Кіровоградської області</t>
  </si>
  <si>
    <t>Будівництво КЛ-0,4 А-15 ЗТП-393 в м. Кропивницький для зовнішнього електропостачання електропостачання комплексу гр. Коваль О.Ю. по вул. Леоніда Каденюка (Пацаєва), буд. 23 (приєднання)</t>
  </si>
  <si>
    <t xml:space="preserve">Реконструкція ЗТП-393 в м. Кропивницький для зовнішнього електропостачання електропостачання комплексу гр. Коваль О.Ю. по вул. Леоніда Каденюка (Пацаєва), буд. 23  (приєднання) </t>
  </si>
  <si>
    <t>https://zakupivli.pro/gov/tenders/ua-2025-08-13-008530-a</t>
  </si>
  <si>
    <t>https://zakupivli.pro/gov/tenders/ua-2025-08-13-007291-a</t>
  </si>
  <si>
    <t>https://zakupivli.pro/gov/tenders/ua-2025-08-13-007263-a</t>
  </si>
  <si>
    <t>Капітальний ремонт адмінбудівлі з прибудованими гаражами Р/С 6-0,4кВ по вул. Парковій, 4, м. Світловодськ Світловодські ЕМ (облицювання фундаменту, вимощення, водовідведення). Ремонтна програма.</t>
  </si>
  <si>
    <t>Реконструкція ПЛ-0,4 кВ Л-3 від КТП-258 в с.Созонівка для зовнішнього електропостачання житлового будинку Бєлінського І.Д. (приєднання)</t>
  </si>
  <si>
    <t>https://zakupivli.pro/gov/tenders/ua-2025-08-14-009960-a</t>
  </si>
  <si>
    <t>https://zakupivli.pro/gov/tenders/ua-2025-08-14-002001-a</t>
  </si>
  <si>
    <t>Реконструкція КЛ-0,4 кВ Л-11 ЗТП-469  для зовнішнього електропостачання будівлі (35.1кв.м) по вул. Яновського, 60 в м. Кропивницький, Управління освіти Кропивницької міської ради (Приєднання)</t>
  </si>
  <si>
    <t>Будівництво ЩТП-520 в м.Новоукраїнка для зовнішнього електропостачання ж/б Стратонова Ю.А., Код згідно ДК 021:2015 – 45231000-5 "Будівництво трубопроводів, ліній зв’язку та електропередач" (приєднання)</t>
  </si>
  <si>
    <t>Капітальний ремонт будівлі ЗТП-528 по вул. Миру, 27а, смт. Побузьке, Голованівського р-ну, Кіровоградської обл. (Улаштування покрівлі з металопрофілю). Ремонтна програма</t>
  </si>
  <si>
    <t>Капітальний ремонт будівлі ЗТП-495 по вул. Попова, 6а, с. Липовеньке, Голованівського р-ну, Кіровоградської обл. (Улаштування покрівлі з металопрофілю). Ремонтна програма</t>
  </si>
  <si>
    <t>Капітальний ремонт будівлі ЗТП-205 по вул. А. Корольова, 19-п, м. Кропивницький (заміна дверного блоку на металевий, ремонт фасаду, вимощення). Ремонтна програма.</t>
  </si>
  <si>
    <t>ремонтна програма</t>
  </si>
  <si>
    <t>https://zakupivli.pro/gov/tenders/ua-2025-08-18-006435-a</t>
  </si>
  <si>
    <t>https://zakupivli.pro/gov/tenders/ua-2025-08-18-005825-a</t>
  </si>
  <si>
    <t>https://zakupivli.pro/gov/tenders/ua-2025-08-18-004442-a</t>
  </si>
  <si>
    <t>https://zakupivli.pro/gov/tenders/ua-2025-08-22-009012-a</t>
  </si>
  <si>
    <t>https://zakupivli.pro/gov/tenders/ua-2025-08-22-008690-a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</si>
</sst>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0.000"/>
    <numFmt numFmtId="166" formatCode="#,##0.000"/>
    <numFmt numFmtId="167" formatCode="#,##0.00000"/>
    <numFmt numFmtId="168" formatCode="0.0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  <font>
      <sz val="10"/>
      <color rgb="FF0000FF"/>
      <name val="Arial"/>
      <family val="2"/>
    </font>
    <font>
      <sz val="12"/>
      <color rgb="FF0000FF"/>
      <name val="Arial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Border="1" applyAlignment="1">
      <alignment vertical="center"/>
    </xf>
    <xf numFmtId="168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/>
    <xf numFmtId="168" fontId="1" fillId="0" borderId="0" xfId="0" applyNumberFormat="1" applyFont="1" applyFill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zakupivli.pro/gov/tenders/ua-2025-02-21-008660-a/lot-7d142c426f864b2b8364f606082d47f1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987" Type="http://schemas.openxmlformats.org/officeDocument/2006/relationships/hyperlink" Target="https://zakupivli.pro/gov/tenders/UA-2024-03-25-001186-a" TargetMode="External"/><Relationship Id="rId847" Type="http://schemas.openxmlformats.org/officeDocument/2006/relationships/hyperlink" Target="https://zakupivli.pro/gov/tenders/UA-2024-02-20-009792-a" TargetMode="External"/><Relationship Id="rId1477" Type="http://schemas.openxmlformats.org/officeDocument/2006/relationships/hyperlink" Target="https://zakupivli.pro/gov/tenders/ua-2024-11-15-012171-a" TargetMode="External"/><Relationship Id="rId1684" Type="http://schemas.openxmlformats.org/officeDocument/2006/relationships/hyperlink" Target="https://zakupivli.pro/gov/tenders/ua-2025-01-27-015612-a/lot-1aa4d4a700c34f02a01be277e1f3b26f" TargetMode="External"/><Relationship Id="rId1891" Type="http://schemas.openxmlformats.org/officeDocument/2006/relationships/hyperlink" Target="https://zakupivli.pro/gov/tenders/ua-2025-03-21-011182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1751" Type="http://schemas.openxmlformats.org/officeDocument/2006/relationships/hyperlink" Target="https://zakupivli.pro/gov/tenders/ua-2025-02-05-008804-a/lot-f4b5d89e64d34844ae27bc85a1c79acf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497" Type="http://schemas.openxmlformats.org/officeDocument/2006/relationships/hyperlink" Target="https://my.zakupki.prom.ua/remote/dispatcher/state_purchase_view/45723610" TargetMode="External"/><Relationship Id="rId2178" Type="http://schemas.openxmlformats.org/officeDocument/2006/relationships/hyperlink" Target="https://zakupivli.pro/gov/tenders/ua-2025-07-09-006700-a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038" Type="http://schemas.openxmlformats.org/officeDocument/2006/relationships/hyperlink" Target="https://my.zakupivli.pro/remote/dispatcher/state_purchase_view/59688234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2245" Type="http://schemas.openxmlformats.org/officeDocument/2006/relationships/hyperlink" Target="https://my.zakupivli.pro/remote/dispatcher/state_purchase_view/61224916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2105" Type="http://schemas.openxmlformats.org/officeDocument/2006/relationships/hyperlink" Target="https://my.zakupivli.pro/remote/dispatcher/state_purchase_view/60216674" TargetMode="External"/><Relationship Id="rId1121" Type="http://schemas.openxmlformats.org/officeDocument/2006/relationships/hyperlink" Target="https://my.zakupivli.pro/remote/dispatcher/state_purchase_view/51251419" TargetMode="External"/><Relationship Id="rId1938" Type="http://schemas.openxmlformats.org/officeDocument/2006/relationships/hyperlink" Target="https://zakupivli.pro/gov/tenders/ua-2025-04-08-003191-a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7" Type="http://schemas.openxmlformats.org/officeDocument/2006/relationships/hyperlink" Target="https://zakupki.prom.ua/gov/tenders/UA-2022-11-14-013851-a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588" Type="http://schemas.openxmlformats.org/officeDocument/2006/relationships/hyperlink" Target="https://my.zakupivli.pro/remote/dispatcher/state_purchase_view/56341932" TargetMode="External"/><Relationship Id="rId1795" Type="http://schemas.openxmlformats.org/officeDocument/2006/relationships/hyperlink" Target="https://my.zakupivli.pro/remote/dispatcher/state_purchase_view/57476914" TargetMode="External"/><Relationship Id="rId87" Type="http://schemas.openxmlformats.org/officeDocument/2006/relationships/hyperlink" Target="https://my.zakupki.prom.ua/remote/dispatcher/state_purchase_view/41222289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448" Type="http://schemas.openxmlformats.org/officeDocument/2006/relationships/hyperlink" Target="https://my.zakupivli.pro/remote/dispatcher/state_purchase_view/54820835" TargetMode="External"/><Relationship Id="rId1655" Type="http://schemas.openxmlformats.org/officeDocument/2006/relationships/hyperlink" Target="https://zakupivli.pro/gov/tenders/ua-2025-01-27-004273-a" TargetMode="External"/><Relationship Id="rId1308" Type="http://schemas.openxmlformats.org/officeDocument/2006/relationships/hyperlink" Target="https://zakupivli.pro/gov/tenders/UA-2024-08-12-006182-a" TargetMode="External"/><Relationship Id="rId1862" Type="http://schemas.openxmlformats.org/officeDocument/2006/relationships/hyperlink" Target="https://zakupivli.pro/gov/tenders/ua-2025-03-06-012902-a/lot-c427a5dfa4714ff5bf8f32c912ab5d8b" TargetMode="External"/><Relationship Id="rId1515" Type="http://schemas.openxmlformats.org/officeDocument/2006/relationships/hyperlink" Target="https://my.zakupivli.pro/remote/dispatcher/state_purchase_view/55799831" TargetMode="External"/><Relationship Id="rId1722" Type="http://schemas.openxmlformats.org/officeDocument/2006/relationships/hyperlink" Target="https://zakupivli.pro/gov/tenders/ua-2025-01-31-003489-a" TargetMode="External"/><Relationship Id="rId14" Type="http://schemas.openxmlformats.org/officeDocument/2006/relationships/hyperlink" Target="https://zakupki.prom.ua/gov/tenders/UA-2022-12-21-012032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2149" Type="http://schemas.openxmlformats.org/officeDocument/2006/relationships/hyperlink" Target="https://zakupivli.pro/gov/tenders/ua-2025-06-25-007605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2009" Type="http://schemas.openxmlformats.org/officeDocument/2006/relationships/hyperlink" Target="https://zakupivli.pro/gov/tenders/ua-2025-05-12-011885-a" TargetMode="External"/><Relationship Id="rId2216" Type="http://schemas.openxmlformats.org/officeDocument/2006/relationships/hyperlink" Target="https://my.zakupivli.pro/remote/dispatcher/state_purchase_view/61011379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185" Type="http://schemas.openxmlformats.org/officeDocument/2006/relationships/hyperlink" Target="https://zakupki.prom.ua/gov/tenders/UA-2023-03-20-010273-a" TargetMode="External"/><Relationship Id="rId1909" Type="http://schemas.openxmlformats.org/officeDocument/2006/relationships/hyperlink" Target="https://zakupivli.pro/gov/tenders/ua-2025-03-28-000686-a" TargetMode="External"/><Relationship Id="rId392" Type="http://schemas.openxmlformats.org/officeDocument/2006/relationships/hyperlink" Target="https://my.zakupki.prom.ua/remote/dispatcher/state_purchase_view/44101024" TargetMode="External"/><Relationship Id="rId2073" Type="http://schemas.openxmlformats.org/officeDocument/2006/relationships/hyperlink" Target="https://my.zakupivli.pro/remote/dispatcher/state_purchase_view/60068731" TargetMode="External"/><Relationship Id="rId252" Type="http://schemas.openxmlformats.org/officeDocument/2006/relationships/hyperlink" Target="https://zakupki.prom.ua/gov/tenders/UA-2023-03-30-005086-a" TargetMode="External"/><Relationship Id="rId2140" Type="http://schemas.openxmlformats.org/officeDocument/2006/relationships/hyperlink" Target="https://zakupivli.pro/gov/tenders/ua-2025-06-24-000612-a" TargetMode="External"/><Relationship Id="rId112" Type="http://schemas.openxmlformats.org/officeDocument/2006/relationships/hyperlink" Target="https://zakupki.prom.ua/gov/tenders/UA-2023-02-13-012766-a" TargetMode="External"/><Relationship Id="rId1699" Type="http://schemas.openxmlformats.org/officeDocument/2006/relationships/hyperlink" Target="https://zakupivli.pro/gov/tenders/ua-2025-01-28-011482-a" TargetMode="External"/><Relationship Id="rId2000" Type="http://schemas.openxmlformats.org/officeDocument/2006/relationships/hyperlink" Target="https://zakupivli.pro/gov/tenders/ua-2025-05-08-001289-a" TargetMode="External"/><Relationship Id="rId929" Type="http://schemas.openxmlformats.org/officeDocument/2006/relationships/hyperlink" Target="https://my.zakupivli.pro/remote/dispatcher/state_purchase_view/49690092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1766" Type="http://schemas.openxmlformats.org/officeDocument/2006/relationships/hyperlink" Target="https://my.zakupivli.pro/remote/dispatcher/state_purchase_view/57385694" TargetMode="External"/><Relationship Id="rId1973" Type="http://schemas.openxmlformats.org/officeDocument/2006/relationships/hyperlink" Target="https://my.zakupivli.pro/remote/dispatcher/state_purchase_view/59128871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1833" Type="http://schemas.openxmlformats.org/officeDocument/2006/relationships/hyperlink" Target="https://zakupivli.pro/gov/tenders/ua-2025-02-25-008377-a" TargetMode="External"/><Relationship Id="rId1900" Type="http://schemas.openxmlformats.org/officeDocument/2006/relationships/hyperlink" Target="https://zakupivli.pro/gov/tenders/ua-2025-03-24-012151-a/lot-e410f9495fd94b3aa9151c5090bdfd0c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1690" Type="http://schemas.openxmlformats.org/officeDocument/2006/relationships/hyperlink" Target="https://my.zakupivli.pro/remote/dispatcher/state_purchase_view/56950592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296" Type="http://schemas.openxmlformats.org/officeDocument/2006/relationships/hyperlink" Target="https://my.zakupki.prom.ua/remote/dispatcher/state_purchase_view/41829038" TargetMode="External"/><Relationship Id="rId2184" Type="http://schemas.openxmlformats.org/officeDocument/2006/relationships/hyperlink" Target="https://zakupivli.pro/gov/tenders/ua-2025-07-17-010273-a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044" Type="http://schemas.openxmlformats.org/officeDocument/2006/relationships/hyperlink" Target="https://my.zakupivli.pro/remote/dispatcher/state_purchase_view/59778258" TargetMode="External"/><Relationship Id="rId2251" Type="http://schemas.openxmlformats.org/officeDocument/2006/relationships/hyperlink" Target="https://zakupivli.pro/gov/tenders/ua-2025-08-13-007291-a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1060" Type="http://schemas.openxmlformats.org/officeDocument/2006/relationships/hyperlink" Target="https://my.zakupivli.pro/remote/dispatcher/state_purchase_view/50523737" TargetMode="External"/><Relationship Id="rId2111" Type="http://schemas.openxmlformats.org/officeDocument/2006/relationships/hyperlink" Target="https://my.zakupivli.pro/remote/dispatcher/state_purchase_view/60215232" TargetMode="External"/><Relationship Id="rId1877" Type="http://schemas.openxmlformats.org/officeDocument/2006/relationships/hyperlink" Target="https://my.zakupivli.pro/remote/dispatcher/state_purchase_view/58096222" TargetMode="External"/><Relationship Id="rId1737" Type="http://schemas.openxmlformats.org/officeDocument/2006/relationships/hyperlink" Target="https://zakupivli.pro/gov/tenders/ua-2025-02-03-000158-a" TargetMode="External"/><Relationship Id="rId1944" Type="http://schemas.openxmlformats.org/officeDocument/2006/relationships/hyperlink" Target="https://zakupivli.pro/gov/tenders/ua-2025-04-09-007809-a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804" Type="http://schemas.openxmlformats.org/officeDocument/2006/relationships/hyperlink" Target="https://zakupivli.pro/gov/tenders/ua-2025-02-14-007472-a/lot-c8d5d5cc5f4645c4a95504f29a895189" TargetMode="External"/><Relationship Id="rId897" Type="http://schemas.openxmlformats.org/officeDocument/2006/relationships/hyperlink" Target="https://my.zakupivli.pro/remote/dispatcher/state_purchase_view/49535400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2200" Type="http://schemas.openxmlformats.org/officeDocument/2006/relationships/hyperlink" Target="https://zakupivli.pro/gov/tenders/ua-2025-07-24-000121-a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661" Type="http://schemas.openxmlformats.org/officeDocument/2006/relationships/hyperlink" Target="https://zakupivli.pro/gov/tenders/ua-2025-01-27-012138-a/lot-829e8af6f8794bdab5ad08ace204eed8" TargetMode="External"/><Relationship Id="rId1899" Type="http://schemas.openxmlformats.org/officeDocument/2006/relationships/hyperlink" Target="https://zakupivli.pro/gov/tenders/ua-2025-03-24-000505-a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1759" Type="http://schemas.openxmlformats.org/officeDocument/2006/relationships/hyperlink" Target="https://zakupivli.pro/gov/tenders/ua-2025-02-07-010817-a/lot-a67752bd5f084d6fa7839c33b4ee117f" TargetMode="External"/><Relationship Id="rId1966" Type="http://schemas.openxmlformats.org/officeDocument/2006/relationships/hyperlink" Target="https://zakupivli.pro/gov/tenders/ua-2025-04-23-000184-a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1826" Type="http://schemas.openxmlformats.org/officeDocument/2006/relationships/hyperlink" Target="https://zakupivli.pro/gov/tenders/ua-2025-02-21-009763-a" TargetMode="External"/><Relationship Id="rId20" Type="http://schemas.openxmlformats.org/officeDocument/2006/relationships/hyperlink" Target="https://my.zakupki.prom.ua/remote/dispatcher/state_purchase_view/40091969" TargetMode="External"/><Relationship Id="rId2088" Type="http://schemas.openxmlformats.org/officeDocument/2006/relationships/hyperlink" Target="https://zakupivli.pro/gov/tenders/ua-2025-06-12-008984-a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2155" Type="http://schemas.openxmlformats.org/officeDocument/2006/relationships/hyperlink" Target="https://my.zakupivli.pro/remote/dispatcher/state_purchase_view/60535635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2015" Type="http://schemas.openxmlformats.org/officeDocument/2006/relationships/hyperlink" Target="https://my.zakupivli.pro/remote/dispatcher/state_purchase_view/59464900" TargetMode="External"/><Relationship Id="rId2222" Type="http://schemas.openxmlformats.org/officeDocument/2006/relationships/hyperlink" Target="https://zakupivli.pro/gov/tenders/ua-2025-07-31-000211-a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1683" Type="http://schemas.openxmlformats.org/officeDocument/2006/relationships/hyperlink" Target="https://my.zakupivli.pro/remote/dispatcher/state_purchase_view/56947791" TargetMode="External"/><Relationship Id="rId1890" Type="http://schemas.openxmlformats.org/officeDocument/2006/relationships/hyperlink" Target="https://my.zakupivli.pro/remote/dispatcher/state_purchase_view/58273102" TargetMode="External"/><Relationship Id="rId1988" Type="http://schemas.openxmlformats.org/officeDocument/2006/relationships/hyperlink" Target="https://zakupivli.pro/gov/tenders/ua-2025-05-06-010317-a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1750" Type="http://schemas.openxmlformats.org/officeDocument/2006/relationships/hyperlink" Target="https://zakupivli.pro/gov/tenders/ua-2025-02-05-009432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1848" Type="http://schemas.openxmlformats.org/officeDocument/2006/relationships/hyperlink" Target="https://zakupivli.pro/gov/tenders/ua-2025-02-27-009761-a/lot-bc2012377fee4754b5af103061ab9e97" TargetMode="External"/><Relationship Id="rId191" Type="http://schemas.openxmlformats.org/officeDocument/2006/relationships/hyperlink" Target="https://zakupki.prom.ua/gov/tenders/UA-2023-03-20-010007-a" TargetMode="External"/><Relationship Id="rId1708" Type="http://schemas.openxmlformats.org/officeDocument/2006/relationships/hyperlink" Target="https://zakupivli.pro/gov/tenders/ua-2025-01-30-008146-a/lot-4e7bb5152a3340e2823a16de636f491d" TargetMode="External"/><Relationship Id="rId1915" Type="http://schemas.openxmlformats.org/officeDocument/2006/relationships/hyperlink" Target="https://my.zakupivli.pro/remote/dispatcher/state_purchase_view/58524451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2177" Type="http://schemas.openxmlformats.org/officeDocument/2006/relationships/hyperlink" Target="https://zakupivli.pro/gov/tenders/ua-2025-07-09-006707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037" Type="http://schemas.openxmlformats.org/officeDocument/2006/relationships/hyperlink" Target="https://my.zakupivli.pro/remote/dispatcher/state_purchase_view/59692478" TargetMode="External"/><Relationship Id="rId2244" Type="http://schemas.openxmlformats.org/officeDocument/2006/relationships/hyperlink" Target="https://zakupivli.pro/gov/tenders/ua-2025-08-07-000635-a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2104" Type="http://schemas.openxmlformats.org/officeDocument/2006/relationships/hyperlink" Target="https://zakupivli.pro/gov/tenders/ua-2025-06-18-000255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1772" Type="http://schemas.openxmlformats.org/officeDocument/2006/relationships/hyperlink" Target="https://zakupivli.pro/gov/tenders/ua-2025-02-11-014703-a/lot-74f1ea1d960c4f238096402c86a9ef27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1937" Type="http://schemas.openxmlformats.org/officeDocument/2006/relationships/hyperlink" Target="https://my.zakupivli.pro/remote/dispatcher/state_purchase_view/58613538" TargetMode="External"/><Relationship Id="rId2199" Type="http://schemas.openxmlformats.org/officeDocument/2006/relationships/hyperlink" Target="https://zakupivli.pro/gov/tenders/ua-2025-07-24-005897-a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2059" Type="http://schemas.openxmlformats.org/officeDocument/2006/relationships/hyperlink" Target="https://my.zakupivli.pro/remote/dispatcher/state_purchase_view/59904811" TargetMode="External"/><Relationship Id="rId2266" Type="http://schemas.openxmlformats.org/officeDocument/2006/relationships/hyperlink" Target="https://zakupivli.pro/gov/tenders/ua-2025-08-22-008690-a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2126" Type="http://schemas.openxmlformats.org/officeDocument/2006/relationships/hyperlink" Target="https://zakupivli.pro/gov/tenders/ua-2025-06-20-002761-a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1794" Type="http://schemas.openxmlformats.org/officeDocument/2006/relationships/hyperlink" Target="https://my.zakupivli.pro/remote/dispatcher/state_purchase_view/57478572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654" Type="http://schemas.openxmlformats.org/officeDocument/2006/relationships/hyperlink" Target="https://zakupivli.pro/gov/tenders/ua-2025-01-27-004441-a" TargetMode="External"/><Relationship Id="rId1861" Type="http://schemas.openxmlformats.org/officeDocument/2006/relationships/hyperlink" Target="https://my.zakupivli.pro/remote/dispatcher/state_purchase_view/57925883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721" Type="http://schemas.openxmlformats.org/officeDocument/2006/relationships/hyperlink" Target="https://zakupivli.pro/gov/tenders/ua-2025-01-31-003646-a" TargetMode="External"/><Relationship Id="rId1959" Type="http://schemas.openxmlformats.org/officeDocument/2006/relationships/hyperlink" Target="https://my.zakupivli.pro/remote/dispatcher/state_purchase_view/58853384" TargetMode="External"/><Relationship Id="rId13" Type="http://schemas.openxmlformats.org/officeDocument/2006/relationships/hyperlink" Target="https://zakupki.prom.ua/gov/tenders/UA-2022-12-08-017620-a" TargetMode="External"/><Relationship Id="rId1819" Type="http://schemas.openxmlformats.org/officeDocument/2006/relationships/hyperlink" Target="https://zakupivli.pro/gov/tenders/ua-2025-02-20-002410-a/lot-4d8c32db68af45aa9cf9e1561776df37" TargetMode="External"/><Relationship Id="rId2190" Type="http://schemas.openxmlformats.org/officeDocument/2006/relationships/hyperlink" Target="https://zakupivli.pro/gov/tenders/ua-2025-07-22-007339-a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2050" Type="http://schemas.openxmlformats.org/officeDocument/2006/relationships/hyperlink" Target="https://zakupivli.pro/gov/tenders/ua-2025-05-30-000803-a" TargetMode="External"/><Relationship Id="rId2148" Type="http://schemas.openxmlformats.org/officeDocument/2006/relationships/hyperlink" Target="https://zakupivli.pro/gov/tenders/ua-2025-06-25-0081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2008" Type="http://schemas.openxmlformats.org/officeDocument/2006/relationships/hyperlink" Target="https://zakupivli.pro/gov/tenders/ua-2025-05-12-011976-a" TargetMode="External"/><Relationship Id="rId2215" Type="http://schemas.openxmlformats.org/officeDocument/2006/relationships/hyperlink" Target="https://my.zakupivli.pro/remote/dispatcher/state_purchase_view/61011521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1676" Type="http://schemas.openxmlformats.org/officeDocument/2006/relationships/hyperlink" Target="https://zakupivli.pro/gov/tenders/ua-2025-01-27-014685-a/lot-7ebf7d015b0e43e2ad5e33a049576feb" TargetMode="External"/><Relationship Id="rId1883" Type="http://schemas.openxmlformats.org/officeDocument/2006/relationships/hyperlink" Target="https://my.zakupivli.pro/remote/dispatcher/state_purchase_view/58211601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1743" Type="http://schemas.openxmlformats.org/officeDocument/2006/relationships/hyperlink" Target="https://my.zakupivli.pro/remote/dispatcher/state_purchase_view/57220098" TargetMode="External"/><Relationship Id="rId1950" Type="http://schemas.openxmlformats.org/officeDocument/2006/relationships/hyperlink" Target="https://zakupivli.pro/gov/tenders/ua-2025-04-14-002092-a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10" Type="http://schemas.openxmlformats.org/officeDocument/2006/relationships/hyperlink" Target="https://my.zakupivli.pro/remote/dispatcher/state_purchase_view/57612514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1908" Type="http://schemas.openxmlformats.org/officeDocument/2006/relationships/hyperlink" Target="https://zakupivli.pro/gov/tenders/ua-2025-03-31-003187-a" TargetMode="External"/><Relationship Id="rId2072" Type="http://schemas.openxmlformats.org/officeDocument/2006/relationships/hyperlink" Target="https://my.zakupivli.pro/remote/dispatcher/state_purchase_view/60070202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2237" Type="http://schemas.openxmlformats.org/officeDocument/2006/relationships/hyperlink" Target="https://my.zakupivli.pro/remote/dispatcher/state_purchase_view/61157905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1698" Type="http://schemas.openxmlformats.org/officeDocument/2006/relationships/hyperlink" Target="https://zakupivli.pro/gov/tenders/ua-2025-01-28-014015-a/lot-34f91b92437e4b4b9a396b2900749ffd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1765" Type="http://schemas.openxmlformats.org/officeDocument/2006/relationships/hyperlink" Target="https://my.zakupivli.pro/remote/dispatcher/state_purchase_view/57385694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972" Type="http://schemas.openxmlformats.org/officeDocument/2006/relationships/hyperlink" Target="https://zakupivli.pro/gov/tenders/ua-2025-05-01-001961-a" TargetMode="External"/><Relationship Id="rId1625" Type="http://schemas.openxmlformats.org/officeDocument/2006/relationships/hyperlink" Target="https://zakupivli.pro/gov/tenders/ua-2025-01-16-016667-a" TargetMode="External"/><Relationship Id="rId1832" Type="http://schemas.openxmlformats.org/officeDocument/2006/relationships/hyperlink" Target="https://zakupivli.pro/gov/tenders/ua-2025-02-25-013333-a" TargetMode="External"/><Relationship Id="rId2094" Type="http://schemas.openxmlformats.org/officeDocument/2006/relationships/hyperlink" Target="https://zakupivli.pro/gov/tenders/ua-2025-06-12-000284-a/lot-1e0182cc577d49c9af4f2131102c902f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2161" Type="http://schemas.openxmlformats.org/officeDocument/2006/relationships/hyperlink" Target="https://zakupivli.pro/gov/tenders/ua-2025-07-04-006242-a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21" Type="http://schemas.openxmlformats.org/officeDocument/2006/relationships/hyperlink" Target="https://my.zakupivli.pro/remote/dispatcher/state_purchase_view/59518976" TargetMode="External"/><Relationship Id="rId2259" Type="http://schemas.openxmlformats.org/officeDocument/2006/relationships/hyperlink" Target="https://my.zakupivli.pro/remote/dispatcher/state_purchase_view/61349840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2119" Type="http://schemas.openxmlformats.org/officeDocument/2006/relationships/hyperlink" Target="https://my.zakupivli.pro/remote/dispatcher/state_purchase_view/60238175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1787" Type="http://schemas.openxmlformats.org/officeDocument/2006/relationships/hyperlink" Target="https://zakupivli.pro/gov/tenders/ua-2025-02-13-008334-a" TargetMode="External"/><Relationship Id="rId1994" Type="http://schemas.openxmlformats.org/officeDocument/2006/relationships/hyperlink" Target="https://zakupivli.pro/gov/tenders/ua-2025-05-07-007781-a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647" Type="http://schemas.openxmlformats.org/officeDocument/2006/relationships/hyperlink" Target="https://zakupivli.pro/gov/tenders/ua-2025-01-22-002610-a" TargetMode="External"/><Relationship Id="rId1854" Type="http://schemas.openxmlformats.org/officeDocument/2006/relationships/hyperlink" Target="https://my.zakupivli.pro/remote/dispatcher/state_purchase_view/57859720" TargetMode="External"/><Relationship Id="rId1507" Type="http://schemas.openxmlformats.org/officeDocument/2006/relationships/hyperlink" Target="https://my.zakupivli.pro/remote/dispatcher/state_purchase_view/55292923" TargetMode="External"/><Relationship Id="rId1714" Type="http://schemas.openxmlformats.org/officeDocument/2006/relationships/hyperlink" Target="https://my.zakupivli.pro/remote/dispatcher/state_purchase_view/57092256" TargetMode="External"/><Relationship Id="rId295" Type="http://schemas.openxmlformats.org/officeDocument/2006/relationships/hyperlink" Target="https://my.zakupki.prom.ua/remote/dispatcher/state_purchase_view/41830605" TargetMode="External"/><Relationship Id="rId1921" Type="http://schemas.openxmlformats.org/officeDocument/2006/relationships/hyperlink" Target="https://zakupivli.pro/gov/tenders/ua-2025-04-03-000378-a" TargetMode="External"/><Relationship Id="rId2183" Type="http://schemas.openxmlformats.org/officeDocument/2006/relationships/hyperlink" Target="https://my.zakupivli.pro/remote/dispatcher/state_purchase_view/60781506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043" Type="http://schemas.openxmlformats.org/officeDocument/2006/relationships/hyperlink" Target="https://my.zakupivli.pro/remote/dispatcher/state_purchase_view/59790031" TargetMode="External"/><Relationship Id="rId2250" Type="http://schemas.openxmlformats.org/officeDocument/2006/relationships/hyperlink" Target="https://zakupivli.pro/gov/tenders/ua-2025-08-13-008530-a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2110" Type="http://schemas.openxmlformats.org/officeDocument/2006/relationships/hyperlink" Target="https://my.zakupivli.pro/remote/dispatcher/state_purchase_view/60215368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2208" Type="http://schemas.openxmlformats.org/officeDocument/2006/relationships/hyperlink" Target="https://my.zakupivli.pro/remote/dispatcher/state_purchase_view/60973872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669" Type="http://schemas.openxmlformats.org/officeDocument/2006/relationships/hyperlink" Target="https://zakupivli.pro/gov/tenders/ua-2025-01-27-013497-a/lot-fba86f69435b4c718ce82c25cdf706d3" TargetMode="External"/><Relationship Id="rId1876" Type="http://schemas.openxmlformats.org/officeDocument/2006/relationships/hyperlink" Target="https://my.zakupivli.pro/remote/dispatcher/state_purchase_view/58109414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1736" Type="http://schemas.openxmlformats.org/officeDocument/2006/relationships/hyperlink" Target="https://zakupivli.pro/gov/tenders/ua-2025-02-03-000583-a" TargetMode="External"/><Relationship Id="rId1943" Type="http://schemas.openxmlformats.org/officeDocument/2006/relationships/hyperlink" Target="https://zakupivli.pro/gov/tenders/ua-2025-04-09-008129-a" TargetMode="External"/><Relationship Id="rId28" Type="http://schemas.openxmlformats.org/officeDocument/2006/relationships/hyperlink" Target="https://zakupki.prom.ua/gov/tenders/UA-2023-02-01-009698-a" TargetMode="External"/><Relationship Id="rId1803" Type="http://schemas.openxmlformats.org/officeDocument/2006/relationships/hyperlink" Target="https://zakupivli.pro/gov/tenders/ua-2025-02-14-007675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065" Type="http://schemas.openxmlformats.org/officeDocument/2006/relationships/hyperlink" Target="https://zakupivli.pro/gov/tenders/ua-2025-06-05-002216-a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2132" Type="http://schemas.openxmlformats.org/officeDocument/2006/relationships/hyperlink" Target="https://zakupivli.pro/gov/tenders/ua-2025-06-23-004108-a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1898" Type="http://schemas.openxmlformats.org/officeDocument/2006/relationships/hyperlink" Target="https://zakupivli.pro/gov/tenders/ua-2025-03-24-000961-a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660" Type="http://schemas.openxmlformats.org/officeDocument/2006/relationships/hyperlink" Target="https://zakupivli.pro/gov/tenders/ua-2025-01-27-012515-a/lot-6be83a9fe00e47c98a043124b93bf4a7" TargetMode="External"/><Relationship Id="rId1758" Type="http://schemas.openxmlformats.org/officeDocument/2006/relationships/hyperlink" Target="https://my.zakupivli.pro/remote/dispatcher/state_purchase_view/57279883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965" Type="http://schemas.openxmlformats.org/officeDocument/2006/relationships/hyperlink" Target="https://my.zakupivli.pro/remote/dispatcher/state_purchase_view/58923256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825" Type="http://schemas.openxmlformats.org/officeDocument/2006/relationships/hyperlink" Target="https://my.zakupivli.pro/remote/dispatcher/state_purchase_view/57623075" TargetMode="External"/><Relationship Id="rId199" Type="http://schemas.openxmlformats.org/officeDocument/2006/relationships/hyperlink" Target="https://zakupki.prom.ua/gov/tenders/UA-2023-03-23-011146-a" TargetMode="External"/><Relationship Id="rId2087" Type="http://schemas.openxmlformats.org/officeDocument/2006/relationships/hyperlink" Target="https://zakupivli.pro/gov/tenders/ua-2025-06-12-010920-a/lot-744cd84cdf2d435aafecd57807db16b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2154" Type="http://schemas.openxmlformats.org/officeDocument/2006/relationships/hyperlink" Target="https://zakupivli.pro/gov/tenders/ua-2025-07-03-006327-a/lot-6c2378808bf342aea0c81b65223f722e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2014" Type="http://schemas.openxmlformats.org/officeDocument/2006/relationships/hyperlink" Target="https://zakupivli.pro/gov/tenders/ua-2025-05-13-002429-a/lot-58b8102ff3034429b3bc418a46aaca85" TargetMode="External"/><Relationship Id="rId2221" Type="http://schemas.openxmlformats.org/officeDocument/2006/relationships/hyperlink" Target="https://my.zakupivli.pro/remote/dispatcher/state_purchase_view/61014811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1682" Type="http://schemas.openxmlformats.org/officeDocument/2006/relationships/hyperlink" Target="https://my.zakupivli.pro/remote/dispatcher/state_purchase_view/56947859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1987" Type="http://schemas.openxmlformats.org/officeDocument/2006/relationships/hyperlink" Target="https://zakupivli.pro/gov/tenders/ua-2025-05-06-010641-a" TargetMode="External"/><Relationship Id="rId912" Type="http://schemas.openxmlformats.org/officeDocument/2006/relationships/hyperlink" Target="https://zakupivli.pro/gov/tenders/UA-2024-03-04-003068-a" TargetMode="External"/><Relationship Id="rId1847" Type="http://schemas.openxmlformats.org/officeDocument/2006/relationships/hyperlink" Target="https://my.zakupivli.pro/remote/dispatcher/state_purchase_view/57746790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707" Type="http://schemas.openxmlformats.org/officeDocument/2006/relationships/hyperlink" Target="https://zakupivli.pro/gov/tenders/ua-2025-01-29-003903-a/lot-ca859737ced54c19a4e1385ab7f4fa20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1914" Type="http://schemas.openxmlformats.org/officeDocument/2006/relationships/hyperlink" Target="https://zakupivli.pro/gov/tenders/ua-2025-03-25-002632-a/lot-080978ce6735455d94f514629190d47c" TargetMode="External"/><Relationship Id="rId495" Type="http://schemas.openxmlformats.org/officeDocument/2006/relationships/hyperlink" Target="https://my.zakupki.prom.ua/remote/dispatcher/state_purchase_view/45589939" TargetMode="External"/><Relationship Id="rId2176" Type="http://schemas.openxmlformats.org/officeDocument/2006/relationships/hyperlink" Target="https://zakupivli.pro/gov/tenders/ua-2025-07-09-006761-a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036" Type="http://schemas.openxmlformats.org/officeDocument/2006/relationships/hyperlink" Target="https://zakupivli.pro/gov/tenders/ua-2025-05-26-004827-a" TargetMode="External"/><Relationship Id="rId2243" Type="http://schemas.openxmlformats.org/officeDocument/2006/relationships/hyperlink" Target="https://zakupivli.pro/gov/tenders/ua-2025-08-07-000717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2103" Type="http://schemas.openxmlformats.org/officeDocument/2006/relationships/hyperlink" Target="https://zakupivli.pro/gov/tenders/ua-2025-06-18-010961-a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1771" Type="http://schemas.openxmlformats.org/officeDocument/2006/relationships/hyperlink" Target="https://zakupivli.pro/gov/tenders/ua-2025-02-11-014813-a/lot-1bd3ad2cd8504b62ac0f25b1d3d65110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1869" Type="http://schemas.openxmlformats.org/officeDocument/2006/relationships/hyperlink" Target="https://my.zakupivli.pro/remote/dispatcher/state_purchase_view/58060906" TargetMode="External"/><Relationship Id="rId1729" Type="http://schemas.openxmlformats.org/officeDocument/2006/relationships/hyperlink" Target="https://my.zakupivli.pro/remote/dispatcher/state_purchase_view/57141684" TargetMode="External"/><Relationship Id="rId1936" Type="http://schemas.openxmlformats.org/officeDocument/2006/relationships/hyperlink" Target="https://zakupivli.pro/gov/tenders/ua-2025-04-07-000293-a" TargetMode="External"/><Relationship Id="rId2198" Type="http://schemas.openxmlformats.org/officeDocument/2006/relationships/hyperlink" Target="https://zakupivli.pro/gov/tenders/ua-2025-07-24-005950-a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2058" Type="http://schemas.openxmlformats.org/officeDocument/2006/relationships/hyperlink" Target="https://zakupivli.pro/gov/tenders/ua-2025-06-04-001086-a" TargetMode="External"/><Relationship Id="rId2265" Type="http://schemas.openxmlformats.org/officeDocument/2006/relationships/hyperlink" Target="https://zakupivli.pro/gov/tenders/ua-2025-08-22-009012-a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2125" Type="http://schemas.openxmlformats.org/officeDocument/2006/relationships/hyperlink" Target="https://zakupivli.pro/gov/tenders/ua-2025-06-20-002917-a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1793" Type="http://schemas.openxmlformats.org/officeDocument/2006/relationships/hyperlink" Target="https://my.zakupivli.pro/remote/dispatcher/state_purchase_view/57480226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653" Type="http://schemas.openxmlformats.org/officeDocument/2006/relationships/hyperlink" Target="https://zakupivli.pro/gov/tenders/ua-2025-01-27-005506-a/lot-1c70e86f1a0341b0842814bcb542a94d" TargetMode="External"/><Relationship Id="rId1860" Type="http://schemas.openxmlformats.org/officeDocument/2006/relationships/hyperlink" Target="https://my.zakupivli.pro/remote/dispatcher/state_purchase_view/57931528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720" Type="http://schemas.openxmlformats.org/officeDocument/2006/relationships/hyperlink" Target="https://zakupivli.pro/gov/tenders/ua-2025-01-31-007250-a" TargetMode="External"/><Relationship Id="rId1958" Type="http://schemas.openxmlformats.org/officeDocument/2006/relationships/hyperlink" Target="https://zakupivli.pro/gov/tenders/ua-2025-04-17-000408-a/lot-19cd55c591204a4d97054bc0f733b073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818" Type="http://schemas.openxmlformats.org/officeDocument/2006/relationships/hyperlink" Target="https://zakupivli.pro/gov/tenders/ua-2025-02-20-007017-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2147" Type="http://schemas.openxmlformats.org/officeDocument/2006/relationships/hyperlink" Target="https://my.zakupivli.pro/remote/dispatcher/state_purchase_view/60340885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2007" Type="http://schemas.openxmlformats.org/officeDocument/2006/relationships/hyperlink" Target="https://my.zakupivli.pro/remote/dispatcher/state_purchase_view/59354476" TargetMode="External"/><Relationship Id="rId2214" Type="http://schemas.openxmlformats.org/officeDocument/2006/relationships/hyperlink" Target="https://zakupivli.pro/gov/tenders/ua-2025-07-29-001884-a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675" Type="http://schemas.openxmlformats.org/officeDocument/2006/relationships/hyperlink" Target="https://my.zakupivli.pro/remote/dispatcher/state_purchase_view/56944894" TargetMode="External"/><Relationship Id="rId1882" Type="http://schemas.openxmlformats.org/officeDocument/2006/relationships/hyperlink" Target="https://my.zakupivli.pro/remote/dispatcher/state_purchase_view/58211662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1742" Type="http://schemas.openxmlformats.org/officeDocument/2006/relationships/hyperlink" Target="https://my.zakupivli.pro/remote/dispatcher/state_purchase_view/57220856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1907" Type="http://schemas.openxmlformats.org/officeDocument/2006/relationships/hyperlink" Target="https://my.zakupivli.pro/remote/dispatcher/state_purchase_view/58318606" TargetMode="External"/><Relationship Id="rId2071" Type="http://schemas.openxmlformats.org/officeDocument/2006/relationships/hyperlink" Target="https://my.zakupivli.pro/remote/dispatcher/state_purchase_view/60071327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2169" Type="http://schemas.openxmlformats.org/officeDocument/2006/relationships/hyperlink" Target="https://my.zakupivli.pro/remote/dispatcher/state_purchase_view/60601688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29" Type="http://schemas.openxmlformats.org/officeDocument/2006/relationships/hyperlink" Target="https://my.zakupivli.pro/remote/dispatcher/state_purchase_view/59578825" TargetMode="External"/><Relationship Id="rId2236" Type="http://schemas.openxmlformats.org/officeDocument/2006/relationships/hyperlink" Target="https://my.zakupivli.pro/remote/dispatcher/state_purchase_view/61158360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1697" Type="http://schemas.openxmlformats.org/officeDocument/2006/relationships/hyperlink" Target="https://zakupivli.pro/gov/tenders/ua-2025-01-28-015503-a/lot-a9addf6190e145e7a7985e06b6788d73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1764" Type="http://schemas.openxmlformats.org/officeDocument/2006/relationships/hyperlink" Target="https://my.zakupivli.pro/remote/dispatcher/state_purchase_view/57385934" TargetMode="External"/><Relationship Id="rId1971" Type="http://schemas.openxmlformats.org/officeDocument/2006/relationships/hyperlink" Target="https://my.zakupivli.pro/remote/dispatcher/state_purchase_view/59095527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1831" Type="http://schemas.openxmlformats.org/officeDocument/2006/relationships/hyperlink" Target="https://my.zakupivli.pro/remote/dispatcher/state_purchase_view/57700470" TargetMode="External"/><Relationship Id="rId1929" Type="http://schemas.openxmlformats.org/officeDocument/2006/relationships/hyperlink" Target="https://my.zakupivli.pro/remote/dispatcher/state_purchase_view/58575307" TargetMode="External"/><Relationship Id="rId2093" Type="http://schemas.openxmlformats.org/officeDocument/2006/relationships/hyperlink" Target="https://zakupivli.pro/gov/tenders/ua-2025-06-12-000344-a/lot-6678744630fd4adaa7ca7fd43269f9a9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2160" Type="http://schemas.openxmlformats.org/officeDocument/2006/relationships/hyperlink" Target="https://zakupivli.pro/gov/tenders/ua-2025-07-04-006294-a" TargetMode="External"/><Relationship Id="rId2258" Type="http://schemas.openxmlformats.org/officeDocument/2006/relationships/hyperlink" Target="https://my.zakupivli.pro/remote/dispatcher/state_purchase_view/6146945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2020" Type="http://schemas.openxmlformats.org/officeDocument/2006/relationships/hyperlink" Target="https://zakupivli.pro/gov/tenders/ua-2025-05-16-000205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2118" Type="http://schemas.openxmlformats.org/officeDocument/2006/relationships/hyperlink" Target="https://zakupivli.pro/gov/tenders/ua-2025-06-19-006872-a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1786" Type="http://schemas.openxmlformats.org/officeDocument/2006/relationships/hyperlink" Target="https://zakupivli.pro/gov/tenders/ua-2025-02-13-009405-a/lot-33c26c030db143278a55cb7505b56ce9" TargetMode="External"/><Relationship Id="rId1993" Type="http://schemas.openxmlformats.org/officeDocument/2006/relationships/hyperlink" Target="https://my.zakupivli.pro/remote/dispatcher/state_purchase_view/59253985" TargetMode="External"/><Relationship Id="rId78" Type="http://schemas.openxmlformats.org/officeDocument/2006/relationships/hyperlink" Target="https://my.zakupki.prom.ua/remote/dispatcher/state_purchase_view/41328917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1646" Type="http://schemas.openxmlformats.org/officeDocument/2006/relationships/hyperlink" Target="https://zakupivli.pro/gov/tenders/ua-2025-01-22-010427-a/lot-ab55c876957845d995a437ad188d9b09" TargetMode="External"/><Relationship Id="rId1853" Type="http://schemas.openxmlformats.org/officeDocument/2006/relationships/hyperlink" Target="https://zakupivli.pro/gov/tenders/ua-2025-03-03-010382-a" TargetMode="External"/><Relationship Id="rId1506" Type="http://schemas.openxmlformats.org/officeDocument/2006/relationships/hyperlink" Target="https://my.zakupivli.pro/remote/dispatcher/state_purchase_view/55352960" TargetMode="External"/><Relationship Id="rId1713" Type="http://schemas.openxmlformats.org/officeDocument/2006/relationships/hyperlink" Target="https://my.zakupivli.pro/remote/dispatcher/state_purchase_view/57100319" TargetMode="External"/><Relationship Id="rId1920" Type="http://schemas.openxmlformats.org/officeDocument/2006/relationships/hyperlink" Target="https://zakupivli.pro/gov/tenders/ua-2025-04-03-005195-a" TargetMode="External"/><Relationship Id="rId294" Type="http://schemas.openxmlformats.org/officeDocument/2006/relationships/hyperlink" Target="https://my.zakupki.prom.ua/remote/dispatcher/state_purchase_view/41866240" TargetMode="External"/><Relationship Id="rId2182" Type="http://schemas.openxmlformats.org/officeDocument/2006/relationships/hyperlink" Target="https://zakupivli.pro/gov/tenders/ua-2025-07-17-006467-a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2042" Type="http://schemas.openxmlformats.org/officeDocument/2006/relationships/hyperlink" Target="https://zakupivli.pro/gov/tenders/ua-2025-05-27-012930-a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2207" Type="http://schemas.openxmlformats.org/officeDocument/2006/relationships/hyperlink" Target="https://my.zakupivli.pro/remote/dispatcher/state_purchase_view/60983117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68" Type="http://schemas.openxmlformats.org/officeDocument/2006/relationships/hyperlink" Target="https://zakupivli.pro/gov/tenders/ua-2025-01-27-013503-a/lot-56b5f04516aa48b491fc70654eaac6ab" TargetMode="External"/><Relationship Id="rId1875" Type="http://schemas.openxmlformats.org/officeDocument/2006/relationships/hyperlink" Target="https://zakupivli.pro/gov/tenders/ua-2025-03-13-000096-a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1735" Type="http://schemas.openxmlformats.org/officeDocument/2006/relationships/hyperlink" Target="https://zakupivli.pro/gov/tenders/ua-2025-02-03-009297-a" TargetMode="External"/><Relationship Id="rId1942" Type="http://schemas.openxmlformats.org/officeDocument/2006/relationships/hyperlink" Target="https://my.zakupivli.pro/remote/dispatcher/state_purchase_view/58651905" TargetMode="External"/><Relationship Id="rId27" Type="http://schemas.openxmlformats.org/officeDocument/2006/relationships/hyperlink" Target="https://my.zakupki.prom.ua/remote/dispatcher/state_purchase_view/40312420" TargetMode="External"/><Relationship Id="rId1802" Type="http://schemas.openxmlformats.org/officeDocument/2006/relationships/hyperlink" Target="https://zakupivli.pro/gov/tenders/ua-2025-02-14-008026-a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2064" Type="http://schemas.openxmlformats.org/officeDocument/2006/relationships/hyperlink" Target="https://zakupivli.pro/gov/tenders/ua-2025-06-05-002438-a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1080" Type="http://schemas.openxmlformats.org/officeDocument/2006/relationships/hyperlink" Target="https://my.zakupivli.pro/remote/dispatcher/state_purchase_view/50840153" TargetMode="External"/><Relationship Id="rId2131" Type="http://schemas.openxmlformats.org/officeDocument/2006/relationships/hyperlink" Target="https://my.zakupivli.pro/remote/dispatcher/state_purchase_view/6026380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2229" Type="http://schemas.openxmlformats.org/officeDocument/2006/relationships/hyperlink" Target="https://my.zakupivli.pro/remote/dispatcher/state_purchase_view/61130931" TargetMode="External"/><Relationship Id="rId91" Type="http://schemas.openxmlformats.org/officeDocument/2006/relationships/hyperlink" Target="https://my.zakupki.prom.ua/remote/dispatcher/state_purchase_view/41191954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1897" Type="http://schemas.openxmlformats.org/officeDocument/2006/relationships/hyperlink" Target="https://zakupivli.pro/gov/tenders/ua-2025-03-24-001051-a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1757" Type="http://schemas.openxmlformats.org/officeDocument/2006/relationships/hyperlink" Target="https://my.zakupivli.pro/remote/dispatcher/state_purchase_view/57295165" TargetMode="External"/><Relationship Id="rId1964" Type="http://schemas.openxmlformats.org/officeDocument/2006/relationships/hyperlink" Target="https://zakupivli.pro/gov/tenders/ua-2025-04-18-008599-a/lot-d1930e606bf14e32bb19439d60d5eb4c" TargetMode="External"/><Relationship Id="rId49" Type="http://schemas.openxmlformats.org/officeDocument/2006/relationships/hyperlink" Target="https://my.zakupki.prom.ua/remote/dispatcher/state_purchase_view/41519330" TargetMode="External"/><Relationship Id="rId1617" Type="http://schemas.openxmlformats.org/officeDocument/2006/relationships/hyperlink" Target="https://my.zakupivli.pro/remote/dispatcher/state_purchase_view/56598627" TargetMode="External"/><Relationship Id="rId1824" Type="http://schemas.openxmlformats.org/officeDocument/2006/relationships/hyperlink" Target="https://my.zakupivli.pro/remote/dispatcher/state_purchase_view/57623304" TargetMode="External"/><Relationship Id="rId198" Type="http://schemas.openxmlformats.org/officeDocument/2006/relationships/hyperlink" Target="https://zakupki.prom.ua/gov/tenders/UA-2023-03-22-004354-a" TargetMode="External"/><Relationship Id="rId2086" Type="http://schemas.openxmlformats.org/officeDocument/2006/relationships/hyperlink" Target="https://zakupivli.pro/gov/tenders/ua-2025-06-12-011075-a/lot-977eae71a9824ae8b72230ce316343f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2153" Type="http://schemas.openxmlformats.org/officeDocument/2006/relationships/hyperlink" Target="https://my.zakupivli.pro/remote/dispatcher/state_purchase_view/60505517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2013" Type="http://schemas.openxmlformats.org/officeDocument/2006/relationships/hyperlink" Target="https://zakupivli.pro/gov/tenders/ua-2025-05-13-002429-a/lot-0a149ea944924aba91b2f8156e2dd006" TargetMode="External"/><Relationship Id="rId2220" Type="http://schemas.openxmlformats.org/officeDocument/2006/relationships/hyperlink" Target="https://zakupivli.pro/gov/tenders/ua-2025-07-30-003593-a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1681" Type="http://schemas.openxmlformats.org/officeDocument/2006/relationships/hyperlink" Target="https://zakupivli.pro/gov/tenders/ua-2025-01-27-014719-a/lot-29e910c05cde4e8dba4c630368dc8cc7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1779" Type="http://schemas.openxmlformats.org/officeDocument/2006/relationships/hyperlink" Target="https://my.zakupivli.pro/remote/dispatcher/state_purchase_view/57446387" TargetMode="External"/><Relationship Id="rId1986" Type="http://schemas.openxmlformats.org/officeDocument/2006/relationships/hyperlink" Target="https://zakupivli.pro/gov/tenders/ua-2025-05-06-011060-a" TargetMode="External"/><Relationship Id="rId40" Type="http://schemas.openxmlformats.org/officeDocument/2006/relationships/hyperlink" Target="https://my.zakupki.prom.ua/remote/dispatcher/state_purchase_view/41520379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1846" Type="http://schemas.openxmlformats.org/officeDocument/2006/relationships/hyperlink" Target="https://my.zakupivli.pro/remote/dispatcher/state_purchase_view/57767467" TargetMode="External"/><Relationship Id="rId1706" Type="http://schemas.openxmlformats.org/officeDocument/2006/relationships/hyperlink" Target="https://zakupivli.pro/gov/tenders/ua-2025-01-29-003903-a/lot-35a62486fc704813b60b1b05ff9ab601" TargetMode="External"/><Relationship Id="rId1913" Type="http://schemas.openxmlformats.org/officeDocument/2006/relationships/hyperlink" Target="https://zakupivli.pro/gov/tenders/ua-2025-03-25-003266-a/lot-90fd47f16ff343cb81f9b845d1569a1c" TargetMode="External"/><Relationship Id="rId287" Type="http://schemas.openxmlformats.org/officeDocument/2006/relationships/hyperlink" Target="https://zakupki.prom.ua/gov/tenders/UA-2023-04-04-000044-a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2175" Type="http://schemas.openxmlformats.org/officeDocument/2006/relationships/hyperlink" Target="https://my.zakupivli.pro/remote/dispatcher/state_purchase_view/60616244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2035" Type="http://schemas.openxmlformats.org/officeDocument/2006/relationships/hyperlink" Target="https://my.zakupivli.pro/remote/dispatcher/state_purchase_view/59662837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96" Type="http://schemas.openxmlformats.org/officeDocument/2006/relationships/hyperlink" Target="https://my.zakupivli.pro/remote/dispatcher/state_purchase_view/55498113" TargetMode="External"/><Relationship Id="rId2242" Type="http://schemas.openxmlformats.org/officeDocument/2006/relationships/hyperlink" Target="https://zakupivli.pro/gov/tenders/ua-2025-08-07-006729-a" TargetMode="External"/><Relationship Id="rId214" Type="http://schemas.openxmlformats.org/officeDocument/2006/relationships/hyperlink" Target="https://my.zakupki.prom.ua/remote/dispatcher/state_purchase_view/41647901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2102" Type="http://schemas.openxmlformats.org/officeDocument/2006/relationships/hyperlink" Target="https://zakupivli.pro/gov/tenders/ua-2025-06-18-011141-a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1770" Type="http://schemas.openxmlformats.org/officeDocument/2006/relationships/hyperlink" Target="https://my.zakupivli.pro/remote/dispatcher/state_purchase_view/57407976" TargetMode="External"/><Relationship Id="rId1868" Type="http://schemas.openxmlformats.org/officeDocument/2006/relationships/hyperlink" Target="https://my.zakupivli.pro/remote/dispatcher/state_purchase_view/58061453" TargetMode="External"/><Relationship Id="rId62" Type="http://schemas.openxmlformats.org/officeDocument/2006/relationships/hyperlink" Target="https://my.zakupki.prom.ua/remote/dispatcher/state_purchase_view/41426939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1728" Type="http://schemas.openxmlformats.org/officeDocument/2006/relationships/hyperlink" Target="https://my.zakupivli.pro/remote/dispatcher/state_purchase_view/57141917" TargetMode="External"/><Relationship Id="rId1935" Type="http://schemas.openxmlformats.org/officeDocument/2006/relationships/hyperlink" Target="https://zakupivli.pro/gov/tenders/ua-2025-04-07-006636-a" TargetMode="External"/><Relationship Id="rId2197" Type="http://schemas.openxmlformats.org/officeDocument/2006/relationships/hyperlink" Target="https://zakupivli.pro/gov/tenders/ua-2025-07-24-006045-a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2057" Type="http://schemas.openxmlformats.org/officeDocument/2006/relationships/hyperlink" Target="https://my.zakupivli.pro/remote/dispatcher/state_purchase_view/59864438" TargetMode="External"/><Relationship Id="rId2264" Type="http://schemas.openxmlformats.org/officeDocument/2006/relationships/hyperlink" Target="https://zakupivli.pro/gov/tenders/ua-2025-08-18-004442-a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2124" Type="http://schemas.openxmlformats.org/officeDocument/2006/relationships/hyperlink" Target="https://zakupivli.pro/gov/tenders/ua-2025-06-20-003030-a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1792" Type="http://schemas.openxmlformats.org/officeDocument/2006/relationships/hyperlink" Target="https://my.zakupivli.pro/remote/dispatcher/state_purchase_view/57483469" TargetMode="External"/><Relationship Id="rId84" Type="http://schemas.openxmlformats.org/officeDocument/2006/relationships/hyperlink" Target="https://my.zakupki.prom.ua/remote/dispatcher/state_purchase_view/41234669" TargetMode="External"/><Relationship Id="rId510" Type="http://schemas.openxmlformats.org/officeDocument/2006/relationships/hyperlink" Target="https://zakupivli.pro/gov/tenders/UA-2023-10-25-014030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1652" Type="http://schemas.openxmlformats.org/officeDocument/2006/relationships/hyperlink" Target="https://my.zakupivli.pro/remote/dispatcher/state_purchase_view/56922591" TargetMode="External"/><Relationship Id="rId1000" Type="http://schemas.openxmlformats.org/officeDocument/2006/relationships/hyperlink" Target="https://zakupivli.pro/gov/tenders/UA-2024-03-25-000272-a" TargetMode="External"/><Relationship Id="rId1305" Type="http://schemas.openxmlformats.org/officeDocument/2006/relationships/hyperlink" Target="https://zakupivli.pro/gov/tenders/UA-2024-08-14-000304-a" TargetMode="External"/><Relationship Id="rId1957" Type="http://schemas.openxmlformats.org/officeDocument/2006/relationships/hyperlink" Target="https://my.zakupivli.pro/remote/dispatcher/state_purchase_view/58831849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817" Type="http://schemas.openxmlformats.org/officeDocument/2006/relationships/hyperlink" Target="https://zakupivli.pro/gov/tenders/ua-2025-02-20-008191-a/lot-b4beb872b6e6474d88283380ce450f29" TargetMode="External"/><Relationship Id="rId11" Type="http://schemas.openxmlformats.org/officeDocument/2006/relationships/hyperlink" Target="https://zakupki.prom.ua/gov/tenders/UA-2022-11-23-004191-a" TargetMode="External"/><Relationship Id="rId398" Type="http://schemas.openxmlformats.org/officeDocument/2006/relationships/hyperlink" Target="https://zakupki.prom.ua/gov/tenders/UA-2023-07-19-002763-a" TargetMode="External"/><Relationship Id="rId2079" Type="http://schemas.openxmlformats.org/officeDocument/2006/relationships/hyperlink" Target="https://my.zakupivli.pro/remote/dispatcher/state_purchase_view/60047433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2146" Type="http://schemas.openxmlformats.org/officeDocument/2006/relationships/hyperlink" Target="https://my.zakupivli.pro/remote/dispatcher/state_purchase_view/60341421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2006" Type="http://schemas.openxmlformats.org/officeDocument/2006/relationships/hyperlink" Target="https://my.zakupivli.pro/remote/dispatcher/state_purchase_view/59361064" TargetMode="External"/><Relationship Id="rId2213" Type="http://schemas.openxmlformats.org/officeDocument/2006/relationships/hyperlink" Target="https://zakupivli.pro/gov/tenders/ua-2025-07-29-002744-a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1674" Type="http://schemas.openxmlformats.org/officeDocument/2006/relationships/hyperlink" Target="https://my.zakupivli.pro/remote/dispatcher/state_purchase_view/56946083" TargetMode="External"/><Relationship Id="rId1881" Type="http://schemas.openxmlformats.org/officeDocument/2006/relationships/hyperlink" Target="https://zakupivli.pro/gov/tenders/ua-2025-03-14-000631-a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1741" Type="http://schemas.openxmlformats.org/officeDocument/2006/relationships/hyperlink" Target="https://my.zakupivli.pro/remote/dispatcher/state_purchase_view/57223306" TargetMode="External"/><Relationship Id="rId1979" Type="http://schemas.openxmlformats.org/officeDocument/2006/relationships/hyperlink" Target="https://my.zakupivli.pro/remote/dispatcher/state_purchase_view/59209475" TargetMode="External"/><Relationship Id="rId33" Type="http://schemas.openxmlformats.org/officeDocument/2006/relationships/hyperlink" Target="https://my.zakupki.prom.ua/remote/dispatcher/state_purchase_view/41550489" TargetMode="External"/><Relationship Id="rId1601" Type="http://schemas.openxmlformats.org/officeDocument/2006/relationships/hyperlink" Target="https://zakupivli.pro/gov/tenders/ua-2025-01-08-007829-a" TargetMode="External"/><Relationship Id="rId1839" Type="http://schemas.openxmlformats.org/officeDocument/2006/relationships/hyperlink" Target="https://my.zakupivli.pro/remote/dispatcher/state_purchase_view/57729054" TargetMode="External"/><Relationship Id="rId182" Type="http://schemas.openxmlformats.org/officeDocument/2006/relationships/hyperlink" Target="https://zakupki.prom.ua/gov/tenders/UA-2023-03-20-010412-a" TargetMode="External"/><Relationship Id="rId1906" Type="http://schemas.openxmlformats.org/officeDocument/2006/relationships/hyperlink" Target="https://my.zakupivli.pro/remote/dispatcher/state_purchase_view/58319979" TargetMode="External"/><Relationship Id="rId487" Type="http://schemas.openxmlformats.org/officeDocument/2006/relationships/hyperlink" Target="https://my.zakupki.prom.ua/remote/dispatcher/state_purchase_view/45419691" TargetMode="External"/><Relationship Id="rId694" Type="http://schemas.openxmlformats.org/officeDocument/2006/relationships/hyperlink" Target="https://zakupivli.pro/gov/tenders/UA-2024-01-31-010710-a" TargetMode="External"/><Relationship Id="rId2070" Type="http://schemas.openxmlformats.org/officeDocument/2006/relationships/hyperlink" Target="https://zakupivli.pro/gov/tenders/ua-2025-06-06-006663-a" TargetMode="External"/><Relationship Id="rId2168" Type="http://schemas.openxmlformats.org/officeDocument/2006/relationships/hyperlink" Target="https://zakupivli.pro/gov/tenders/ua-2025-07-04-008271-a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84" Type="http://schemas.openxmlformats.org/officeDocument/2006/relationships/hyperlink" Target="https://my.zakupivli.pro/remote/dispatcher/state_purchase_view/51864709" TargetMode="External"/><Relationship Id="rId2028" Type="http://schemas.openxmlformats.org/officeDocument/2006/relationships/hyperlink" Target="https://zakupivli.pro/gov/tenders/ua-2025-05-20-001540-a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96" Type="http://schemas.openxmlformats.org/officeDocument/2006/relationships/hyperlink" Target="https://my.zakupivli.pro/remote/dispatcher/state_purchase_view/56982494" TargetMode="External"/><Relationship Id="rId2235" Type="http://schemas.openxmlformats.org/officeDocument/2006/relationships/hyperlink" Target="https://my.zakupivli.pro/remote/dispatcher/state_purchase_view/61158555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1763" Type="http://schemas.openxmlformats.org/officeDocument/2006/relationships/hyperlink" Target="https://zakupivli.pro/gov/tenders/ua-2025-02-10-005542-a" TargetMode="External"/><Relationship Id="rId1970" Type="http://schemas.openxmlformats.org/officeDocument/2006/relationships/hyperlink" Target="https://zakupivli.pro/gov/tenders/ua-2025-04-30-002296-a" TargetMode="External"/><Relationship Id="rId55" Type="http://schemas.openxmlformats.org/officeDocument/2006/relationships/hyperlink" Target="https://my.zakupki.prom.ua/remote/dispatcher/state_purchase_view/41432337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1830" Type="http://schemas.openxmlformats.org/officeDocument/2006/relationships/hyperlink" Target="https://my.zakupivli.pro/remote/dispatcher/state_purchase_view/57711359" TargetMode="External"/><Relationship Id="rId1928" Type="http://schemas.openxmlformats.org/officeDocument/2006/relationships/hyperlink" Target="https://my.zakupivli.pro/remote/dispatcher/state_purchase_view/58589458" TargetMode="External"/><Relationship Id="rId2092" Type="http://schemas.openxmlformats.org/officeDocument/2006/relationships/hyperlink" Target="https://zakupivli.pro/gov/tenders/ua-2025-06-12-001669-a" TargetMode="External"/><Relationship Id="rId271" Type="http://schemas.openxmlformats.org/officeDocument/2006/relationships/hyperlink" Target="https://my.zakupki.prom.ua/remote/dispatcher/state_purchase_view/41779398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2257" Type="http://schemas.openxmlformats.org/officeDocument/2006/relationships/hyperlink" Target="https://my.zakupivli.pro/remote/dispatcher/state_purchase_view/61470402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2117" Type="http://schemas.openxmlformats.org/officeDocument/2006/relationships/hyperlink" Target="https://zakupivli.pro/gov/tenders/ua-2025-06-19-006954-a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1785" Type="http://schemas.openxmlformats.org/officeDocument/2006/relationships/hyperlink" Target="https://zakupivli.pro/gov/tenders/ua-2025-02-13-009809-a/lot-563a933143104f4a8f4a9e74b9e920e9" TargetMode="External"/><Relationship Id="rId1992" Type="http://schemas.openxmlformats.org/officeDocument/2006/relationships/hyperlink" Target="https://zakupivli.pro/gov/tenders/ua-2025-05-06-007587-a" TargetMode="External"/><Relationship Id="rId77" Type="http://schemas.openxmlformats.org/officeDocument/2006/relationships/hyperlink" Target="https://my.zakupki.prom.ua/remote/dispatcher/state_purchase_view/41328966" TargetMode="External"/><Relationship Id="rId503" Type="http://schemas.openxmlformats.org/officeDocument/2006/relationships/hyperlink" Target="https://zakupivli.pro/gov/tenders/UA-2023-10-24-009180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1645" Type="http://schemas.openxmlformats.org/officeDocument/2006/relationships/hyperlink" Target="https://zakupivli.pro/gov/tenders/ua-2025-01-22-016532-a" TargetMode="External"/><Relationship Id="rId1200" Type="http://schemas.openxmlformats.org/officeDocument/2006/relationships/hyperlink" Target="https://my.zakupivli.pro/remote/dispatcher/state_purchase_view/52153166" TargetMode="External"/><Relationship Id="rId1852" Type="http://schemas.openxmlformats.org/officeDocument/2006/relationships/hyperlink" Target="https://zakupivli.pro/gov/tenders/ua-2025-03-03-010821-a" TargetMode="External"/><Relationship Id="rId1505" Type="http://schemas.openxmlformats.org/officeDocument/2006/relationships/hyperlink" Target="https://my.zakupivli.pro/remote/dispatcher/state_purchase_view/55397586" TargetMode="External"/><Relationship Id="rId1712" Type="http://schemas.openxmlformats.org/officeDocument/2006/relationships/hyperlink" Target="https://my.zakupivli.pro/remote/dispatcher/state_purchase_view/57102057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2181" Type="http://schemas.openxmlformats.org/officeDocument/2006/relationships/hyperlink" Target="https://my.zakupivli.pro/remote/dispatcher/state_purchase_view/60773263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2041" Type="http://schemas.openxmlformats.org/officeDocument/2006/relationships/hyperlink" Target="https://my.zakupivli.pro/remote/dispatcher/state_purchase_view/59713132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2139" Type="http://schemas.openxmlformats.org/officeDocument/2006/relationships/hyperlink" Target="https://my.zakupivli.pro/remote/dispatcher/state_purchase_view/60292907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2206" Type="http://schemas.openxmlformats.org/officeDocument/2006/relationships/hyperlink" Target="https://zakupivli.pro/gov/tenders/ua-2025-07-28-009339-a" TargetMode="External"/><Relationship Id="rId99" Type="http://schemas.openxmlformats.org/officeDocument/2006/relationships/hyperlink" Target="https://my.zakupki.prom.ua/remote/dispatcher/state_purchase_view/41077146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1667" Type="http://schemas.openxmlformats.org/officeDocument/2006/relationships/hyperlink" Target="https://my.zakupivli.pro/remote/dispatcher/state_purchase_view/56943535" TargetMode="External"/><Relationship Id="rId1874" Type="http://schemas.openxmlformats.org/officeDocument/2006/relationships/hyperlink" Target="https://zakupivli.pro/gov/tenders/ua-2025-03-13-002113-a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1734" Type="http://schemas.openxmlformats.org/officeDocument/2006/relationships/hyperlink" Target="https://zakupivli.pro/gov/tenders/ua-2025-02-03-009439-a" TargetMode="External"/><Relationship Id="rId1941" Type="http://schemas.openxmlformats.org/officeDocument/2006/relationships/hyperlink" Target="https://my.zakupivli.pro/remote/dispatcher/state_purchase_view/58656209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1801" Type="http://schemas.openxmlformats.org/officeDocument/2006/relationships/hyperlink" Target="https://zakupivli.pro/gov/tenders/ua-2025-02-14-008779-a" TargetMode="External"/><Relationship Id="rId382" Type="http://schemas.openxmlformats.org/officeDocument/2006/relationships/hyperlink" Target="https://my.zakupki.prom.ua/remote/dispatcher/state_purchase_view/44300695" TargetMode="External"/><Relationship Id="rId687" Type="http://schemas.openxmlformats.org/officeDocument/2006/relationships/hyperlink" Target="https://zakupivli.pro/gov/tenders/UA-2024-01-31-008115-a" TargetMode="External"/><Relationship Id="rId2063" Type="http://schemas.openxmlformats.org/officeDocument/2006/relationships/hyperlink" Target="https://zakupivli.pro/gov/tenders/ua-2025-06-05-004619-a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2130" Type="http://schemas.openxmlformats.org/officeDocument/2006/relationships/hyperlink" Target="https://my.zakupivli.pro/remote/dispatcher/state_purchase_view/60265394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89" Type="http://schemas.openxmlformats.org/officeDocument/2006/relationships/hyperlink" Target="https://zakupivli.pro/gov/tenders/ua-2025-01-27-016004-a/lot-d5b65214dd394aafade3265be9b80114" TargetMode="External"/><Relationship Id="rId2228" Type="http://schemas.openxmlformats.org/officeDocument/2006/relationships/hyperlink" Target="https://zakupivli.pro/gov/tenders/ua-2025-08-04-007795-a" TargetMode="External"/><Relationship Id="rId90" Type="http://schemas.openxmlformats.org/officeDocument/2006/relationships/hyperlink" Target="https://my.zakupki.prom.ua/remote/dispatcher/state_purchase_view/41193065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1896" Type="http://schemas.openxmlformats.org/officeDocument/2006/relationships/hyperlink" Target="https://zakupivli.pro/gov/tenders/ua-2025-03-24-001110-a" TargetMode="External"/><Relationship Id="rId919" Type="http://schemas.openxmlformats.org/officeDocument/2006/relationships/hyperlink" Target="https://zakupivli.pro/gov/tenders/UA-2024-03-05-002444-a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1756" Type="http://schemas.openxmlformats.org/officeDocument/2006/relationships/hyperlink" Target="https://my.zakupivli.pro/remote/dispatcher/state_purchase_view/57301275" TargetMode="External"/><Relationship Id="rId1963" Type="http://schemas.openxmlformats.org/officeDocument/2006/relationships/hyperlink" Target="https://my.zakupivli.pro/remote/dispatcher/state_purchase_view/58876357" TargetMode="External"/><Relationship Id="rId48" Type="http://schemas.openxmlformats.org/officeDocument/2006/relationships/hyperlink" Target="https://my.zakupki.prom.ua/remote/dispatcher/state_purchase_view/4151953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823" Type="http://schemas.openxmlformats.org/officeDocument/2006/relationships/hyperlink" Target="https://my.zakupivli.pro/remote/dispatcher/state_purchase_view/57638292" TargetMode="External"/><Relationship Id="rId197" Type="http://schemas.openxmlformats.org/officeDocument/2006/relationships/hyperlink" Target="https://zakupki.prom.ua/gov/tenders/UA-2023-03-22-010199-a" TargetMode="External"/><Relationship Id="rId2085" Type="http://schemas.openxmlformats.org/officeDocument/2006/relationships/hyperlink" Target="https://zakupivli.pro/gov/tenders/ua-2025-06-12-011681-a/lot-4f34003fa74d4c5fa982e862baf8a11f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2152" Type="http://schemas.openxmlformats.org/officeDocument/2006/relationships/hyperlink" Target="https://my.zakupivli.pro/remote/dispatcher/state_purchase_view/60439056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2012" Type="http://schemas.openxmlformats.org/officeDocument/2006/relationships/hyperlink" Target="https://my.zakupivli.pro/remote/dispatcher/state_purchase_view/59372454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1680" Type="http://schemas.openxmlformats.org/officeDocument/2006/relationships/hyperlink" Target="https://zakupivli.pro/gov/tenders/ua-2025-01-27-015305-a" TargetMode="External"/><Relationship Id="rId1778" Type="http://schemas.openxmlformats.org/officeDocument/2006/relationships/hyperlink" Target="https://my.zakupivli.pro/remote/dispatcher/state_purchase_view/57447516" TargetMode="External"/><Relationship Id="rId1985" Type="http://schemas.openxmlformats.org/officeDocument/2006/relationships/hyperlink" Target="https://zakupivli.pro/gov/tenders/ua-2025-05-06-012147-a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400" Type="http://schemas.openxmlformats.org/officeDocument/2006/relationships/hyperlink" Target="https://zakupivli.pro/gov/tenders/ua-2024-10-29-008170-a" TargetMode="External"/><Relationship Id="rId1845" Type="http://schemas.openxmlformats.org/officeDocument/2006/relationships/hyperlink" Target="https://zakupivli.pro/gov/tenders/ua-2025-02-26-006375-a" TargetMode="External"/><Relationship Id="rId1705" Type="http://schemas.openxmlformats.org/officeDocument/2006/relationships/hyperlink" Target="https://my.zakupivli.pro/remote/dispatcher/state_purchase_view/57010056" TargetMode="External"/><Relationship Id="rId1912" Type="http://schemas.openxmlformats.org/officeDocument/2006/relationships/hyperlink" Target="https://zakupivli.pro/gov/tenders/ua-2025-03-25-007819-a/lot-d029fc1166bb43dfbce5b3417de00213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2174" Type="http://schemas.openxmlformats.org/officeDocument/2006/relationships/hyperlink" Target="https://my.zakupivli.pro/remote/dispatcher/state_purchase_view/60616255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2034" Type="http://schemas.openxmlformats.org/officeDocument/2006/relationships/hyperlink" Target="https://zakupivli.pro/gov/tenders/ua-2025-05-23-009263-a" TargetMode="External"/><Relationship Id="rId2241" Type="http://schemas.openxmlformats.org/officeDocument/2006/relationships/hyperlink" Target="https://zakupivli.pro/gov/tenders/ua-2025-08-07-006917-a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2101" Type="http://schemas.openxmlformats.org/officeDocument/2006/relationships/hyperlink" Target="https://zakupivli.pro/gov/tenders/ua-2025-06-18-011358-a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1867" Type="http://schemas.openxmlformats.org/officeDocument/2006/relationships/hyperlink" Target="https://my.zakupivli.pro/remote/dispatcher/state_purchase_view/58072937" TargetMode="External"/><Relationship Id="rId61" Type="http://schemas.openxmlformats.org/officeDocument/2006/relationships/hyperlink" Target="https://my.zakupki.prom.ua/remote/dispatcher/state_purchase_view/41427101" TargetMode="External"/><Relationship Id="rId1727" Type="http://schemas.openxmlformats.org/officeDocument/2006/relationships/hyperlink" Target="https://my.zakupivli.pro/remote/dispatcher/state_purchase_view/57144174" TargetMode="External"/><Relationship Id="rId1934" Type="http://schemas.openxmlformats.org/officeDocument/2006/relationships/hyperlink" Target="https://zakupivli.pro/gov/tenders/ua-2025-04-07-006839-a" TargetMode="External"/><Relationship Id="rId19" Type="http://schemas.openxmlformats.org/officeDocument/2006/relationships/hyperlink" Target="https://my.zakupki.prom.ua/remote/dispatcher/state_purchase_view/40092152" TargetMode="External"/><Relationship Id="rId2196" Type="http://schemas.openxmlformats.org/officeDocument/2006/relationships/hyperlink" Target="https://zakupivli.pro/gov/tenders/ua-2025-07-24-006216-a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2056" Type="http://schemas.openxmlformats.org/officeDocument/2006/relationships/hyperlink" Target="https://my.zakupivli.pro/remote/dispatcher/state_purchase_view/59869236" TargetMode="External"/><Relationship Id="rId2263" Type="http://schemas.openxmlformats.org/officeDocument/2006/relationships/hyperlink" Target="https://zakupivli.pro/gov/tenders/ua-2025-08-18-005825-a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2123" Type="http://schemas.openxmlformats.org/officeDocument/2006/relationships/hyperlink" Target="https://my.zakupivli.pro/remote/dispatcher/state_purchase_view/60237216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1791" Type="http://schemas.openxmlformats.org/officeDocument/2006/relationships/hyperlink" Target="https://zakupivli.pro/gov/tenders/ua-2025-02-13-013204-a" TargetMode="External"/><Relationship Id="rId83" Type="http://schemas.openxmlformats.org/officeDocument/2006/relationships/hyperlink" Target="https://my.zakupki.prom.ua/remote/dispatcher/state_purchase_view/41235144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1651" Type="http://schemas.openxmlformats.org/officeDocument/2006/relationships/hyperlink" Target="https://my.zakupivli.pro/remote/dispatcher/state_purchase_view/56922843" TargetMode="External"/><Relationship Id="rId1889" Type="http://schemas.openxmlformats.org/officeDocument/2006/relationships/hyperlink" Target="https://zakupivli.pro/gov/tenders/ua-2025-03-20-002481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749" Type="http://schemas.openxmlformats.org/officeDocument/2006/relationships/hyperlink" Target="https://zakupivli.pro/gov/tenders/ua-2025-02-05-009779-a" TargetMode="External"/><Relationship Id="rId1956" Type="http://schemas.openxmlformats.org/officeDocument/2006/relationships/hyperlink" Target="https://zakupivli.pro/gov/tenders/ua-2025-04-15-002650-a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816" Type="http://schemas.openxmlformats.org/officeDocument/2006/relationships/hyperlink" Target="https://zakupivli.pro/gov/tenders/ua-2025-02-20-010663-a" TargetMode="External"/><Relationship Id="rId10" Type="http://schemas.openxmlformats.org/officeDocument/2006/relationships/hyperlink" Target="https://zakupki.prom.ua/gov/tenders/UA-2022-11-17-012395-a" TargetMode="External"/><Relationship Id="rId397" Type="http://schemas.openxmlformats.org/officeDocument/2006/relationships/hyperlink" Target="https://zakupki.prom.ua/gov/tenders/UA-2023-07-13-000492-a" TargetMode="External"/><Relationship Id="rId2078" Type="http://schemas.openxmlformats.org/officeDocument/2006/relationships/hyperlink" Target="https://my.zakupivli.pro/remote/dispatcher/state_purchase_view/60047891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94" Type="http://schemas.openxmlformats.org/officeDocument/2006/relationships/hyperlink" Target="https://my.zakupivli.pro/remote/dispatcher/state_purchase_view/50933225" TargetMode="External"/><Relationship Id="rId2145" Type="http://schemas.openxmlformats.org/officeDocument/2006/relationships/hyperlink" Target="https://my.zakupivli.pro/remote/dispatcher/state_purchase_view/60342656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2005" Type="http://schemas.openxmlformats.org/officeDocument/2006/relationships/hyperlink" Target="https://my.zakupivli.pro/remote/dispatcher/state_purchase_view/59361203" TargetMode="External"/><Relationship Id="rId2212" Type="http://schemas.openxmlformats.org/officeDocument/2006/relationships/hyperlink" Target="https://zakupivli.pro/gov/tenders/ua-2025-07-29-003807-a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1673" Type="http://schemas.openxmlformats.org/officeDocument/2006/relationships/hyperlink" Target="https://zakupivli.pro/gov/tenders/ua-2025-01-27-013929-a/lot-c3e5392d9cc84705805a425ed3abf81e" TargetMode="External"/><Relationship Id="rId1880" Type="http://schemas.openxmlformats.org/officeDocument/2006/relationships/hyperlink" Target="https://zakupivli.pro/gov/tenders/ua-2025-03-14-003738-a" TargetMode="External"/><Relationship Id="rId1978" Type="http://schemas.openxmlformats.org/officeDocument/2006/relationships/hyperlink" Target="https://my.zakupivli.pro/remote/dispatcher/state_purchase_view/59210268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1740" Type="http://schemas.openxmlformats.org/officeDocument/2006/relationships/hyperlink" Target="https://my.zakupivli.pro/remote/dispatcher/state_purchase_view/57231734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38" Type="http://schemas.openxmlformats.org/officeDocument/2006/relationships/hyperlink" Target="https://my.zakupivli.pro/remote/dispatcher/state_purchase_view/57734245" TargetMode="External"/><Relationship Id="rId181" Type="http://schemas.openxmlformats.org/officeDocument/2006/relationships/hyperlink" Target="https://zakupki.prom.ua/gov/tenders/UA-2023-03-20-010476-a" TargetMode="External"/><Relationship Id="rId1905" Type="http://schemas.openxmlformats.org/officeDocument/2006/relationships/hyperlink" Target="https://my.zakupivli.pro/remote/dispatcher/state_purchase_view/58330065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2167" Type="http://schemas.openxmlformats.org/officeDocument/2006/relationships/hyperlink" Target="https://zakupivli.pro/gov/tenders/ua-2025-07-04-008295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27" Type="http://schemas.openxmlformats.org/officeDocument/2006/relationships/hyperlink" Target="https://zakupivli.pro/gov/tenders/ua-2025-05-20-001567-a" TargetMode="External"/><Relationship Id="rId2234" Type="http://schemas.openxmlformats.org/officeDocument/2006/relationships/hyperlink" Target="https://zakupivli.pro/gov/tenders/ua-2025-08-06-002944-a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1695" Type="http://schemas.openxmlformats.org/officeDocument/2006/relationships/hyperlink" Target="https://my.zakupivli.pro/remote/dispatcher/state_purchase_view/56987956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762" Type="http://schemas.openxmlformats.org/officeDocument/2006/relationships/hyperlink" Target="https://my.zakupivli.pro/remote/dispatcher/state_purchase_view/57327334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1927" Type="http://schemas.openxmlformats.org/officeDocument/2006/relationships/hyperlink" Target="https://my.zakupivli.pro/remote/dispatcher/state_purchase_view/58589905" TargetMode="External"/><Relationship Id="rId2091" Type="http://schemas.openxmlformats.org/officeDocument/2006/relationships/hyperlink" Target="https://zakupivli.pro/gov/tenders/ua-2025-06-12-001850-a" TargetMode="External"/><Relationship Id="rId2189" Type="http://schemas.openxmlformats.org/officeDocument/2006/relationships/hyperlink" Target="https://zakupivli.pro/gov/tenders/ua-2025-07-22-007419-a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049" Type="http://schemas.openxmlformats.org/officeDocument/2006/relationships/hyperlink" Target="https://zakupivli.pro/gov/tenders/ua-2025-05-30-000828-a" TargetMode="External"/><Relationship Id="rId2256" Type="http://schemas.openxmlformats.org/officeDocument/2006/relationships/hyperlink" Target="https://zakupivli.pro/gov/tenders/ua-2025-08-14-002001-a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2116" Type="http://schemas.openxmlformats.org/officeDocument/2006/relationships/hyperlink" Target="https://zakupivli.pro/gov/tenders/ua-2025-06-19-007019-a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1784" Type="http://schemas.openxmlformats.org/officeDocument/2006/relationships/hyperlink" Target="https://zakupivli.pro/gov/tenders/ua-2025-02-13-010243-a" TargetMode="External"/><Relationship Id="rId1991" Type="http://schemas.openxmlformats.org/officeDocument/2006/relationships/hyperlink" Target="https://zakupivli.pro/gov/tenders/ua-2025-05-06-008012-a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644" Type="http://schemas.openxmlformats.org/officeDocument/2006/relationships/hyperlink" Target="https://my.zakupivli.pro/remote/dispatcher/state_purchase_view/56780342" TargetMode="External"/><Relationship Id="rId1851" Type="http://schemas.openxmlformats.org/officeDocument/2006/relationships/hyperlink" Target="https://my.zakupivli.pro/remote/dispatcher/state_purchase_view/57827098" TargetMode="External"/><Relationship Id="rId1504" Type="http://schemas.openxmlformats.org/officeDocument/2006/relationships/hyperlink" Target="https://my.zakupivli.pro/remote/dispatcher/state_purchase_view/55452603" TargetMode="External"/><Relationship Id="rId1711" Type="http://schemas.openxmlformats.org/officeDocument/2006/relationships/hyperlink" Target="https://zakupivli.pro/gov/tenders/ua-2025-01-30-008146-a/lot-1950539852ab49e2a5f68117c24da0f7" TargetMode="External"/><Relationship Id="rId1949" Type="http://schemas.openxmlformats.org/officeDocument/2006/relationships/hyperlink" Target="https://my.zakupivli.pro/remote/dispatcher/state_purchase_view/58741981" TargetMode="External"/><Relationship Id="rId292" Type="http://schemas.openxmlformats.org/officeDocument/2006/relationships/hyperlink" Target="https://zakupki.prom.ua/gov/tenders/UA-2023-04-04-000779-a" TargetMode="External"/><Relationship Id="rId1809" Type="http://schemas.openxmlformats.org/officeDocument/2006/relationships/hyperlink" Target="https://zakupivli.pro/gov/tenders/ua-2025-02-18-000121-a" TargetMode="External"/><Relationship Id="rId597" Type="http://schemas.openxmlformats.org/officeDocument/2006/relationships/hyperlink" Target="https://my.zakupivli.pro/remote/dispatcher/state_purchase_view/48328528" TargetMode="External"/><Relationship Id="rId2180" Type="http://schemas.openxmlformats.org/officeDocument/2006/relationships/hyperlink" Target="https://zakupivli.pro/gov/tenders/ua-2025-07-10-005768-a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2040" Type="http://schemas.openxmlformats.org/officeDocument/2006/relationships/hyperlink" Target="https://zakupivli.pro/gov/tenders/ua-2025-05-27-001919-a" TargetMode="External"/><Relationship Id="rId2138" Type="http://schemas.openxmlformats.org/officeDocument/2006/relationships/hyperlink" Target="https://my.zakupivli.pro/remote/dispatcher/state_purchase_view/60293182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2205" Type="http://schemas.openxmlformats.org/officeDocument/2006/relationships/hyperlink" Target="https://zakupivli.pro/gov/tenders/ua-2025-07-28-009442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666" Type="http://schemas.openxmlformats.org/officeDocument/2006/relationships/hyperlink" Target="https://my.zakupivli.pro/remote/dispatcher/state_purchase_view/56943542" TargetMode="External"/><Relationship Id="rId1873" Type="http://schemas.openxmlformats.org/officeDocument/2006/relationships/hyperlink" Target="https://zakupivli.pro/gov/tenders/ua-2025-03-13-002322-a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1733" Type="http://schemas.openxmlformats.org/officeDocument/2006/relationships/hyperlink" Target="https://zakupivli.pro/gov/tenders/ua-2025-02-03-010425-a" TargetMode="External"/><Relationship Id="rId1940" Type="http://schemas.openxmlformats.org/officeDocument/2006/relationships/hyperlink" Target="https://my.zakupivli.pro/remote/dispatcher/state_purchase_view/58656841" TargetMode="External"/><Relationship Id="rId25" Type="http://schemas.openxmlformats.org/officeDocument/2006/relationships/hyperlink" Target="https://zakupki.prom.ua/gov/tenders/UA-2023-01-17-001056-a" TargetMode="External"/><Relationship Id="rId1800" Type="http://schemas.openxmlformats.org/officeDocument/2006/relationships/hyperlink" Target="https://zakupivli.pro/gov/tenders/ua-2025-02-14-009461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062" Type="http://schemas.openxmlformats.org/officeDocument/2006/relationships/hyperlink" Target="https://my.zakupivli.pro/remote/dispatcher/state_purchase_view/59899535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2227" Type="http://schemas.openxmlformats.org/officeDocument/2006/relationships/hyperlink" Target="https://my.zakupivli.pro/remote/dispatcher/state_purchase_view/61077928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1688" Type="http://schemas.openxmlformats.org/officeDocument/2006/relationships/hyperlink" Target="https://zakupivli.pro/gov/tenders/ua-2025-01-27-016031-a/lot-2a84a17627bb4b1a8f5e179c494cf6b2" TargetMode="External"/><Relationship Id="rId1895" Type="http://schemas.openxmlformats.org/officeDocument/2006/relationships/hyperlink" Target="https://my.zakupivli.pro/remote/dispatcher/state_purchase_view/58281188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755" Type="http://schemas.openxmlformats.org/officeDocument/2006/relationships/hyperlink" Target="https://zakupivli.pro/gov/tenders/ua-2025-02-06-004155-a/lot-24c427644b5b49478be73c703893dc0d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1962" Type="http://schemas.openxmlformats.org/officeDocument/2006/relationships/hyperlink" Target="https://zakupivli.pro/gov/tenders/ua-2025-04-18-008450-a/lot-e218fb7fa3bb4b34b9c47b7be8f9531c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822" Type="http://schemas.openxmlformats.org/officeDocument/2006/relationships/hyperlink" Target="https://my.zakupivli.pro/remote/dispatcher/state_purchase_view/57640739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084" Type="http://schemas.openxmlformats.org/officeDocument/2006/relationships/hyperlink" Target="https://zakupivli.pro/gov/tenders/ua-2025-06-12-012234-a/lot-0a0fc49b923f404c943dc4e8936e94dc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2151" Type="http://schemas.openxmlformats.org/officeDocument/2006/relationships/hyperlink" Target="https://zakupivli.pro/gov/tenders/ua-2025-07-01-003172-a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2011" Type="http://schemas.openxmlformats.org/officeDocument/2006/relationships/hyperlink" Target="https://my.zakupivli.pro/remote/dispatcher/state_purchase_view/59372454" TargetMode="External"/><Relationship Id="rId2249" Type="http://schemas.openxmlformats.org/officeDocument/2006/relationships/hyperlink" Target="https://my.zakupivli.pro/remote/dispatcher/state_purchase_view/61268850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2109" Type="http://schemas.openxmlformats.org/officeDocument/2006/relationships/hyperlink" Target="https://my.zakupivli.pro/remote/dispatcher/state_purchase_view/60215472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1777" Type="http://schemas.openxmlformats.org/officeDocument/2006/relationships/hyperlink" Target="https://zakupivli.pro/gov/tenders/ua-2025-02-12-008425-a" TargetMode="External"/><Relationship Id="rId1984" Type="http://schemas.openxmlformats.org/officeDocument/2006/relationships/hyperlink" Target="https://zakupivli.pro/gov/tenders/ua-2025-05-06-012412-a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1844" Type="http://schemas.openxmlformats.org/officeDocument/2006/relationships/hyperlink" Target="https://zakupivli.pro/gov/tenders/ua-2025-02-26-008765-a" TargetMode="External"/><Relationship Id="rId1704" Type="http://schemas.openxmlformats.org/officeDocument/2006/relationships/hyperlink" Target="https://my.zakupivli.pro/remote/dispatcher/state_purchase_view/57010056" TargetMode="External"/><Relationship Id="rId285" Type="http://schemas.openxmlformats.org/officeDocument/2006/relationships/hyperlink" Target="https://zakupki.prom.ua/gov/tenders/UA-2023-04-03-010561-a" TargetMode="External"/><Relationship Id="rId1911" Type="http://schemas.openxmlformats.org/officeDocument/2006/relationships/hyperlink" Target="https://zakupivli.pro/gov/tenders/ua-2025-03-27-00382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2173" Type="http://schemas.openxmlformats.org/officeDocument/2006/relationships/hyperlink" Target="https://my.zakupivli.pro/remote/dispatcher/state_purchase_view/60616351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033" Type="http://schemas.openxmlformats.org/officeDocument/2006/relationships/hyperlink" Target="https://my.zakupivli.pro/remote/dispatcher/state_purchase_view/59641745" TargetMode="External"/><Relationship Id="rId2240" Type="http://schemas.openxmlformats.org/officeDocument/2006/relationships/hyperlink" Target="https://zakupivli.pro/gov/tenders/ua-2025-08-07-007040-a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1799" Type="http://schemas.openxmlformats.org/officeDocument/2006/relationships/hyperlink" Target="https://zakupivli.pro/gov/tenders/ua-2025-02-14-010906-a/lot-93e17c31d80c4bed8bbf8cdcf89249b6" TargetMode="External"/><Relationship Id="rId2100" Type="http://schemas.openxmlformats.org/officeDocument/2006/relationships/hyperlink" Target="https://my.zakupivli.pro/remote/dispatcher/state_purchase_view/60168545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659" Type="http://schemas.openxmlformats.org/officeDocument/2006/relationships/hyperlink" Target="https://zakupivli.pro/gov/tenders/ua-2025-01-27-012573-a/lot-c1ffa8a86b97469f9acfff5201e327d4" TargetMode="External"/><Relationship Id="rId1866" Type="http://schemas.openxmlformats.org/officeDocument/2006/relationships/hyperlink" Target="https://my.zakupivli.pro/remote/dispatcher/state_purchase_view/58076884" TargetMode="External"/><Relationship Id="rId1519" Type="http://schemas.openxmlformats.org/officeDocument/2006/relationships/hyperlink" Target="https://my.zakupivli.pro/remote/dispatcher/state_purchase_view/55863477" TargetMode="External"/><Relationship Id="rId1726" Type="http://schemas.openxmlformats.org/officeDocument/2006/relationships/hyperlink" Target="https://my.zakupivli.pro/remote/dispatcher/state_purchase_view/57145030" TargetMode="External"/><Relationship Id="rId1933" Type="http://schemas.openxmlformats.org/officeDocument/2006/relationships/hyperlink" Target="https://zakupivli.pro/gov/tenders/ua-2025-04-07-010912-a" TargetMode="External"/><Relationship Id="rId18" Type="http://schemas.openxmlformats.org/officeDocument/2006/relationships/hyperlink" Target="https://my.zakupki.prom.ua/remote/dispatcher/state_purchase_view/40092155" TargetMode="External"/><Relationship Id="rId2195" Type="http://schemas.openxmlformats.org/officeDocument/2006/relationships/hyperlink" Target="https://my.zakupivli.pro/remote/dispatcher/state_purchase_view/60891328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055" Type="http://schemas.openxmlformats.org/officeDocument/2006/relationships/hyperlink" Target="https://zakupivli.pro/gov/tenders/ua-2025-06-04-003192-a" TargetMode="External"/><Relationship Id="rId2262" Type="http://schemas.openxmlformats.org/officeDocument/2006/relationships/hyperlink" Target="https://zakupivli.pro/gov/tenders/ua-2025-08-18-006435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2122" Type="http://schemas.openxmlformats.org/officeDocument/2006/relationships/hyperlink" Target="https://my.zakupivli.pro/remote/dispatcher/state_purchase_view/60237438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1790" Type="http://schemas.openxmlformats.org/officeDocument/2006/relationships/hyperlink" Target="https://my.zakupivli.pro/remote/dispatcher/state_purchase_view/57453868" TargetMode="External"/><Relationship Id="rId1888" Type="http://schemas.openxmlformats.org/officeDocument/2006/relationships/hyperlink" Target="https://my.zakupivli.pro/remote/dispatcher/state_purchase_view/58221122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650" Type="http://schemas.openxmlformats.org/officeDocument/2006/relationships/hyperlink" Target="https://my.zakupivli.pro/remote/dispatcher/state_purchase_view/56925415" TargetMode="External"/><Relationship Id="rId1748" Type="http://schemas.openxmlformats.org/officeDocument/2006/relationships/hyperlink" Target="https://zakupivli.pro/gov/tenders/ua-2025-02-05-010881-a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955" Type="http://schemas.openxmlformats.org/officeDocument/2006/relationships/hyperlink" Target="https://zakupivli.pro/gov/tenders/ua-2025-04-15-012229-a/lot-6b3747526fcb4336a7a087d1d3302ae7" TargetMode="External"/><Relationship Id="rId1608" Type="http://schemas.openxmlformats.org/officeDocument/2006/relationships/hyperlink" Target="https://my.zakupivli.pro/remote/dispatcher/state_purchase_view/56511166" TargetMode="External"/><Relationship Id="rId1815" Type="http://schemas.openxmlformats.org/officeDocument/2006/relationships/hyperlink" Target="https://my.zakupivli.pro/remote/dispatcher/state_purchase_view/57590825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077" Type="http://schemas.openxmlformats.org/officeDocument/2006/relationships/hyperlink" Target="https://my.zakupivli.pro/remote/dispatcher/state_purchase_view/60062964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2144" Type="http://schemas.openxmlformats.org/officeDocument/2006/relationships/hyperlink" Target="https://zakupivli.pro/gov/tenders/ua-2025-06-24-000119-a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2004" Type="http://schemas.openxmlformats.org/officeDocument/2006/relationships/hyperlink" Target="https://zakupivli.pro/gov/tenders/ua-2025-05-09-011607-a" TargetMode="External"/><Relationship Id="rId2211" Type="http://schemas.openxmlformats.org/officeDocument/2006/relationships/hyperlink" Target="https://zakupivli.pro/gov/tenders/ua-2025-07-29-008026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672" Type="http://schemas.openxmlformats.org/officeDocument/2006/relationships/hyperlink" Target="https://zakupivli.pro/gov/tenders/ua-2025-01-27-014006-a/lot-c9f5e8c54e174ee9b5281df26e296368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1977" Type="http://schemas.openxmlformats.org/officeDocument/2006/relationships/hyperlink" Target="https://my.zakupivli.pro/remote/dispatcher/state_purchase_view/59211123" TargetMode="External"/><Relationship Id="rId902" Type="http://schemas.openxmlformats.org/officeDocument/2006/relationships/hyperlink" Target="https://my.zakupivli.pro/remote/dispatcher/state_purchase_view/49571405" TargetMode="External"/><Relationship Id="rId1837" Type="http://schemas.openxmlformats.org/officeDocument/2006/relationships/hyperlink" Target="https://my.zakupivli.pro/remote/dispatcher/state_purchase_view/57734768" TargetMode="External"/><Relationship Id="rId31" Type="http://schemas.openxmlformats.org/officeDocument/2006/relationships/hyperlink" Target="https://my.zakupki.prom.ua/remote/dispatcher/state_purchase_view/41576956" TargetMode="External"/><Relationship Id="rId2099" Type="http://schemas.openxmlformats.org/officeDocument/2006/relationships/hyperlink" Target="https://my.zakupivli.pro/remote/dispatcher/state_purchase_view/60193024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1904" Type="http://schemas.openxmlformats.org/officeDocument/2006/relationships/hyperlink" Target="https://my.zakupivli.pro/remote/dispatcher/state_purchase_view/5838343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2166" Type="http://schemas.openxmlformats.org/officeDocument/2006/relationships/hyperlink" Target="https://zakupivli.pro/gov/tenders/ua-2025-07-04-008474-a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26" Type="http://schemas.openxmlformats.org/officeDocument/2006/relationships/hyperlink" Target="https://zakupivli.pro/gov/tenders/ua-2025-05-20-009372-a/lot-a2407ef306b440eb8a6028369464803b" TargetMode="External"/><Relationship Id="rId2233" Type="http://schemas.openxmlformats.org/officeDocument/2006/relationships/hyperlink" Target="https://zakupivli.pro/gov/tenders/ua-2025-08-06-006805-a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1694" Type="http://schemas.openxmlformats.org/officeDocument/2006/relationships/hyperlink" Target="https://my.zakupivli.pro/remote/dispatcher/state_purchase_view/56991092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1761" Type="http://schemas.openxmlformats.org/officeDocument/2006/relationships/hyperlink" Target="https://zakupivli.pro/gov/tenders/ua-2025-02-07-001208-a" TargetMode="External"/><Relationship Id="rId1999" Type="http://schemas.openxmlformats.org/officeDocument/2006/relationships/hyperlink" Target="https://zakupivli.pro/gov/tenders/ua-2025-05-08-001478-a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1859" Type="http://schemas.openxmlformats.org/officeDocument/2006/relationships/hyperlink" Target="https://zakupivli.pro/gov/tenders/ua-2025-03-05-002451-a" TargetMode="External"/><Relationship Id="rId1719" Type="http://schemas.openxmlformats.org/officeDocument/2006/relationships/hyperlink" Target="https://zakupivli.pro/gov/tenders/ua-2025-01-31-008018-a" TargetMode="External"/><Relationship Id="rId1926" Type="http://schemas.openxmlformats.org/officeDocument/2006/relationships/hyperlink" Target="https://my.zakupivli.pro/remote/dispatcher/state_purchase_view/58599183" TargetMode="External"/><Relationship Id="rId2090" Type="http://schemas.openxmlformats.org/officeDocument/2006/relationships/hyperlink" Target="https://zakupivli.pro/gov/tenders/ua-2025-06-12-008425-a" TargetMode="External"/><Relationship Id="rId2188" Type="http://schemas.openxmlformats.org/officeDocument/2006/relationships/hyperlink" Target="https://zakupivli.pro/gov/tenders/ua-2025-07-22-007428-a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048" Type="http://schemas.openxmlformats.org/officeDocument/2006/relationships/hyperlink" Target="https://zakupivli.pro/gov/tenders/ua-2025-05-30-000908-a" TargetMode="External"/><Relationship Id="rId2255" Type="http://schemas.openxmlformats.org/officeDocument/2006/relationships/hyperlink" Target="https://zakupivli.pro/gov/tenders/ua-2025-08-14-009960-a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2115" Type="http://schemas.openxmlformats.org/officeDocument/2006/relationships/hyperlink" Target="https://zakupivli.pro/gov/tenders/ua-2025-06-19-007061-a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1783" Type="http://schemas.openxmlformats.org/officeDocument/2006/relationships/hyperlink" Target="https://my.zakupivli.pro/remote/dispatcher/state_purchase_view/57435375" TargetMode="External"/><Relationship Id="rId1990" Type="http://schemas.openxmlformats.org/officeDocument/2006/relationships/hyperlink" Target="https://zakupivli.pro/gov/tenders/ua-2025-05-06-009789-a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643" Type="http://schemas.openxmlformats.org/officeDocument/2006/relationships/hyperlink" Target="https://my.zakupivli.pro/remote/dispatcher/state_purchase_view/56797832" TargetMode="External"/><Relationship Id="rId1850" Type="http://schemas.openxmlformats.org/officeDocument/2006/relationships/hyperlink" Target="https://my.zakupivli.pro/remote/dispatcher/state_purchase_view/57827963" TargetMode="External"/><Relationship Id="rId1503" Type="http://schemas.openxmlformats.org/officeDocument/2006/relationships/hyperlink" Target="https://my.zakupivli.pro/remote/dispatcher/state_purchase_view/55454423" TargetMode="External"/><Relationship Id="rId1710" Type="http://schemas.openxmlformats.org/officeDocument/2006/relationships/hyperlink" Target="https://zakupivli.pro/gov/tenders/ua-2025-01-30-008146-a/lot-619468b0d6ca413494bc08d5599e3b3c" TargetMode="External"/><Relationship Id="rId1948" Type="http://schemas.openxmlformats.org/officeDocument/2006/relationships/hyperlink" Target="https://zakupivli.pro/gov/tenders/ua-2025-04-10-002695-a/lot-b3f191b3dc114ff1aa834120dc268e21" TargetMode="External"/><Relationship Id="rId291" Type="http://schemas.openxmlformats.org/officeDocument/2006/relationships/hyperlink" Target="https://zakupki.prom.ua/gov/tenders/UA-2023-04-04-000680-a" TargetMode="External"/><Relationship Id="rId1808" Type="http://schemas.openxmlformats.org/officeDocument/2006/relationships/hyperlink" Target="https://zakupivli.pro/gov/tenders/ua-2025-02-18-000134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2137" Type="http://schemas.openxmlformats.org/officeDocument/2006/relationships/hyperlink" Target="https://my.zakupivli.pro/remote/dispatcher/state_purchase_view/60293316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2204" Type="http://schemas.openxmlformats.org/officeDocument/2006/relationships/hyperlink" Target="https://zakupivli.pro/gov/tenders/ua-2025-07-28-009575-a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665" Type="http://schemas.openxmlformats.org/officeDocument/2006/relationships/hyperlink" Target="https://zakupivli.pro/gov/tenders/ua-2025-01-27-013156-a/lot-334269c96a704ae083d20b7c3fb063e2" TargetMode="External"/><Relationship Id="rId1872" Type="http://schemas.openxmlformats.org/officeDocument/2006/relationships/hyperlink" Target="https://zakupivli.pro/gov/tenders/ua-2025-03-13-007768-a/lot-718bb28a98ec44afa8afcda3a1ae6132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1732" Type="http://schemas.openxmlformats.org/officeDocument/2006/relationships/hyperlink" Target="https://zakupivli.pro/gov/tenders/ua-2025-02-03-010811-a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061" Type="http://schemas.openxmlformats.org/officeDocument/2006/relationships/hyperlink" Target="https://my.zakupivli.pro/remote/dispatcher/state_purchase_view/59899840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2159" Type="http://schemas.openxmlformats.org/officeDocument/2006/relationships/hyperlink" Target="https://zakupivli.pro/gov/tenders/ua-2025-07-04-006460-a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2019" Type="http://schemas.openxmlformats.org/officeDocument/2006/relationships/hyperlink" Target="https://zakupivli.pro/gov/tenders/ua-2025-05-16-000256-a" TargetMode="External"/><Relationship Id="rId2226" Type="http://schemas.openxmlformats.org/officeDocument/2006/relationships/hyperlink" Target="https://zakupivli.pro/gov/tenders/ua-2025-08-01-005922-a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1687" Type="http://schemas.openxmlformats.org/officeDocument/2006/relationships/hyperlink" Target="https://my.zakupivli.pro/remote/dispatcher/state_purchase_view/56948698" TargetMode="External"/><Relationship Id="rId1894" Type="http://schemas.openxmlformats.org/officeDocument/2006/relationships/hyperlink" Target="https://my.zakupivli.pro/remote/dispatcher/state_purchase_view/58282171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1754" Type="http://schemas.openxmlformats.org/officeDocument/2006/relationships/hyperlink" Target="https://my.zakupivli.pro/remote/dispatcher/state_purchase_view/57248238" TargetMode="External"/><Relationship Id="rId1961" Type="http://schemas.openxmlformats.org/officeDocument/2006/relationships/hyperlink" Target="https://my.zakupivli.pro/remote/dispatcher/state_purchase_view/58876022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821" Type="http://schemas.openxmlformats.org/officeDocument/2006/relationships/hyperlink" Target="https://zakupivli.pro/gov/tenders/ua-2025-02-20-001195-a/lot-0d3368cde5af4256b3fb8ca0e6a2fd32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1919" Type="http://schemas.openxmlformats.org/officeDocument/2006/relationships/hyperlink" Target="https://zakupivli.pro/gov/tenders/ua-2025-04-03-005470-a" TargetMode="External"/><Relationship Id="rId2083" Type="http://schemas.openxmlformats.org/officeDocument/2006/relationships/hyperlink" Target="https://my.zakupivli.pro/remote/dispatcher/state_purchase_view/60044037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2150" Type="http://schemas.openxmlformats.org/officeDocument/2006/relationships/hyperlink" Target="https://zakupivli.pro/gov/tenders/ua-2025-06-25-007384-a" TargetMode="External"/><Relationship Id="rId2248" Type="http://schemas.openxmlformats.org/officeDocument/2006/relationships/hyperlink" Target="https://my.zakupivli.pro/remote/dispatcher/state_purchase_view/61268878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2010" Type="http://schemas.openxmlformats.org/officeDocument/2006/relationships/hyperlink" Target="https://zakupivli.pro/gov/tenders/ua-2025-05-12-008899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2108" Type="http://schemas.openxmlformats.org/officeDocument/2006/relationships/hyperlink" Target="https://my.zakupivli.pro/remote/dispatcher/state_purchase_view/60215677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1776" Type="http://schemas.openxmlformats.org/officeDocument/2006/relationships/hyperlink" Target="https://zakupivli.pro/gov/tenders/ua-2025-02-11-012151-a/lot-1f4d63afd42e4d30a8010bebe549fcab" TargetMode="External"/><Relationship Id="rId1983" Type="http://schemas.openxmlformats.org/officeDocument/2006/relationships/hyperlink" Target="https://my.zakupivli.pro/remote/dispatcher/state_purchase_view/59203411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1843" Type="http://schemas.openxmlformats.org/officeDocument/2006/relationships/hyperlink" Target="https://zakupivli.pro/gov/tenders/ua-2025-02-26-009008-a" TargetMode="External"/><Relationship Id="rId1703" Type="http://schemas.openxmlformats.org/officeDocument/2006/relationships/hyperlink" Target="https://my.zakupivli.pro/remote/dispatcher/state_purchase_view/57062513" TargetMode="External"/><Relationship Id="rId1910" Type="http://schemas.openxmlformats.org/officeDocument/2006/relationships/hyperlink" Target="https://zakupivli.pro/gov/tenders/ua-2025-03-27-007442-a/lot-cf460c0176b34ffb81814b741250f1bb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2172" Type="http://schemas.openxmlformats.org/officeDocument/2006/relationships/hyperlink" Target="https://zakupivli.pro/gov/tenders/ua-2025-07-09-000174-a/lot-449d5256fc8f43a6a12357b015f502c2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032" Type="http://schemas.openxmlformats.org/officeDocument/2006/relationships/hyperlink" Target="https://zakupivli.pro/gov/tenders/ua-2025-05-22-003797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1798" Type="http://schemas.openxmlformats.org/officeDocument/2006/relationships/hyperlink" Target="https://my.zakupivli.pro/remote/dispatcher/state_purchase_view/57469944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658" Type="http://schemas.openxmlformats.org/officeDocument/2006/relationships/hyperlink" Target="https://my.zakupivli.pro/remote/dispatcher/state_purchase_view/56940479" TargetMode="External"/><Relationship Id="rId1865" Type="http://schemas.openxmlformats.org/officeDocument/2006/relationships/hyperlink" Target="https://zakupivli.pro/gov/tenders/ua-2025-03-10-004948-a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25" Type="http://schemas.openxmlformats.org/officeDocument/2006/relationships/hyperlink" Target="https://zakupivli.pro/gov/tenders/ua-2025-01-31-000377-a/lot-634ee94893dc45c28c4e9ce2ec0e4acb" TargetMode="External"/><Relationship Id="rId1932" Type="http://schemas.openxmlformats.org/officeDocument/2006/relationships/hyperlink" Target="https://zakupivli.pro/gov/tenders/ua-2025-04-07-011056-a" TargetMode="External"/><Relationship Id="rId17" Type="http://schemas.openxmlformats.org/officeDocument/2006/relationships/hyperlink" Target="https://my.zakupki.prom.ua/remote/dispatcher/state_purchase_view/39730352" TargetMode="External"/><Relationship Id="rId2194" Type="http://schemas.openxmlformats.org/officeDocument/2006/relationships/hyperlink" Target="https://my.zakupivli.pro/remote/dispatcher/state_purchase_view/60904007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2054" Type="http://schemas.openxmlformats.org/officeDocument/2006/relationships/hyperlink" Target="https://zakupivli.pro/gov/tenders/ua-2025-06-03-009568-a" TargetMode="External"/><Relationship Id="rId2261" Type="http://schemas.openxmlformats.org/officeDocument/2006/relationships/hyperlink" Target="https://my.zakupivli.pro/remote/dispatcher/state_purchase_view/61345643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2121" Type="http://schemas.openxmlformats.org/officeDocument/2006/relationships/hyperlink" Target="https://my.zakupivli.pro/remote/dispatcher/state_purchase_view/60237708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2219" Type="http://schemas.openxmlformats.org/officeDocument/2006/relationships/hyperlink" Target="https://zakupivli.pro/gov/tenders/ua-2025-07-30-009195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887" Type="http://schemas.openxmlformats.org/officeDocument/2006/relationships/hyperlink" Target="https://zakupivli.pro/gov/tenders/ua-2025-03-19-007714-a/lot-8c517341ff314607bccbe31b72bfd47b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1747" Type="http://schemas.openxmlformats.org/officeDocument/2006/relationships/hyperlink" Target="https://zakupivli.pro/gov/tenders/ua-2025-02-05-014871-a" TargetMode="External"/><Relationship Id="rId1954" Type="http://schemas.openxmlformats.org/officeDocument/2006/relationships/hyperlink" Target="https://zakupivli.pro/gov/tenders/ua-2025-04-15-012874-a/lot-037bfe7693d2404097b959e850de27f4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14" Type="http://schemas.openxmlformats.org/officeDocument/2006/relationships/hyperlink" Target="https://my.zakupivli.pro/remote/dispatcher/state_purchase_view/57593579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076" Type="http://schemas.openxmlformats.org/officeDocument/2006/relationships/hyperlink" Target="https://my.zakupivli.pro/remote/dispatcher/state_purchase_view/60063461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2143" Type="http://schemas.openxmlformats.org/officeDocument/2006/relationships/hyperlink" Target="https://zakupivli.pro/gov/tenders/ua-2025-06-24-000229-a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2003" Type="http://schemas.openxmlformats.org/officeDocument/2006/relationships/hyperlink" Target="https://my.zakupivli.pro/remote/dispatcher/state_purchase_view/59328070" TargetMode="External"/><Relationship Id="rId2210" Type="http://schemas.openxmlformats.org/officeDocument/2006/relationships/hyperlink" Target="https://my.zakupivli.pro/remote/dispatcher/state_purchase_view/60969813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1671" Type="http://schemas.openxmlformats.org/officeDocument/2006/relationships/hyperlink" Target="https://my.zakupivli.pro/remote/dispatcher/state_purchase_view/56944415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1769" Type="http://schemas.openxmlformats.org/officeDocument/2006/relationships/hyperlink" Target="https://my.zakupivli.pro/remote/dispatcher/state_purchase_view/57380194" TargetMode="External"/><Relationship Id="rId1976" Type="http://schemas.openxmlformats.org/officeDocument/2006/relationships/hyperlink" Target="https://my.zakupivli.pro/remote/dispatcher/state_purchase_view/59213415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1836" Type="http://schemas.openxmlformats.org/officeDocument/2006/relationships/hyperlink" Target="https://my.zakupivli.pro/remote/dispatcher/state_purchase_view/57738530" TargetMode="External"/><Relationship Id="rId1903" Type="http://schemas.openxmlformats.org/officeDocument/2006/relationships/hyperlink" Target="https://my.zakupivli.pro/remote/dispatcher/state_purchase_view/58391456" TargetMode="External"/><Relationship Id="rId2098" Type="http://schemas.openxmlformats.org/officeDocument/2006/relationships/hyperlink" Target="https://my.zakupivli.pro/remote/dispatcher/state_purchase_view/60193349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2165" Type="http://schemas.openxmlformats.org/officeDocument/2006/relationships/hyperlink" Target="https://my.zakupivli.pro/remote/dispatcher/state_purchase_view/60539705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2025" Type="http://schemas.openxmlformats.org/officeDocument/2006/relationships/hyperlink" Target="https://my.zakupivli.pro/remote/dispatcher/state_purchase_view/59525958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232" Type="http://schemas.openxmlformats.org/officeDocument/2006/relationships/hyperlink" Target="https://zakupivli.pro/gov/tenders/ua-2025-08-06-006869-a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1693" Type="http://schemas.openxmlformats.org/officeDocument/2006/relationships/hyperlink" Target="https://zakupivli.pro/gov/tenders/ua-2025-01-27-016390-a/lot-bce7f642a8d543b19c64fef566732ced" TargetMode="External"/><Relationship Id="rId1998" Type="http://schemas.openxmlformats.org/officeDocument/2006/relationships/hyperlink" Target="https://my.zakupivli.pro/remote/dispatcher/state_purchase_view/59271695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1760" Type="http://schemas.openxmlformats.org/officeDocument/2006/relationships/hyperlink" Target="https://zakupivli.pro/gov/tenders/ua-2025-02-07-007901-a" TargetMode="External"/><Relationship Id="rId1858" Type="http://schemas.openxmlformats.org/officeDocument/2006/relationships/hyperlink" Target="https://zakupivli.pro/gov/tenders/ua-2025-03-05-003221-a/lot-7ac74d20a64546aa9c2f00b03b7918b9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1718" Type="http://schemas.openxmlformats.org/officeDocument/2006/relationships/hyperlink" Target="https://my.zakupivli.pro/remote/dispatcher/state_purchase_view/57084914" TargetMode="External"/><Relationship Id="rId1925" Type="http://schemas.openxmlformats.org/officeDocument/2006/relationships/hyperlink" Target="https://my.zakupivli.pro/remote/dispatcher/state_purchase_view/58599401" TargetMode="External"/><Relationship Id="rId299" Type="http://schemas.openxmlformats.org/officeDocument/2006/relationships/hyperlink" Target="https://my.zakupki.prom.ua/remote/dispatcher/state_purchase_view/41781166" TargetMode="External"/><Relationship Id="rId2187" Type="http://schemas.openxmlformats.org/officeDocument/2006/relationships/hyperlink" Target="https://my.zakupivli.pro/remote/dispatcher/state_purchase_view/60852937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047" Type="http://schemas.openxmlformats.org/officeDocument/2006/relationships/hyperlink" Target="https://zakupivli.pro/gov/tenders/ua-2025-05-30-006154-a" TargetMode="External"/><Relationship Id="rId2254" Type="http://schemas.openxmlformats.org/officeDocument/2006/relationships/hyperlink" Target="https://my.zakupivli.pro/remote/dispatcher/state_purchase_view/61285293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2114" Type="http://schemas.openxmlformats.org/officeDocument/2006/relationships/hyperlink" Target="https://zakupivli.pro/gov/tenders/ua-2025-06-19-007122-a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1782" Type="http://schemas.openxmlformats.org/officeDocument/2006/relationships/hyperlink" Target="https://my.zakupivli.pro/remote/dispatcher/state_purchase_view/57441860" TargetMode="External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hyperlink" Target="https://my.zakupivli.pro/remote/dispatcher/state_purchase_view/56811498" TargetMode="External"/><Relationship Id="rId1947" Type="http://schemas.openxmlformats.org/officeDocument/2006/relationships/hyperlink" Target="https://my.zakupivli.pro/remote/dispatcher/state_purchase_view/58679096" TargetMode="External"/><Relationship Id="rId1502" Type="http://schemas.openxmlformats.org/officeDocument/2006/relationships/hyperlink" Target="https://my.zakupivli.pro/remote/dispatcher/state_purchase_view/55492800" TargetMode="External"/><Relationship Id="rId1807" Type="http://schemas.openxmlformats.org/officeDocument/2006/relationships/hyperlink" Target="https://my.zakupivli.pro/remote/dispatcher/state_purchase_view/57524423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2069" Type="http://schemas.openxmlformats.org/officeDocument/2006/relationships/hyperlink" Target="https://zakupivli.pro/gov/tenders/ua-2025-06-06-006809-a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2136" Type="http://schemas.openxmlformats.org/officeDocument/2006/relationships/hyperlink" Target="https://my.zakupivli.pro/remote/dispatcher/state_purchase_view/60293760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2203" Type="http://schemas.openxmlformats.org/officeDocument/2006/relationships/hyperlink" Target="https://my.zakupivli.pro/remote/dispatcher/state_purchase_view/60961667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664" Type="http://schemas.openxmlformats.org/officeDocument/2006/relationships/hyperlink" Target="https://zakupivli.pro/gov/tenders/ua-2025-01-27-013389-a/lot-24b32a68a0114d39b27e6c59ff10b19f" TargetMode="External"/><Relationship Id="rId1871" Type="http://schemas.openxmlformats.org/officeDocument/2006/relationships/hyperlink" Target="https://zakupivli.pro/gov/tenders/ua-2025-03-13-009703-a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1731" Type="http://schemas.openxmlformats.org/officeDocument/2006/relationships/hyperlink" Target="https://my.zakupivli.pro/remote/dispatcher/state_purchase_view/57121076" TargetMode="External"/><Relationship Id="rId1969" Type="http://schemas.openxmlformats.org/officeDocument/2006/relationships/hyperlink" Target="https://zakupivli.pro/gov/tenders/ua-2025-04-30-002643-a" TargetMode="External"/><Relationship Id="rId23" Type="http://schemas.openxmlformats.org/officeDocument/2006/relationships/hyperlink" Target="https://zakupki.prom.ua/gov/tenders/UA-2023-01-17-001173-a" TargetMode="External"/><Relationship Id="rId1829" Type="http://schemas.openxmlformats.org/officeDocument/2006/relationships/hyperlink" Target="https://zakupivli.pro/gov/tenders/ua-2025-02-21-001736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2060" Type="http://schemas.openxmlformats.org/officeDocument/2006/relationships/hyperlink" Target="https://my.zakupivli.pro/remote/dispatcher/state_purchase_view/59900219" TargetMode="External"/><Relationship Id="rId2158" Type="http://schemas.openxmlformats.org/officeDocument/2006/relationships/hyperlink" Target="https://my.zakupivli.pro/remote/dispatcher/state_purchase_view/60534949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2018" Type="http://schemas.openxmlformats.org/officeDocument/2006/relationships/hyperlink" Target="https://zakupivli.pro/gov/tenders/ua-2025-05-16-000275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686" Type="http://schemas.openxmlformats.org/officeDocument/2006/relationships/hyperlink" Target="https://my.zakupivli.pro/remote/dispatcher/state_purchase_view/56948967" TargetMode="External"/><Relationship Id="rId2225" Type="http://schemas.openxmlformats.org/officeDocument/2006/relationships/hyperlink" Target="https://zakupivli.pro/gov/tenders/ua-2025-08-01-006413-a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1893" Type="http://schemas.openxmlformats.org/officeDocument/2006/relationships/hyperlink" Target="https://my.zakupivli.pro/remote/dispatcher/state_purchase_view/58282446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1753" Type="http://schemas.openxmlformats.org/officeDocument/2006/relationships/hyperlink" Target="https://zakupivli.pro/gov/tenders/ua-2025-02-05-002451-a/lot-cdef295c5eb14b61baed22f44fad4796" TargetMode="External"/><Relationship Id="rId1960" Type="http://schemas.openxmlformats.org/officeDocument/2006/relationships/hyperlink" Target="https://zakupivli.pro/gov/tenders/ua-2025-04-17-010179-a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820" Type="http://schemas.openxmlformats.org/officeDocument/2006/relationships/hyperlink" Target="https://zakupivli.pro/gov/tenders/ua-2025-02-20-002410-a/lot-30d758f496b443a298ed49fde3b279b3" TargetMode="External"/><Relationship Id="rId194" Type="http://schemas.openxmlformats.org/officeDocument/2006/relationships/hyperlink" Target="https://zakupki.prom.ua/gov/tenders/UA-2023-03-20-006270-a" TargetMode="External"/><Relationship Id="rId1918" Type="http://schemas.openxmlformats.org/officeDocument/2006/relationships/hyperlink" Target="https://my.zakupivli.pro/remote/dispatcher/state_purchase_view/58476155" TargetMode="External"/><Relationship Id="rId2082" Type="http://schemas.openxmlformats.org/officeDocument/2006/relationships/hyperlink" Target="https://my.zakupivli.pro/remote/dispatcher/state_purchase_view/60044361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2247" Type="http://schemas.openxmlformats.org/officeDocument/2006/relationships/hyperlink" Target="https://my.zakupivli.pro/remote/dispatcher/state_purchase_view/61271746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2107" Type="http://schemas.openxmlformats.org/officeDocument/2006/relationships/hyperlink" Target="https://my.zakupivli.pro/remote/dispatcher/state_purchase_view/60215788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1775" Type="http://schemas.openxmlformats.org/officeDocument/2006/relationships/hyperlink" Target="https://zakupivli.pro/gov/tenders/ua-2025-02-11-014703-a/lot-ba32cb5fde3b4a99a211f91c31c3949e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Relationship Id="rId1982" Type="http://schemas.openxmlformats.org/officeDocument/2006/relationships/hyperlink" Target="https://my.zakupivli.pro/remote/dispatcher/state_purchase_view/59204270" TargetMode="External"/><Relationship Id="rId1842" Type="http://schemas.openxmlformats.org/officeDocument/2006/relationships/hyperlink" Target="https://zakupivli.pro/gov/tenders/ua-2025-02-26-010814-a" TargetMode="External"/><Relationship Id="rId1702" Type="http://schemas.openxmlformats.org/officeDocument/2006/relationships/hyperlink" Target="https://my.zakupivli.pro/remote/dispatcher/state_purchase_view/57062513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2171" Type="http://schemas.openxmlformats.org/officeDocument/2006/relationships/hyperlink" Target="https://zakupivli.pro/gov/tenders/ua-2025-07-09-000191-a/lot-51b0a06de7194763a783cd2b89d2328b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2031" Type="http://schemas.openxmlformats.org/officeDocument/2006/relationships/hyperlink" Target="https://my.zakupivli.pro/remote/dispatcher/state_purchase_view/59596873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2129" Type="http://schemas.openxmlformats.org/officeDocument/2006/relationships/hyperlink" Target="https://my.zakupivli.pro/remote/dispatcher/state_purchase_view/60270749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1797" Type="http://schemas.openxmlformats.org/officeDocument/2006/relationships/hyperlink" Target="https://my.zakupivli.pro/remote/dispatcher/state_purchase_view/57475723" TargetMode="External"/><Relationship Id="rId89" Type="http://schemas.openxmlformats.org/officeDocument/2006/relationships/hyperlink" Target="https://my.zakupki.prom.ua/remote/dispatcher/state_purchase_view/41196363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1657" Type="http://schemas.openxmlformats.org/officeDocument/2006/relationships/hyperlink" Target="https://my.zakupivli.pro/remote/dispatcher/state_purchase_view/56941334" TargetMode="External"/><Relationship Id="rId1864" Type="http://schemas.openxmlformats.org/officeDocument/2006/relationships/hyperlink" Target="https://my.zakupivli.pro/remote/dispatcher/state_purchase_view/57971178" TargetMode="External"/><Relationship Id="rId1517" Type="http://schemas.openxmlformats.org/officeDocument/2006/relationships/hyperlink" Target="https://zakupivli.pro/gov/tenders/ua-2024-12-16-012032-a" TargetMode="External"/><Relationship Id="rId1724" Type="http://schemas.openxmlformats.org/officeDocument/2006/relationships/hyperlink" Target="https://zakupivli.pro/gov/tenders/ua-2025-01-31-000377-a/lot-3f4121e2ea834d82a18b9dc6570e8d81" TargetMode="External"/><Relationship Id="rId16" Type="http://schemas.openxmlformats.org/officeDocument/2006/relationships/hyperlink" Target="https://zakupki.prom.ua/gov/tenders/UA-2022-12-26-003873-a" TargetMode="External"/><Relationship Id="rId1931" Type="http://schemas.openxmlformats.org/officeDocument/2006/relationships/hyperlink" Target="https://zakupivli.pro/gov/tenders/ua-2025-04-07-011210-a" TargetMode="External"/><Relationship Id="rId2193" Type="http://schemas.openxmlformats.org/officeDocument/2006/relationships/hyperlink" Target="https://my.zakupivli.pro/remote/dispatcher/state_purchase_view/60904191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2053" Type="http://schemas.openxmlformats.org/officeDocument/2006/relationships/hyperlink" Target="https://zakupivli.pro/gov/tenders/ua-2025-06-03-009863-a" TargetMode="External"/><Relationship Id="rId2260" Type="http://schemas.openxmlformats.org/officeDocument/2006/relationships/hyperlink" Target="https://my.zakupivli.pro/remote/dispatcher/state_purchase_view/61348521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2120" Type="http://schemas.openxmlformats.org/officeDocument/2006/relationships/hyperlink" Target="https://my.zakupivli.pro/remote/dispatcher/state_purchase_view/60237997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1679" Type="http://schemas.openxmlformats.org/officeDocument/2006/relationships/hyperlink" Target="https://my.zakupivli.pro/remote/dispatcher/state_purchase_view/56946120" TargetMode="External"/><Relationship Id="rId2218" Type="http://schemas.openxmlformats.org/officeDocument/2006/relationships/hyperlink" Target="https://zakupivli.pro/gov/tenders/ua-2025-07-30-009282-a" TargetMode="External"/><Relationship Id="rId80" Type="http://schemas.openxmlformats.org/officeDocument/2006/relationships/hyperlink" Target="https://my.zakupki.prom.ua/remote/dispatcher/state_purchase_view/41328762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1886" Type="http://schemas.openxmlformats.org/officeDocument/2006/relationships/hyperlink" Target="https://zakupivli.pro/gov/tenders/ua-2025-03-19-012800-a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1746" Type="http://schemas.openxmlformats.org/officeDocument/2006/relationships/hyperlink" Target="https://my.zakupivli.pro/remote/dispatcher/state_purchase_view/57204593" TargetMode="External"/><Relationship Id="rId1953" Type="http://schemas.openxmlformats.org/officeDocument/2006/relationships/hyperlink" Target="https://my.zakupivli.pro/remote/dispatcher/state_purchase_view/58774811" TargetMode="External"/><Relationship Id="rId38" Type="http://schemas.openxmlformats.org/officeDocument/2006/relationships/hyperlink" Target="https://my.zakupki.prom.ua/remote/dispatcher/state_purchase_view/41520613" TargetMode="External"/><Relationship Id="rId1606" Type="http://schemas.openxmlformats.org/officeDocument/2006/relationships/hyperlink" Target="https://my.zakupivli.pro/remote/dispatcher/state_purchase_view/56516163" TargetMode="External"/><Relationship Id="rId1813" Type="http://schemas.openxmlformats.org/officeDocument/2006/relationships/hyperlink" Target="https://my.zakupivli.pro/remote/dispatcher/state_purchase_view/57593579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2075" Type="http://schemas.openxmlformats.org/officeDocument/2006/relationships/hyperlink" Target="https://my.zakupivli.pro/remote/dispatcher/state_purchase_view/60064231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2142" Type="http://schemas.openxmlformats.org/officeDocument/2006/relationships/hyperlink" Target="https://zakupivli.pro/gov/tenders/ua-2025-06-24-000275-a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2002" Type="http://schemas.openxmlformats.org/officeDocument/2006/relationships/hyperlink" Target="https://zakupivli.pro/gov/tenders/ua-2025-05-08-001145-a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1670" Type="http://schemas.openxmlformats.org/officeDocument/2006/relationships/hyperlink" Target="https://my.zakupivli.pro/remote/dispatcher/state_purchase_view/56944556" TargetMode="External"/><Relationship Id="rId1768" Type="http://schemas.openxmlformats.org/officeDocument/2006/relationships/hyperlink" Target="https://my.zakupivli.pro/remote/dispatcher/state_purchase_view/57385694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1975" Type="http://schemas.openxmlformats.org/officeDocument/2006/relationships/hyperlink" Target="https://my.zakupivli.pro/remote/dispatcher/state_purchase_view/59214035" TargetMode="External"/><Relationship Id="rId1835" Type="http://schemas.openxmlformats.org/officeDocument/2006/relationships/hyperlink" Target="https://my.zakupivli.pro/remote/dispatcher/state_purchase_view/57739836" TargetMode="External"/><Relationship Id="rId1902" Type="http://schemas.openxmlformats.org/officeDocument/2006/relationships/hyperlink" Target="https://my.zakupivli.pro/remote/dispatcher/state_purchase_view/58402308" TargetMode="External"/><Relationship Id="rId2097" Type="http://schemas.openxmlformats.org/officeDocument/2006/relationships/hyperlink" Target="https://my.zakupivli.pro/remote/dispatcher/state_purchase_view/60193887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2164" Type="http://schemas.openxmlformats.org/officeDocument/2006/relationships/hyperlink" Target="https://my.zakupivli.pro/remote/dispatcher/state_purchase_view/60539749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24" Type="http://schemas.openxmlformats.org/officeDocument/2006/relationships/hyperlink" Target="https://my.zakupivli.pro/remote/dispatcher/state_purchase_view/59526001" TargetMode="External"/><Relationship Id="rId2231" Type="http://schemas.openxmlformats.org/officeDocument/2006/relationships/hyperlink" Target="https://my.zakupivli.pro/remote/dispatcher/state_purchase_view/61122012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1692" Type="http://schemas.openxmlformats.org/officeDocument/2006/relationships/hyperlink" Target="https://zakupivli.pro/gov/tenders/ua-2025-01-27-016823-a/lot-fb9afbcaff604148b3fa33c37f2fbf5c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997" Type="http://schemas.openxmlformats.org/officeDocument/2006/relationships/hyperlink" Target="https://my.zakupivli.pro/remote/dispatcher/state_purchase_view/59271749" TargetMode="External"/><Relationship Id="rId1205" Type="http://schemas.openxmlformats.org/officeDocument/2006/relationships/hyperlink" Target="https://zakupivli.pro/gov/tenders/UA-2024-07-15-004574-a" TargetMode="External"/><Relationship Id="rId1857" Type="http://schemas.openxmlformats.org/officeDocument/2006/relationships/hyperlink" Target="https://my.zakupivli.pro/remote/dispatcher/state_purchase_view/57873346" TargetMode="External"/><Relationship Id="rId51" Type="http://schemas.openxmlformats.org/officeDocument/2006/relationships/hyperlink" Target="https://my.zakupki.prom.ua/remote/dispatcher/state_purchase_view/41512826" TargetMode="External"/><Relationship Id="rId1412" Type="http://schemas.openxmlformats.org/officeDocument/2006/relationships/hyperlink" Target="https://my.zakupivli.pro/remote/dispatcher/state_purchase_view/54459170" TargetMode="External"/><Relationship Id="rId1717" Type="http://schemas.openxmlformats.org/officeDocument/2006/relationships/hyperlink" Target="https://my.zakupivli.pro/remote/dispatcher/state_purchase_view/57084914" TargetMode="External"/><Relationship Id="rId1924" Type="http://schemas.openxmlformats.org/officeDocument/2006/relationships/hyperlink" Target="https://my.zakupivli.pro/remote/dispatcher/state_purchase_view/58599837" TargetMode="External"/><Relationship Id="rId298" Type="http://schemas.openxmlformats.org/officeDocument/2006/relationships/hyperlink" Target="https://my.zakupki.prom.ua/remote/dispatcher/state_purchase_view/41781756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2186" Type="http://schemas.openxmlformats.org/officeDocument/2006/relationships/hyperlink" Target="https://my.zakupivli.pro/remote/dispatcher/state_purchase_view/60853219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2046" Type="http://schemas.openxmlformats.org/officeDocument/2006/relationships/hyperlink" Target="https://my.zakupivli.pro/remote/dispatcher/state_purchase_view/59777997" TargetMode="External"/><Relationship Id="rId2253" Type="http://schemas.openxmlformats.org/officeDocument/2006/relationships/hyperlink" Target="https://my.zakupivli.pro/remote/dispatcher/state_purchase_view/61302632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2113" Type="http://schemas.openxmlformats.org/officeDocument/2006/relationships/hyperlink" Target="https://zakupivli.pro/gov/tenders/ua-2025-06-19-007258-a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1781" Type="http://schemas.openxmlformats.org/officeDocument/2006/relationships/hyperlink" Target="https://my.zakupivli.pro/remote/dispatcher/state_purchase_view/57443185" TargetMode="External"/><Relationship Id="rId73" Type="http://schemas.openxmlformats.org/officeDocument/2006/relationships/hyperlink" Target="https://my.zakupki.prom.ua/remote/dispatcher/state_purchase_view/41339013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1879" Type="http://schemas.openxmlformats.org/officeDocument/2006/relationships/hyperlink" Target="https://zakupivli.pro/gov/tenders/ua-2025-03-14-009710-a/lot-be2b52f381b143eea4f55f685adc6a57" TargetMode="External"/><Relationship Id="rId1501" Type="http://schemas.openxmlformats.org/officeDocument/2006/relationships/hyperlink" Target="https://zakupivli.pro/gov/tenders/ua-2024-12-06-012047-a" TargetMode="External"/><Relationship Id="rId1739" Type="http://schemas.openxmlformats.org/officeDocument/2006/relationships/hyperlink" Target="https://zakupivli.pro/gov/tenders/ua-2025-02-04-013387-a/lot-1a391c9ea1fe4992ac4f126a3fe3a103" TargetMode="External"/><Relationship Id="rId1946" Type="http://schemas.openxmlformats.org/officeDocument/2006/relationships/hyperlink" Target="https://zakupivli.pro/gov/tenders/ua-2025-04-09-005554-a" TargetMode="External"/><Relationship Id="rId1806" Type="http://schemas.openxmlformats.org/officeDocument/2006/relationships/hyperlink" Target="https://my.zakupivli.pro/remote/dispatcher/state_purchase_view/57524444" TargetMode="External"/><Relationship Id="rId387" Type="http://schemas.openxmlformats.org/officeDocument/2006/relationships/hyperlink" Target="https://my.zakupki.prom.ua/remote/dispatcher/state_purchase_view/44236786" TargetMode="External"/><Relationship Id="rId594" Type="http://schemas.openxmlformats.org/officeDocument/2006/relationships/hyperlink" Target="https://zakupivli.pro/gov/tenders/UA-2024-01-12-009909-a" TargetMode="External"/><Relationship Id="rId2068" Type="http://schemas.openxmlformats.org/officeDocument/2006/relationships/hyperlink" Target="https://my.zakupivli.pro/remote/dispatcher/state_purchase_view/59941599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84" Type="http://schemas.openxmlformats.org/officeDocument/2006/relationships/hyperlink" Target="https://zakupivli.pro/gov/tenders/UA-2024-05-08-001172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96" Type="http://schemas.openxmlformats.org/officeDocument/2006/relationships/hyperlink" Target="https://my.zakupivli.pro/remote/dispatcher/state_purchase_view/56380662" TargetMode="External"/><Relationship Id="rId2135" Type="http://schemas.openxmlformats.org/officeDocument/2006/relationships/hyperlink" Target="https://my.zakupivli.pro/remote/dispatcher/state_purchase_view/60294015" TargetMode="External"/><Relationship Id="rId314" Type="http://schemas.openxmlformats.org/officeDocument/2006/relationships/hyperlink" Target="https://zakupki.prom.ua/gov/tenders/UA-2023-04-05-0041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2202" Type="http://schemas.openxmlformats.org/officeDocument/2006/relationships/hyperlink" Target="https://my.zakupivli.pro/remote/dispatcher/state_purchase_view/60961942" TargetMode="External"/><Relationship Id="rId95" Type="http://schemas.openxmlformats.org/officeDocument/2006/relationships/hyperlink" Target="https://my.zakupki.prom.ua/remote/dispatcher/state_purchase_view/41189548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1663" Type="http://schemas.openxmlformats.org/officeDocument/2006/relationships/hyperlink" Target="https://my.zakupivli.pro/remote/dispatcher/state_purchase_view/56942695" TargetMode="External"/><Relationship Id="rId1870" Type="http://schemas.openxmlformats.org/officeDocument/2006/relationships/hyperlink" Target="https://my.zakupivli.pro/remote/dispatcher/state_purchase_view/58056297" TargetMode="External"/><Relationship Id="rId1968" Type="http://schemas.openxmlformats.org/officeDocument/2006/relationships/hyperlink" Target="https://my.zakupivli.pro/remote/dispatcher/state_purchase_view/59069777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1730" Type="http://schemas.openxmlformats.org/officeDocument/2006/relationships/hyperlink" Target="https://my.zakupivli.pro/remote/dispatcher/state_purchase_view/57122049" TargetMode="External"/><Relationship Id="rId22" Type="http://schemas.openxmlformats.org/officeDocument/2006/relationships/hyperlink" Target="https://zakupki.prom.ua/gov/tenders/UA-2023-01-17-001178-a" TargetMode="External"/><Relationship Id="rId1828" Type="http://schemas.openxmlformats.org/officeDocument/2006/relationships/hyperlink" Target="https://zakupivli.pro/gov/tenders/ua-2025-02-21-001879-a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2157" Type="http://schemas.openxmlformats.org/officeDocument/2006/relationships/hyperlink" Target="https://my.zakupivli.pro/remote/dispatcher/state_purchase_view/60535125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2017" Type="http://schemas.openxmlformats.org/officeDocument/2006/relationships/hyperlink" Target="https://my.zakupivli.pro/remote/dispatcher/state_purchase_view/59464736" TargetMode="External"/><Relationship Id="rId2224" Type="http://schemas.openxmlformats.org/officeDocument/2006/relationships/hyperlink" Target="https://my.zakupivli.pro/remote/dispatcher/state_purchase_view/61049183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1685" Type="http://schemas.openxmlformats.org/officeDocument/2006/relationships/hyperlink" Target="https://zakupivli.pro/gov/tenders/ua-2025-01-27-015561-a/lot-d44bee8237774ce1bacbb4fbf3bb18e8" TargetMode="External"/><Relationship Id="rId1892" Type="http://schemas.openxmlformats.org/officeDocument/2006/relationships/hyperlink" Target="https://my.zakupivli.pro/remote/dispatcher/state_purchase_view/58282530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1100" Type="http://schemas.openxmlformats.org/officeDocument/2006/relationships/hyperlink" Target="https://my.zakupivli.pro/remote/dispatcher/state_purchase_view/50949996" TargetMode="External"/><Relationship Id="rId1405" Type="http://schemas.openxmlformats.org/officeDocument/2006/relationships/hyperlink" Target="https://my.zakupivli.pro/remote/dispatcher/state_purchase_view/54403612" TargetMode="External"/><Relationship Id="rId1752" Type="http://schemas.openxmlformats.org/officeDocument/2006/relationships/hyperlink" Target="https://zakupivli.pro/gov/tenders/ua-2025-02-05-008594-a/lot-afe1992d07f94057be69f5765f50b620" TargetMode="External"/><Relationship Id="rId44" Type="http://schemas.openxmlformats.org/officeDocument/2006/relationships/hyperlink" Target="https://my.zakupki.prom.ua/remote/dispatcher/state_purchase_view/41519874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917" Type="http://schemas.openxmlformats.org/officeDocument/2006/relationships/hyperlink" Target="https://my.zakupivli.pro/remote/dispatcher/state_purchase_view/58513389" TargetMode="External"/><Relationship Id="rId193" Type="http://schemas.openxmlformats.org/officeDocument/2006/relationships/hyperlink" Target="https://zakupki.prom.ua/gov/tenders/UA-2023-03-20-007084-a" TargetMode="External"/><Relationship Id="rId498" Type="http://schemas.openxmlformats.org/officeDocument/2006/relationships/hyperlink" Target="https://zakupki.prom.ua/gov/tenders/UA-2023-10-09-004357-a" TargetMode="External"/><Relationship Id="rId2081" Type="http://schemas.openxmlformats.org/officeDocument/2006/relationships/hyperlink" Target="https://my.zakupivli.pro/remote/dispatcher/state_purchase_view/60044375" TargetMode="External"/><Relationship Id="rId2179" Type="http://schemas.openxmlformats.org/officeDocument/2006/relationships/hyperlink" Target="https://my.zakupivli.pro/remote/dispatcher/state_purchase_view/60641481" TargetMode="External"/><Relationship Id="rId260" Type="http://schemas.openxmlformats.org/officeDocument/2006/relationships/hyperlink" Target="https://zakupki.prom.ua/gov/tenders/UA-2023-03-31-004510-a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2039" Type="http://schemas.openxmlformats.org/officeDocument/2006/relationships/hyperlink" Target="https://zakupivli.pro/gov/tenders/ua-2025-05-27-003751-a" TargetMode="External"/><Relationship Id="rId2246" Type="http://schemas.openxmlformats.org/officeDocument/2006/relationships/hyperlink" Target="https://zakupivli.pro/gov/tenders/ua-2025-08-12-000427-a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2106" Type="http://schemas.openxmlformats.org/officeDocument/2006/relationships/hyperlink" Target="https://my.zakupivli.pro/remote/dispatcher/state_purchase_view/60216127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1774" Type="http://schemas.openxmlformats.org/officeDocument/2006/relationships/hyperlink" Target="https://zakupivli.pro/gov/tenders/ua-2025-02-11-014703-a/lot-2b425a3538b34f61abf9d66504fadba9" TargetMode="External"/><Relationship Id="rId1981" Type="http://schemas.openxmlformats.org/officeDocument/2006/relationships/hyperlink" Target="https://my.zakupivli.pro/remote/dispatcher/state_purchase_view/59208246" TargetMode="External"/><Relationship Id="rId66" Type="http://schemas.openxmlformats.org/officeDocument/2006/relationships/hyperlink" Target="https://my.zakupki.prom.ua/remote/dispatcher/state_purchase_view/41426342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1841" Type="http://schemas.openxmlformats.org/officeDocument/2006/relationships/hyperlink" Target="https://zakupivli.pro/gov/tenders/ua-2025-02-26-011456-a" TargetMode="External"/><Relationship Id="rId1939" Type="http://schemas.openxmlformats.org/officeDocument/2006/relationships/hyperlink" Target="https://my.zakupivli.pro/remote/dispatcher/state_purchase_view/58657540" TargetMode="External"/><Relationship Id="rId1701" Type="http://schemas.openxmlformats.org/officeDocument/2006/relationships/hyperlink" Target="https://my.zakupivli.pro/remote/dispatcher/state_purchase_view/57062513" TargetMode="External"/><Relationship Id="rId282" Type="http://schemas.openxmlformats.org/officeDocument/2006/relationships/hyperlink" Target="https://zakupki.prom.ua/gov/tenders/UA-2023-04-03-010385-a" TargetMode="External"/><Relationship Id="rId587" Type="http://schemas.openxmlformats.org/officeDocument/2006/relationships/hyperlink" Target="https://zakupivli.pro/gov/tenders/UA-2024-01-08-004546-a" TargetMode="External"/><Relationship Id="rId2170" Type="http://schemas.openxmlformats.org/officeDocument/2006/relationships/hyperlink" Target="https://my.zakupivli.pro/remote/dispatcher/state_purchase_view/60601653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2030" Type="http://schemas.openxmlformats.org/officeDocument/2006/relationships/hyperlink" Target="https://zakupivli.pro/gov/tenders/ua-2025-05-21-010260-a/lot-f9a5b4b4f14c40dca57b09386b3c8ffe" TargetMode="External"/><Relationship Id="rId2128" Type="http://schemas.openxmlformats.org/officeDocument/2006/relationships/hyperlink" Target="https://zakupivli.pro/gov/tenders/ua-2025-06-20-002566-a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89" Type="http://schemas.openxmlformats.org/officeDocument/2006/relationships/hyperlink" Target="https://my.zakupivli.pro/remote/dispatcher/state_purchase_view/56341932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1796" Type="http://schemas.openxmlformats.org/officeDocument/2006/relationships/hyperlink" Target="https://my.zakupivli.pro/remote/dispatcher/state_purchase_view/57476203" TargetMode="External"/><Relationship Id="rId88" Type="http://schemas.openxmlformats.org/officeDocument/2006/relationships/hyperlink" Target="https://my.zakupki.prom.ua/remote/dispatcher/state_purchase_view/41204144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1656" Type="http://schemas.openxmlformats.org/officeDocument/2006/relationships/hyperlink" Target="https://my.zakupivli.pro/remote/dispatcher/state_purchase_view/56941416" TargetMode="External"/><Relationship Id="rId1863" Type="http://schemas.openxmlformats.org/officeDocument/2006/relationships/hyperlink" Target="https://zakupivli.pro/gov/tenders/ua-2025-03-06-010281-a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723" Type="http://schemas.openxmlformats.org/officeDocument/2006/relationships/hyperlink" Target="https://zakupivli.pro/gov/tenders/ua-2025-01-31-001734-a/lot-67ece4c36e0f4d39863dee79a9354364" TargetMode="External"/><Relationship Id="rId1930" Type="http://schemas.openxmlformats.org/officeDocument/2006/relationships/hyperlink" Target="https://zakupivli.pro/gov/tenders/ua-2025-04-07-011371-a" TargetMode="External"/><Relationship Id="rId15" Type="http://schemas.openxmlformats.org/officeDocument/2006/relationships/hyperlink" Target="https://my.zakupki.prom.ua/remote/dispatcher/state_purchase_view/39591644" TargetMode="External"/><Relationship Id="rId2192" Type="http://schemas.openxmlformats.org/officeDocument/2006/relationships/hyperlink" Target="https://my.zakupivli.pro/remote/dispatcher/state_purchase_view/60904345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2052" Type="http://schemas.openxmlformats.org/officeDocument/2006/relationships/hyperlink" Target="https://my.zakupivli.pro/remote/dispatcher/state_purchase_view/59851081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2217" Type="http://schemas.openxmlformats.org/officeDocument/2006/relationships/hyperlink" Target="https://my.zakupivli.pro/remote/dispatcher/state_purchase_view/60998951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1678" Type="http://schemas.openxmlformats.org/officeDocument/2006/relationships/hyperlink" Target="https://my.zakupivli.pro/remote/dispatcher/state_purchase_view/56947418" TargetMode="External"/><Relationship Id="rId1885" Type="http://schemas.openxmlformats.org/officeDocument/2006/relationships/hyperlink" Target="https://zakupivli.pro/gov/tenders/ua-2025-03-19-012837-a" TargetMode="External"/><Relationship Id="rId603" Type="http://schemas.openxmlformats.org/officeDocument/2006/relationships/hyperlink" Target="https://my.zakupivli.pro/remote/dispatcher/state_purchase_view/48421027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1745" Type="http://schemas.openxmlformats.org/officeDocument/2006/relationships/hyperlink" Target="https://my.zakupivli.pro/remote/dispatcher/state_purchase_view/57218243" TargetMode="External"/><Relationship Id="rId1952" Type="http://schemas.openxmlformats.org/officeDocument/2006/relationships/hyperlink" Target="https://my.zakupivli.pro/remote/dispatcher/state_purchase_view/58796029" TargetMode="External"/><Relationship Id="rId37" Type="http://schemas.openxmlformats.org/officeDocument/2006/relationships/hyperlink" Target="https://my.zakupki.prom.ua/remote/dispatcher/state_purchase_view/41520898" TargetMode="External"/><Relationship Id="rId1605" Type="http://schemas.openxmlformats.org/officeDocument/2006/relationships/hyperlink" Target="https://my.zakupivli.pro/remote/dispatcher/state_purchase_view/56533770" TargetMode="External"/><Relationship Id="rId1812" Type="http://schemas.openxmlformats.org/officeDocument/2006/relationships/hyperlink" Target="https://my.zakupivli.pro/remote/dispatcher/state_purchase_view/5760394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2074" Type="http://schemas.openxmlformats.org/officeDocument/2006/relationships/hyperlink" Target="https://my.zakupivli.pro/remote/dispatcher/state_purchase_view/60068496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1090" Type="http://schemas.openxmlformats.org/officeDocument/2006/relationships/hyperlink" Target="https://my.zakupivli.pro/remote/dispatcher/state_purchase_view/50942400" TargetMode="External"/><Relationship Id="rId2141" Type="http://schemas.openxmlformats.org/officeDocument/2006/relationships/hyperlink" Target="https://zakupivli.pro/gov/tenders/ua-2025-06-24-000503-a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2001" Type="http://schemas.openxmlformats.org/officeDocument/2006/relationships/hyperlink" Target="https://zakupivli.pro/gov/tenders/ua-2025-05-08-001179-a" TargetMode="External"/><Relationship Id="rId2239" Type="http://schemas.openxmlformats.org/officeDocument/2006/relationships/hyperlink" Target="https://my.zakupivli.pro/remote/dispatcher/state_purchase_view/61143872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1767" Type="http://schemas.openxmlformats.org/officeDocument/2006/relationships/hyperlink" Target="https://my.zakupivli.pro/remote/dispatcher/state_purchase_view/57385694" TargetMode="External"/><Relationship Id="rId1974" Type="http://schemas.openxmlformats.org/officeDocument/2006/relationships/hyperlink" Target="https://zakupivli.pro/gov/tenders/ua-2025-05-02-003008-a" TargetMode="External"/><Relationship Id="rId59" Type="http://schemas.openxmlformats.org/officeDocument/2006/relationships/hyperlink" Target="https://my.zakupki.prom.ua/remote/dispatcher/state_purchase_view/41427937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1834" Type="http://schemas.openxmlformats.org/officeDocument/2006/relationships/hyperlink" Target="https://my.zakupivli.pro/remote/dispatcher/state_purchase_view/57741352" TargetMode="External"/><Relationship Id="rId2096" Type="http://schemas.openxmlformats.org/officeDocument/2006/relationships/hyperlink" Target="https://zakupivli.pro/gov/tenders/ua-2025-06-12-000131-a/lot-0554f39f1e12484bb119715e1c27b2dc" TargetMode="External"/><Relationship Id="rId1901" Type="http://schemas.openxmlformats.org/officeDocument/2006/relationships/hyperlink" Target="https://my.zakupivli.pro/remote/dispatcher/state_purchase_view/58434804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2163" Type="http://schemas.openxmlformats.org/officeDocument/2006/relationships/hyperlink" Target="https://my.zakupivli.pro/remote/dispatcher/state_purchase_view/60540211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2023" Type="http://schemas.openxmlformats.org/officeDocument/2006/relationships/hyperlink" Target="https://my.zakupivli.pro/remote/dispatcher/state_purchase_view/59543384" TargetMode="External"/><Relationship Id="rId2230" Type="http://schemas.openxmlformats.org/officeDocument/2006/relationships/hyperlink" Target="https://my.zakupivli.pro/remote/dispatcher/state_purchase_view/61130826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1691" Type="http://schemas.openxmlformats.org/officeDocument/2006/relationships/hyperlink" Target="https://my.zakupivli.pro/remote/dispatcher/state_purchase_view/56949716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1789" Type="http://schemas.openxmlformats.org/officeDocument/2006/relationships/hyperlink" Target="https://zakupivli.pro/gov/tenders/ua-2025-02-13-004874-a" TargetMode="External"/><Relationship Id="rId1996" Type="http://schemas.openxmlformats.org/officeDocument/2006/relationships/hyperlink" Target="https://my.zakupivli.pro/remote/dispatcher/state_purchase_view/59272094" TargetMode="External"/><Relationship Id="rId50" Type="http://schemas.openxmlformats.org/officeDocument/2006/relationships/hyperlink" Target="https://my.zakupki.prom.ua/remote/dispatcher/state_purchase_view/41519085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1649" Type="http://schemas.openxmlformats.org/officeDocument/2006/relationships/hyperlink" Target="https://my.zakupivli.pro/remote/dispatcher/state_purchase_view/56857702" TargetMode="External"/><Relationship Id="rId1856" Type="http://schemas.openxmlformats.org/officeDocument/2006/relationships/hyperlink" Target="https://my.zakupivli.pro/remote/dispatcher/state_purchase_view/57875267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1716" Type="http://schemas.openxmlformats.org/officeDocument/2006/relationships/hyperlink" Target="https://my.zakupivli.pro/remote/dispatcher/state_purchase_view/57088046" TargetMode="External"/><Relationship Id="rId1923" Type="http://schemas.openxmlformats.org/officeDocument/2006/relationships/hyperlink" Target="https://my.zakupivli.pro/remote/dispatcher/state_purchase_view/58600113" TargetMode="External"/><Relationship Id="rId297" Type="http://schemas.openxmlformats.org/officeDocument/2006/relationships/hyperlink" Target="https://my.zakupki.prom.ua/remote/dispatcher/state_purchase_view/41816730" TargetMode="External"/><Relationship Id="rId2185" Type="http://schemas.openxmlformats.org/officeDocument/2006/relationships/hyperlink" Target="https://my.zakupivli.pro/remote/dispatcher/state_purchase_view/60853228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2045" Type="http://schemas.openxmlformats.org/officeDocument/2006/relationships/hyperlink" Target="https://my.zakupivli.pro/remote/dispatcher/state_purchase_view/59778119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2252" Type="http://schemas.openxmlformats.org/officeDocument/2006/relationships/hyperlink" Target="https://zakupivli.pro/gov/tenders/ua-2025-08-13-007263-a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2112" Type="http://schemas.openxmlformats.org/officeDocument/2006/relationships/hyperlink" Target="https://zakupivli.pro/gov/tenders/ua-2025-06-19-007510-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1780" Type="http://schemas.openxmlformats.org/officeDocument/2006/relationships/hyperlink" Target="https://my.zakupivli.pro/remote/dispatcher/state_purchase_view/57445600" TargetMode="External"/><Relationship Id="rId1878" Type="http://schemas.openxmlformats.org/officeDocument/2006/relationships/hyperlink" Target="https://my.zakupivli.pro/remote/dispatcher/state_purchase_view/58089610" TargetMode="External"/><Relationship Id="rId72" Type="http://schemas.openxmlformats.org/officeDocument/2006/relationships/hyperlink" Target="https://my.zakupki.prom.ua/remote/dispatcher/state_purchase_view/41363968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1738" Type="http://schemas.openxmlformats.org/officeDocument/2006/relationships/hyperlink" Target="https://my.zakupivli.pro/remote/dispatcher/state_purchase_view/57188673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1945" Type="http://schemas.openxmlformats.org/officeDocument/2006/relationships/hyperlink" Target="https://zakupivli.pro/gov/tenders/ua-2025-04-09-007528-a" TargetMode="External"/><Relationship Id="rId1805" Type="http://schemas.openxmlformats.org/officeDocument/2006/relationships/hyperlink" Target="https://zakupivli.pro/gov/tenders/ua-2025-02-14-004784-a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2067" Type="http://schemas.openxmlformats.org/officeDocument/2006/relationships/hyperlink" Target="https://my.zakupivli.pro/remote/dispatcher/state_purchase_view/59941982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2134" Type="http://schemas.openxmlformats.org/officeDocument/2006/relationships/hyperlink" Target="https://zakupivli.pro/gov/tenders/ua-2025-06-23-000983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94" Type="http://schemas.openxmlformats.org/officeDocument/2006/relationships/hyperlink" Target="https://my.zakupki.prom.ua/remote/dispatcher/state_purchase_view/41190348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1662" Type="http://schemas.openxmlformats.org/officeDocument/2006/relationships/hyperlink" Target="https://my.zakupivli.pro/remote/dispatcher/state_purchase_view/56943093" TargetMode="External"/><Relationship Id="rId2201" Type="http://schemas.openxmlformats.org/officeDocument/2006/relationships/hyperlink" Target="https://my.zakupivli.pro/remote/dispatcher/state_purchase_view/60962145" TargetMode="External"/><Relationship Id="rId1010" Type="http://schemas.openxmlformats.org/officeDocument/2006/relationships/hyperlink" Target="https://zakupivli.pro/gov/tenders/UA-2024-04-01-005782-a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967" Type="http://schemas.openxmlformats.org/officeDocument/2006/relationships/hyperlink" Target="https://my.zakupivli.pro/remote/dispatcher/state_purchase_view/59070654" TargetMode="External"/><Relationship Id="rId1522" Type="http://schemas.openxmlformats.org/officeDocument/2006/relationships/hyperlink" Target="https://my.zakupivli.pro/remote/dispatcher/state_purchase_view/55863477" TargetMode="External"/><Relationship Id="rId21" Type="http://schemas.openxmlformats.org/officeDocument/2006/relationships/hyperlink" Target="https://my.zakupki.prom.ua/remote/dispatcher/state_purchase_view/40091965" TargetMode="External"/><Relationship Id="rId2089" Type="http://schemas.openxmlformats.org/officeDocument/2006/relationships/hyperlink" Target="https://zakupivli.pro/gov/tenders/ua-2025-06-12-008628-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2156" Type="http://schemas.openxmlformats.org/officeDocument/2006/relationships/hyperlink" Target="https://my.zakupivli.pro/remote/dispatcher/state_purchase_view/60535374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1172" Type="http://schemas.openxmlformats.org/officeDocument/2006/relationships/hyperlink" Target="https://my.zakupivli.pro/remote/dispatcher/state_purchase_view/51817314" TargetMode="External"/><Relationship Id="rId2016" Type="http://schemas.openxmlformats.org/officeDocument/2006/relationships/hyperlink" Target="https://my.zakupivli.pro/remote/dispatcher/state_purchase_view/59464876" TargetMode="External"/><Relationship Id="rId2223" Type="http://schemas.openxmlformats.org/officeDocument/2006/relationships/hyperlink" Target="https://my.zakupivli.pro/remote/dispatcher/state_purchase_view/61050178" TargetMode="External"/><Relationship Id="rId402" Type="http://schemas.openxmlformats.org/officeDocument/2006/relationships/hyperlink" Target="https://zakupki.prom.ua/gov/tenders/UA-2023-07-24-009279-a" TargetMode="External"/><Relationship Id="rId1032" Type="http://schemas.openxmlformats.org/officeDocument/2006/relationships/hyperlink" Target="https://my.zakupivli.pro/remote/dispatcher/state_purchase_view/50200587" TargetMode="External"/><Relationship Id="rId1989" Type="http://schemas.openxmlformats.org/officeDocument/2006/relationships/hyperlink" Target="https://zakupivli.pro/gov/tenders/ua-2025-05-06-009792-a" TargetMode="External"/><Relationship Id="rId1849" Type="http://schemas.openxmlformats.org/officeDocument/2006/relationships/hyperlink" Target="https://zakupivli.pro/gov/tenders/ua-2025-02-27-000432-a/lot-0d928d09299541788533a61ff4394140" TargetMode="External"/><Relationship Id="rId192" Type="http://schemas.openxmlformats.org/officeDocument/2006/relationships/hyperlink" Target="https://zakupki.prom.ua/gov/tenders/UA-2023-03-20-009888-a" TargetMode="External"/><Relationship Id="rId1709" Type="http://schemas.openxmlformats.org/officeDocument/2006/relationships/hyperlink" Target="https://zakupivli.pro/gov/tenders/ua-2025-01-30-008146-a/lot-5ffaee847c684cb6ad73096f99ffe10e" TargetMode="External"/><Relationship Id="rId1916" Type="http://schemas.openxmlformats.org/officeDocument/2006/relationships/hyperlink" Target="https://my.zakupivli.pro/remote/dispatcher/state_purchase_view/58523820" TargetMode="External"/><Relationship Id="rId2080" Type="http://schemas.openxmlformats.org/officeDocument/2006/relationships/hyperlink" Target="https://my.zakupivli.pro/remote/dispatcher/state_purchase_view/60044483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1773" Type="http://schemas.openxmlformats.org/officeDocument/2006/relationships/hyperlink" Target="https://zakupivli.pro/gov/tenders/ua-2025-02-11-014703-a/lot-3b27ac22678548a3bedeaf13ff8039f4" TargetMode="External"/><Relationship Id="rId1980" Type="http://schemas.openxmlformats.org/officeDocument/2006/relationships/hyperlink" Target="https://my.zakupivli.pro/remote/dispatcher/state_purchase_view/59208249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1840" Type="http://schemas.openxmlformats.org/officeDocument/2006/relationships/hyperlink" Target="https://zakupivli.pro/gov/tenders/ua-2025-02-26-012076-a" TargetMode="External"/><Relationship Id="rId1700" Type="http://schemas.openxmlformats.org/officeDocument/2006/relationships/hyperlink" Target="https://my.zakupivli.pro/remote/dispatcher/state_purchase_view/57062513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2267" Type="http://schemas.openxmlformats.org/officeDocument/2006/relationships/printerSettings" Target="../printerSettings/printerSettings1.bin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2127" Type="http://schemas.openxmlformats.org/officeDocument/2006/relationships/hyperlink" Target="https://zakupivli.pro/gov/tenders/ua-2025-06-20-002703-a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1143" Type="http://schemas.openxmlformats.org/officeDocument/2006/relationships/hyperlink" Target="https://zakupivli.pro/gov/tenders/UA-2024-06-06-001299-a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1350" Type="http://schemas.openxmlformats.org/officeDocument/2006/relationships/hyperlink" Target="https://zakupivli.pro/gov/tenders/ua-2024-09-23-002326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2191" Type="http://schemas.openxmlformats.org/officeDocument/2006/relationships/hyperlink" Target="https://my.zakupivli.pro/remote/dispatcher/state_purchase_view/60904735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051" Type="http://schemas.openxmlformats.org/officeDocument/2006/relationships/hyperlink" Target="https://my.zakupivli.pro/remote/dispatcher/state_purchase_view/59851810" TargetMode="External"/><Relationship Id="rId230" Type="http://schemas.openxmlformats.org/officeDocument/2006/relationships/hyperlink" Target="https://zakupki.prom.ua/gov/tenders/UA-2023-03-30-000276-a" TargetMode="External"/><Relationship Id="rId1677" Type="http://schemas.openxmlformats.org/officeDocument/2006/relationships/hyperlink" Target="https://zakupivli.pro/gov/tenders/ua-2025-01-27-014227-a/lot-301fda2687614776ba6eb6a72abd4da7" TargetMode="External"/><Relationship Id="rId1884" Type="http://schemas.openxmlformats.org/officeDocument/2006/relationships/hyperlink" Target="https://my.zakupivli.pro/remote/dispatcher/state_purchase_view/58199921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1744" Type="http://schemas.openxmlformats.org/officeDocument/2006/relationships/hyperlink" Target="https://my.zakupivli.pro/remote/dispatcher/state_purchase_view/57218765" TargetMode="External"/><Relationship Id="rId1951" Type="http://schemas.openxmlformats.org/officeDocument/2006/relationships/hyperlink" Target="https://my.zakupivli.pro/remote/dispatcher/state_purchase_view/58797476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11" Type="http://schemas.openxmlformats.org/officeDocument/2006/relationships/hyperlink" Target="https://my.zakupivli.pro/remote/dispatcher/state_purchase_view/57606569" TargetMode="External"/><Relationship Id="rId697" Type="http://schemas.openxmlformats.org/officeDocument/2006/relationships/hyperlink" Target="https://my.zakupivli.pro/remote/dispatcher/state_purchase_view/48871901" TargetMode="External"/><Relationship Id="rId1187" Type="http://schemas.openxmlformats.org/officeDocument/2006/relationships/hyperlink" Target="https://zakupivli.pro/gov/tenders/UA-2024-07-01-004453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2238" Type="http://schemas.openxmlformats.org/officeDocument/2006/relationships/hyperlink" Target="https://my.zakupivli.pro/remote/dispatcher/state_purchase_view/61143988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2095" Type="http://schemas.openxmlformats.org/officeDocument/2006/relationships/hyperlink" Target="https://zakupivli.pro/gov/tenders/ua-2025-06-12-000279-a/lot-f26ee65b706c4d75a5ba58abf9a1b833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2162" Type="http://schemas.openxmlformats.org/officeDocument/2006/relationships/hyperlink" Target="https://zakupivli.pro/gov/tenders/ua-2025-07-04-006125-a" TargetMode="External"/><Relationship Id="rId134" Type="http://schemas.openxmlformats.org/officeDocument/2006/relationships/hyperlink" Target="https://zakupki.prom.ua/gov/tenders/UA-2023-03-03-001590-a" TargetMode="External"/><Relationship Id="rId341" Type="http://schemas.openxmlformats.org/officeDocument/2006/relationships/hyperlink" Target="https://zakupki.prom.ua/gov/tenders/UA-2023-04-27-003600-a" TargetMode="External"/><Relationship Id="rId2022" Type="http://schemas.openxmlformats.org/officeDocument/2006/relationships/hyperlink" Target="https://zakupivli.pro/gov/tenders/ua-2025-05-19-012608-a" TargetMode="External"/><Relationship Id="rId201" Type="http://schemas.openxmlformats.org/officeDocument/2006/relationships/hyperlink" Target="https://zakupki.prom.ua/gov/tenders/UA-2023-03-23-010751-a" TargetMode="External"/><Relationship Id="rId1788" Type="http://schemas.openxmlformats.org/officeDocument/2006/relationships/hyperlink" Target="https://zakupivli.pro/gov/tenders/ua-2025-02-13-007747-a" TargetMode="External"/><Relationship Id="rId1995" Type="http://schemas.openxmlformats.org/officeDocument/2006/relationships/hyperlink" Target="https://my.zakupivli.pro/remote/dispatcher/state_purchase_view/59272383" TargetMode="External"/><Relationship Id="rId1648" Type="http://schemas.openxmlformats.org/officeDocument/2006/relationships/hyperlink" Target="https://zakupivli.pro/gov/tenders/ua-2025-01-23-015872-a" TargetMode="External"/><Relationship Id="rId1508" Type="http://schemas.openxmlformats.org/officeDocument/2006/relationships/hyperlink" Target="https://zakupivli.pro/gov/tenders/ua-2024-12-06-011782-a" TargetMode="External"/><Relationship Id="rId1855" Type="http://schemas.openxmlformats.org/officeDocument/2006/relationships/hyperlink" Target="https://zakupivli.pro/gov/tenders/ua-2025-03-04-011644-a" TargetMode="External"/><Relationship Id="rId1715" Type="http://schemas.openxmlformats.org/officeDocument/2006/relationships/hyperlink" Target="https://my.zakupivli.pro/remote/dispatcher/state_purchase_view/57092017" TargetMode="External"/><Relationship Id="rId1922" Type="http://schemas.openxmlformats.org/officeDocument/2006/relationships/hyperlink" Target="https://zakupivli.pro/gov/tenders/ua-2025-04-01-011215-a/lot-0f088b511d4145e886ac9bbccd57dd61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298" Type="http://schemas.openxmlformats.org/officeDocument/2006/relationships/hyperlink" Target="https://zakupivli.pro/gov/tenders/UA-2024-08-16-002605-a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2209" Type="http://schemas.openxmlformats.org/officeDocument/2006/relationships/hyperlink" Target="https://my.zakupivli.pro/remote/dispatcher/state_purchase_view/60971624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178" Type="http://schemas.openxmlformats.org/officeDocument/2006/relationships/hyperlink" Target="https://zakupki.prom.ua/gov/tenders/UA-2023-03-20-010821-a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066" Type="http://schemas.openxmlformats.org/officeDocument/2006/relationships/hyperlink" Target="https://zakupivli.pro/gov/tenders/ua-2025-06-05-002120-a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1082" Type="http://schemas.openxmlformats.org/officeDocument/2006/relationships/hyperlink" Target="https://my.zakupivli.pro/remote/dispatcher/state_purchase_view/50870545" TargetMode="External"/><Relationship Id="rId2133" Type="http://schemas.openxmlformats.org/officeDocument/2006/relationships/hyperlink" Target="https://zakupivli.pro/gov/tenders/ua-2025-06-23-001718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45"/>
  <sheetViews>
    <sheetView tabSelected="1" zoomScale="50" zoomScaleNormal="50" workbookViewId="0">
      <pane ySplit="4" topLeftCell="A1090" activePane="bottomLeft" state="frozen"/>
      <selection pane="bottomLeft" activeCell="P1093" sqref="P1093"/>
    </sheetView>
  </sheetViews>
  <sheetFormatPr defaultColWidth="9.109375" defaultRowHeight="15.6" x14ac:dyDescent="0.3"/>
  <cols>
    <col min="1" max="1" width="8.3320312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598" customWidth="1"/>
    <col min="9" max="9" width="11.33203125" style="1" customWidth="1"/>
    <col min="10" max="11" width="15.33203125" style="598" customWidth="1"/>
    <col min="12" max="12" width="10.33203125" style="1" customWidth="1"/>
    <col min="13" max="13" width="15.6640625" style="598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589" t="s">
        <v>19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</row>
    <row r="2" spans="1:22" ht="99" customHeight="1" x14ac:dyDescent="0.3">
      <c r="A2" s="587" t="s">
        <v>1</v>
      </c>
      <c r="B2" s="587" t="s">
        <v>0</v>
      </c>
      <c r="C2" s="587" t="s">
        <v>29</v>
      </c>
      <c r="D2" s="587" t="s">
        <v>2</v>
      </c>
      <c r="E2" s="587" t="s">
        <v>3</v>
      </c>
      <c r="F2" s="587" t="s">
        <v>4</v>
      </c>
      <c r="G2" s="587" t="s">
        <v>5</v>
      </c>
      <c r="H2" s="587" t="s">
        <v>6</v>
      </c>
      <c r="I2" s="587"/>
      <c r="J2" s="587"/>
      <c r="K2" s="587" t="s">
        <v>7</v>
      </c>
      <c r="L2" s="587"/>
      <c r="M2" s="587"/>
      <c r="N2" s="587" t="s">
        <v>11</v>
      </c>
      <c r="O2" s="588" t="s">
        <v>12</v>
      </c>
      <c r="P2" s="587" t="s">
        <v>13</v>
      </c>
      <c r="Q2" s="587" t="s">
        <v>14</v>
      </c>
      <c r="R2" s="587"/>
      <c r="S2" s="587"/>
      <c r="T2" s="588" t="s">
        <v>16</v>
      </c>
      <c r="U2" s="587" t="s">
        <v>17</v>
      </c>
      <c r="V2" s="587" t="s">
        <v>18</v>
      </c>
    </row>
    <row r="3" spans="1:22" ht="103.95" customHeight="1" x14ac:dyDescent="0.3">
      <c r="A3" s="587"/>
      <c r="B3" s="587"/>
      <c r="C3" s="587"/>
      <c r="D3" s="587"/>
      <c r="E3" s="587"/>
      <c r="F3" s="587"/>
      <c r="G3" s="587"/>
      <c r="H3" s="590" t="s">
        <v>8</v>
      </c>
      <c r="I3" s="30" t="s">
        <v>9</v>
      </c>
      <c r="J3" s="590" t="s">
        <v>10</v>
      </c>
      <c r="K3" s="590" t="s">
        <v>8</v>
      </c>
      <c r="L3" s="30" t="s">
        <v>9</v>
      </c>
      <c r="M3" s="590" t="s">
        <v>10</v>
      </c>
      <c r="N3" s="587"/>
      <c r="O3" s="588"/>
      <c r="P3" s="587"/>
      <c r="Q3" s="30" t="s">
        <v>8</v>
      </c>
      <c r="R3" s="30" t="s">
        <v>9</v>
      </c>
      <c r="S3" s="30" t="s">
        <v>15</v>
      </c>
      <c r="T3" s="588"/>
      <c r="U3" s="587"/>
      <c r="V3" s="587"/>
    </row>
    <row r="4" spans="1:22" x14ac:dyDescent="0.3">
      <c r="A4" s="30">
        <v>1</v>
      </c>
      <c r="B4" s="30">
        <v>2</v>
      </c>
      <c r="C4" s="520">
        <v>3</v>
      </c>
      <c r="D4" s="30">
        <v>4</v>
      </c>
      <c r="E4" s="30">
        <v>5</v>
      </c>
      <c r="F4" s="30">
        <v>6</v>
      </c>
      <c r="G4" s="30">
        <v>7</v>
      </c>
      <c r="H4" s="590">
        <v>8</v>
      </c>
      <c r="I4" s="30">
        <v>9</v>
      </c>
      <c r="J4" s="590">
        <v>10</v>
      </c>
      <c r="K4" s="590">
        <v>11</v>
      </c>
      <c r="L4" s="30">
        <v>12</v>
      </c>
      <c r="M4" s="59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520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590">
        <v>252.33500000000001</v>
      </c>
      <c r="I5" s="30">
        <v>1</v>
      </c>
      <c r="J5" s="590">
        <f>302802/1.2/1000</f>
        <v>252.33500000000001</v>
      </c>
      <c r="K5" s="590">
        <v>252.33500000000001</v>
      </c>
      <c r="L5" s="30">
        <v>1</v>
      </c>
      <c r="M5" s="59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520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591"/>
      <c r="I6" s="2">
        <v>2025</v>
      </c>
      <c r="J6" s="591">
        <f>207228/1.2/1000</f>
        <v>172.69</v>
      </c>
      <c r="K6" s="591"/>
      <c r="L6" s="30">
        <v>2025</v>
      </c>
      <c r="M6" s="59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520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590"/>
      <c r="I7" s="30">
        <v>12</v>
      </c>
      <c r="J7" s="590">
        <f>128000/1.2/1000</f>
        <v>106.66666666666667</v>
      </c>
      <c r="K7" s="590"/>
      <c r="L7" s="30">
        <v>12</v>
      </c>
      <c r="M7" s="59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520" t="s">
        <v>41</v>
      </c>
      <c r="D8" s="30"/>
      <c r="E8" s="30" t="s">
        <v>20</v>
      </c>
      <c r="F8" s="30" t="s">
        <v>42</v>
      </c>
      <c r="G8" s="30" t="s">
        <v>43</v>
      </c>
      <c r="H8" s="590">
        <f>596253.74/1.2/1000</f>
        <v>496.8781166666667</v>
      </c>
      <c r="I8" s="30">
        <v>1</v>
      </c>
      <c r="J8" s="590">
        <f>596253.74/1.2/1000</f>
        <v>496.8781166666667</v>
      </c>
      <c r="K8" s="590">
        <f>596253.74/1.2/1000</f>
        <v>496.8781166666667</v>
      </c>
      <c r="L8" s="30">
        <v>1</v>
      </c>
      <c r="M8" s="59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520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591"/>
      <c r="I9" s="2">
        <v>20</v>
      </c>
      <c r="J9" s="591">
        <f>601899.72/1.2/1000</f>
        <v>501.5831</v>
      </c>
      <c r="K9" s="591"/>
      <c r="L9" s="2">
        <v>20</v>
      </c>
      <c r="M9" s="591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520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591"/>
      <c r="I10" s="2">
        <v>6</v>
      </c>
      <c r="J10" s="591">
        <f>8905.68/1.2/1000</f>
        <v>7.4214000000000002</v>
      </c>
      <c r="K10" s="591"/>
      <c r="L10" s="2">
        <v>6</v>
      </c>
      <c r="M10" s="591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520" t="s">
        <v>41</v>
      </c>
      <c r="D11" s="30"/>
      <c r="E11" s="30" t="s">
        <v>20</v>
      </c>
      <c r="F11" s="30" t="s">
        <v>46</v>
      </c>
      <c r="G11" s="30" t="s">
        <v>43</v>
      </c>
      <c r="H11" s="590">
        <f>65558.2/1.2/1000</f>
        <v>54.631833333333333</v>
      </c>
      <c r="I11" s="30">
        <v>1</v>
      </c>
      <c r="J11" s="590">
        <f>65558.2/1.2/1000</f>
        <v>54.631833333333333</v>
      </c>
      <c r="K11" s="590">
        <f>65558.2/1.2/1000</f>
        <v>54.631833333333333</v>
      </c>
      <c r="L11" s="30">
        <v>1</v>
      </c>
      <c r="M11" s="59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520" t="s">
        <v>41</v>
      </c>
      <c r="D12" s="30"/>
      <c r="E12" s="30" t="s">
        <v>20</v>
      </c>
      <c r="F12" s="30" t="s">
        <v>49</v>
      </c>
      <c r="G12" s="30" t="s">
        <v>43</v>
      </c>
      <c r="H12" s="590">
        <f>238641.32/1.2/1000</f>
        <v>198.86776666666668</v>
      </c>
      <c r="I12" s="30">
        <v>1</v>
      </c>
      <c r="J12" s="590">
        <f>238641.32/1.2/1000</f>
        <v>198.86776666666668</v>
      </c>
      <c r="K12" s="590">
        <f>238641.32/1.2/1000</f>
        <v>198.86776666666668</v>
      </c>
      <c r="L12" s="30">
        <v>1</v>
      </c>
      <c r="M12" s="59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520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590">
        <f>3306105/1.2/1000</f>
        <v>2755.0875000000001</v>
      </c>
      <c r="I13" s="30">
        <v>1</v>
      </c>
      <c r="J13" s="590">
        <f>3306105/1.2/1000</f>
        <v>2755.0875000000001</v>
      </c>
      <c r="K13" s="590">
        <f>3306105/1.2/1000</f>
        <v>2755.0875000000001</v>
      </c>
      <c r="L13" s="30">
        <v>1</v>
      </c>
      <c r="M13" s="59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520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590">
        <f>1980000/1.2/1000</f>
        <v>1650</v>
      </c>
      <c r="I14" s="30">
        <v>1</v>
      </c>
      <c r="J14" s="590">
        <f>1980000/1.2/1000</f>
        <v>1650</v>
      </c>
      <c r="K14" s="590">
        <f>1980000/1.2/1000</f>
        <v>1650</v>
      </c>
      <c r="L14" s="30">
        <v>1</v>
      </c>
      <c r="M14" s="59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520" t="s">
        <v>41</v>
      </c>
      <c r="D15" s="30"/>
      <c r="E15" s="30" t="s">
        <v>20</v>
      </c>
      <c r="F15" s="30" t="s">
        <v>60</v>
      </c>
      <c r="G15" s="30" t="s">
        <v>43</v>
      </c>
      <c r="H15" s="590">
        <f>529516.15/1.2/1000</f>
        <v>441.26345833333335</v>
      </c>
      <c r="I15" s="30">
        <v>1</v>
      </c>
      <c r="J15" s="590">
        <f>529516.15/1.2/1000</f>
        <v>441.26345833333335</v>
      </c>
      <c r="K15" s="590">
        <f>529516.15/1.2/1000</f>
        <v>441.26345833333335</v>
      </c>
      <c r="L15" s="30">
        <v>1</v>
      </c>
      <c r="M15" s="59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520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590"/>
      <c r="I16" s="30">
        <v>84</v>
      </c>
      <c r="J16" s="590">
        <f>202860/1.2/1000</f>
        <v>169.05</v>
      </c>
      <c r="K16" s="590"/>
      <c r="L16" s="30">
        <v>84</v>
      </c>
      <c r="M16" s="59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520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590">
        <v>486.35840999999999</v>
      </c>
      <c r="I17" s="30">
        <v>1</v>
      </c>
      <c r="J17" s="590">
        <v>486.35840999999999</v>
      </c>
      <c r="K17" s="590">
        <v>486.35840999999999</v>
      </c>
      <c r="L17" s="30">
        <v>1</v>
      </c>
      <c r="M17" s="59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92">
        <f>51.85488/1.2</f>
        <v>43.212400000000002</v>
      </c>
      <c r="I18" s="30">
        <v>1</v>
      </c>
      <c r="J18" s="592">
        <f>51.85488/1.2</f>
        <v>43.212400000000002</v>
      </c>
      <c r="K18" s="592">
        <f>51.85488/1.2</f>
        <v>43.212400000000002</v>
      </c>
      <c r="L18" s="30">
        <v>1</v>
      </c>
      <c r="M18" s="592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92">
        <f>1345698.88/1.2/1000</f>
        <v>1121.4157333333335</v>
      </c>
      <c r="I19" s="30">
        <v>1</v>
      </c>
      <c r="J19" s="592">
        <f>1345698.88/1.2/1000</f>
        <v>1121.4157333333335</v>
      </c>
      <c r="K19" s="592">
        <f>1345698.88/1.2/1000</f>
        <v>1121.4157333333335</v>
      </c>
      <c r="L19" s="30">
        <v>1</v>
      </c>
      <c r="M19" s="592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92">
        <f>201575.17/1.2/100</f>
        <v>1679.7930833333335</v>
      </c>
      <c r="I20" s="30">
        <v>1</v>
      </c>
      <c r="J20" s="592">
        <f>201575.17/1.2/100</f>
        <v>1679.7930833333335</v>
      </c>
      <c r="K20" s="592">
        <f>201575.17/1.2/100</f>
        <v>1679.7930833333335</v>
      </c>
      <c r="L20" s="30">
        <v>1</v>
      </c>
      <c r="M20" s="592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92">
        <f>185417.83/1.2/1000</f>
        <v>154.51485833333334</v>
      </c>
      <c r="I21" s="30">
        <v>1</v>
      </c>
      <c r="J21" s="592">
        <f>185417.83/1.2/1000</f>
        <v>154.51485833333334</v>
      </c>
      <c r="K21" s="592">
        <f>185417.83/1.2/1000</f>
        <v>154.51485833333334</v>
      </c>
      <c r="L21" s="30">
        <v>1</v>
      </c>
      <c r="M21" s="592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92">
        <f>135928.4/1.2/1000</f>
        <v>113.27366666666667</v>
      </c>
      <c r="I22" s="30">
        <v>1</v>
      </c>
      <c r="J22" s="592">
        <f>135928.4/1.2/1000</f>
        <v>113.27366666666667</v>
      </c>
      <c r="K22" s="592">
        <f>135928.4/1.2/1000</f>
        <v>113.27366666666667</v>
      </c>
      <c r="L22" s="30">
        <v>1</v>
      </c>
      <c r="M22" s="592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92">
        <f>189360.37/1.2/1000</f>
        <v>157.80030833333336</v>
      </c>
      <c r="I23" s="30">
        <v>1</v>
      </c>
      <c r="J23" s="592">
        <f>189360.37/1.2/1000</f>
        <v>157.80030833333336</v>
      </c>
      <c r="K23" s="592">
        <f>189360.37/1.2/1000</f>
        <v>157.80030833333336</v>
      </c>
      <c r="L23" s="30">
        <v>1</v>
      </c>
      <c r="M23" s="592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92"/>
      <c r="I24" s="30">
        <v>10</v>
      </c>
      <c r="J24" s="592">
        <f>11570040/1.2/1000</f>
        <v>9641.7000000000007</v>
      </c>
      <c r="K24" s="592">
        <f>11570040/1.2/1000</f>
        <v>9641.7000000000007</v>
      </c>
      <c r="L24" s="30">
        <v>10</v>
      </c>
      <c r="M24" s="592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590"/>
      <c r="I25" s="30">
        <v>68</v>
      </c>
      <c r="J25" s="590">
        <f>792362.4/1.2/1000</f>
        <v>660.30200000000002</v>
      </c>
      <c r="K25" s="590">
        <f>792362.4/1.2/1000</f>
        <v>660.30200000000002</v>
      </c>
      <c r="L25" s="30">
        <v>68</v>
      </c>
      <c r="M25" s="59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590"/>
      <c r="I26" s="30">
        <v>13</v>
      </c>
      <c r="J26" s="590">
        <f>402939.84/1.2/1000</f>
        <v>335.78320000000002</v>
      </c>
      <c r="K26" s="590">
        <f>402939.84/1.2/1000</f>
        <v>335.78320000000002</v>
      </c>
      <c r="L26" s="30">
        <v>13</v>
      </c>
      <c r="M26" s="59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92">
        <f>146052.66/1.2/1000</f>
        <v>121.71055</v>
      </c>
      <c r="I27" s="17">
        <v>1</v>
      </c>
      <c r="J27" s="592">
        <f>146052.66/1.2/1000</f>
        <v>121.71055</v>
      </c>
      <c r="K27" s="592">
        <f>146052.66/1.2/1000</f>
        <v>121.71055</v>
      </c>
      <c r="L27" s="17">
        <v>1</v>
      </c>
      <c r="M27" s="592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92">
        <f>237413.22/1000/1.2</f>
        <v>197.84434999999999</v>
      </c>
      <c r="I28" s="17">
        <v>1</v>
      </c>
      <c r="J28" s="592">
        <f>237413.22/1000/1.2</f>
        <v>197.84434999999999</v>
      </c>
      <c r="K28" s="592">
        <f>237413.22/1000/1.2</f>
        <v>197.84434999999999</v>
      </c>
      <c r="L28" s="17">
        <v>1</v>
      </c>
      <c r="M28" s="592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92">
        <v>187.58670000000001</v>
      </c>
      <c r="I29" s="17">
        <v>1</v>
      </c>
      <c r="J29" s="592">
        <v>187.58670000000001</v>
      </c>
      <c r="K29" s="592">
        <v>187.58670000000001</v>
      </c>
      <c r="L29" s="17">
        <v>1</v>
      </c>
      <c r="M29" s="592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92">
        <v>590.66898333333336</v>
      </c>
      <c r="I30" s="17">
        <v>1</v>
      </c>
      <c r="J30" s="592">
        <v>590.66898333333336</v>
      </c>
      <c r="K30" s="592">
        <v>590.66898333333336</v>
      </c>
      <c r="L30" s="17">
        <v>1</v>
      </c>
      <c r="M30" s="592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92">
        <v>75.020333333333326</v>
      </c>
      <c r="I31" s="17">
        <v>1</v>
      </c>
      <c r="J31" s="592">
        <v>75.020333333333326</v>
      </c>
      <c r="K31" s="592">
        <v>75.020333333333326</v>
      </c>
      <c r="L31" s="17">
        <v>1</v>
      </c>
      <c r="M31" s="592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92">
        <v>230.31730000000002</v>
      </c>
      <c r="I32" s="17">
        <v>1</v>
      </c>
      <c r="J32" s="592">
        <v>230.31730000000002</v>
      </c>
      <c r="K32" s="592">
        <v>230.31730000000002</v>
      </c>
      <c r="L32" s="17">
        <v>1</v>
      </c>
      <c r="M32" s="592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92">
        <v>122.59811666666667</v>
      </c>
      <c r="I33" s="17">
        <v>1</v>
      </c>
      <c r="J33" s="592">
        <v>122.59811666666667</v>
      </c>
      <c r="K33" s="592">
        <v>122.59811666666667</v>
      </c>
      <c r="L33" s="17">
        <v>1</v>
      </c>
      <c r="M33" s="592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92">
        <v>109.43154999999999</v>
      </c>
      <c r="I34" s="17">
        <v>1</v>
      </c>
      <c r="J34" s="592">
        <v>109.43154999999999</v>
      </c>
      <c r="K34" s="592">
        <v>109.43154999999999</v>
      </c>
      <c r="L34" s="17">
        <v>1</v>
      </c>
      <c r="M34" s="592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92">
        <v>115.00135</v>
      </c>
      <c r="I35" s="17">
        <v>1</v>
      </c>
      <c r="J35" s="592">
        <v>115.00135</v>
      </c>
      <c r="K35" s="592">
        <v>115.00135</v>
      </c>
      <c r="L35" s="17">
        <v>1</v>
      </c>
      <c r="M35" s="592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92">
        <v>337.14424166666669</v>
      </c>
      <c r="I36" s="17">
        <v>1</v>
      </c>
      <c r="J36" s="592">
        <v>337.14424166666669</v>
      </c>
      <c r="K36" s="592">
        <v>337.14424166666669</v>
      </c>
      <c r="L36" s="17">
        <v>1</v>
      </c>
      <c r="M36" s="592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590"/>
      <c r="I37" s="17">
        <v>111</v>
      </c>
      <c r="J37" s="592">
        <v>666</v>
      </c>
      <c r="K37" s="590"/>
      <c r="L37" s="17">
        <v>111</v>
      </c>
      <c r="M37" s="592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590"/>
      <c r="I38" s="17">
        <v>203</v>
      </c>
      <c r="J38" s="592">
        <v>131.29166666666669</v>
      </c>
      <c r="K38" s="590"/>
      <c r="L38" s="17">
        <v>203</v>
      </c>
      <c r="M38" s="592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92">
        <v>76.942691666666661</v>
      </c>
      <c r="I39" s="17">
        <v>1</v>
      </c>
      <c r="J39" s="592">
        <v>76.942691666666661</v>
      </c>
      <c r="K39" s="592">
        <v>76.942691666666661</v>
      </c>
      <c r="L39" s="17">
        <v>1</v>
      </c>
      <c r="M39" s="592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590"/>
      <c r="I40" s="17">
        <v>7</v>
      </c>
      <c r="J40" s="592">
        <v>258.53650833333336</v>
      </c>
      <c r="K40" s="590"/>
      <c r="L40" s="17">
        <v>7</v>
      </c>
      <c r="M40" s="592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590"/>
      <c r="I41" s="17">
        <v>33</v>
      </c>
      <c r="J41" s="592">
        <v>2616.89</v>
      </c>
      <c r="K41" s="590"/>
      <c r="L41" s="17">
        <v>33</v>
      </c>
      <c r="M41" s="592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590"/>
      <c r="I42" s="17">
        <v>1</v>
      </c>
      <c r="J42" s="592">
        <v>523.82000000000005</v>
      </c>
      <c r="K42" s="590"/>
      <c r="L42" s="17">
        <v>1</v>
      </c>
      <c r="M42" s="592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590"/>
      <c r="I43" s="17">
        <v>220</v>
      </c>
      <c r="J43" s="592">
        <v>1320</v>
      </c>
      <c r="K43" s="590"/>
      <c r="L43" s="17">
        <v>220</v>
      </c>
      <c r="M43" s="592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590"/>
      <c r="I44" s="17">
        <v>6</v>
      </c>
      <c r="J44" s="592">
        <v>11549.82</v>
      </c>
      <c r="K44" s="590"/>
      <c r="L44" s="17">
        <v>6</v>
      </c>
      <c r="M44" s="592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590"/>
      <c r="I45" s="17">
        <v>19</v>
      </c>
      <c r="J45" s="592">
        <v>3350</v>
      </c>
      <c r="K45" s="590"/>
      <c r="L45" s="17">
        <v>19</v>
      </c>
      <c r="M45" s="592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590"/>
      <c r="I46" s="17">
        <v>1311</v>
      </c>
      <c r="J46" s="592">
        <v>6962</v>
      </c>
      <c r="K46" s="590"/>
      <c r="L46" s="17">
        <v>1311</v>
      </c>
      <c r="M46" s="592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590"/>
      <c r="I47" s="17">
        <v>2985</v>
      </c>
      <c r="J47" s="592">
        <v>2425.2833333333333</v>
      </c>
      <c r="K47" s="590"/>
      <c r="L47" s="17">
        <v>2985</v>
      </c>
      <c r="M47" s="592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590"/>
      <c r="I48" s="17">
        <v>7</v>
      </c>
      <c r="J48" s="592">
        <v>8155</v>
      </c>
      <c r="K48" s="590"/>
      <c r="L48" s="17">
        <v>7</v>
      </c>
      <c r="M48" s="592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590">
        <f>17937191.99/1.2/1000</f>
        <v>14947.659991666666</v>
      </c>
      <c r="I49" s="17">
        <v>1</v>
      </c>
      <c r="J49" s="592">
        <v>14947.659991666666</v>
      </c>
      <c r="K49" s="590">
        <f>17937191.99/1.2/1000</f>
        <v>14947.659991666666</v>
      </c>
      <c r="L49" s="17">
        <v>1</v>
      </c>
      <c r="M49" s="59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590"/>
      <c r="I50" s="17">
        <v>2883</v>
      </c>
      <c r="J50" s="592">
        <v>2021.069441666667</v>
      </c>
      <c r="K50" s="590"/>
      <c r="L50" s="17">
        <v>2883</v>
      </c>
      <c r="M50" s="592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590"/>
      <c r="I51" s="17">
        <v>5</v>
      </c>
      <c r="J51" s="592">
        <v>231.75</v>
      </c>
      <c r="K51" s="590"/>
      <c r="L51" s="17">
        <v>5</v>
      </c>
      <c r="M51" s="592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590"/>
      <c r="I52" s="17">
        <v>20</v>
      </c>
      <c r="J52" s="592">
        <v>125.4</v>
      </c>
      <c r="K52" s="590"/>
      <c r="L52" s="17">
        <v>20</v>
      </c>
      <c r="M52" s="592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92">
        <v>42557.229450000006</v>
      </c>
      <c r="I53" s="17">
        <v>1</v>
      </c>
      <c r="J53" s="592">
        <v>42557.229450000006</v>
      </c>
      <c r="K53" s="592">
        <v>42557.229450000006</v>
      </c>
      <c r="L53" s="17">
        <v>1</v>
      </c>
      <c r="M53" s="592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590"/>
      <c r="I54" s="17">
        <v>1</v>
      </c>
      <c r="J54" s="592">
        <v>95.23</v>
      </c>
      <c r="K54" s="590"/>
      <c r="L54" s="17">
        <v>1</v>
      </c>
      <c r="M54" s="592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590"/>
      <c r="I55" s="17">
        <v>44</v>
      </c>
      <c r="J55" s="592">
        <v>3769.83</v>
      </c>
      <c r="K55" s="590"/>
      <c r="L55" s="17">
        <v>44</v>
      </c>
      <c r="M55" s="592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590"/>
      <c r="I56" s="17">
        <v>220</v>
      </c>
      <c r="J56" s="592">
        <v>1320</v>
      </c>
      <c r="K56" s="590"/>
      <c r="L56" s="30">
        <v>220</v>
      </c>
      <c r="M56" s="59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590"/>
      <c r="I57" s="17">
        <v>5</v>
      </c>
      <c r="J57" s="592">
        <v>1802.08</v>
      </c>
      <c r="K57" s="590"/>
      <c r="L57" s="30">
        <v>5</v>
      </c>
      <c r="M57" s="59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92">
        <v>1753.2614250000001</v>
      </c>
      <c r="I58" s="17">
        <v>1</v>
      </c>
      <c r="J58" s="592">
        <v>1753.2614250000001</v>
      </c>
      <c r="K58" s="592">
        <v>1753.2614250000001</v>
      </c>
      <c r="L58" s="17">
        <v>1</v>
      </c>
      <c r="M58" s="592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92">
        <v>2892.375</v>
      </c>
      <c r="I59" s="17">
        <v>1</v>
      </c>
      <c r="J59" s="592">
        <v>2892.375</v>
      </c>
      <c r="K59" s="592">
        <v>2892.375</v>
      </c>
      <c r="L59" s="17">
        <v>1</v>
      </c>
      <c r="M59" s="592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92">
        <v>2611.0114750000002</v>
      </c>
      <c r="I60" s="17">
        <v>1</v>
      </c>
      <c r="J60" s="592">
        <v>2611.0114750000002</v>
      </c>
      <c r="K60" s="592">
        <v>2611.0114750000002</v>
      </c>
      <c r="L60" s="17">
        <v>1</v>
      </c>
      <c r="M60" s="592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92">
        <v>1568.5536083333334</v>
      </c>
      <c r="I61" s="17">
        <v>1</v>
      </c>
      <c r="J61" s="592">
        <v>1568.5536083333334</v>
      </c>
      <c r="K61" s="592">
        <v>1568.5536083333334</v>
      </c>
      <c r="L61" s="17">
        <v>1</v>
      </c>
      <c r="M61" s="592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92">
        <v>4437.0822250000001</v>
      </c>
      <c r="I62" s="17">
        <v>1</v>
      </c>
      <c r="J62" s="592">
        <v>4437.0822250000001</v>
      </c>
      <c r="K62" s="592">
        <v>4437.0822250000001</v>
      </c>
      <c r="L62" s="17">
        <v>1</v>
      </c>
      <c r="M62" s="592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92">
        <v>1814.2742500000002</v>
      </c>
      <c r="I63" s="17">
        <v>1</v>
      </c>
      <c r="J63" s="592">
        <v>1814.2742500000002</v>
      </c>
      <c r="K63" s="592">
        <v>1814.2742500000002</v>
      </c>
      <c r="L63" s="17">
        <v>1</v>
      </c>
      <c r="M63" s="592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92">
        <v>4839.9405166666666</v>
      </c>
      <c r="I64" s="17">
        <v>1</v>
      </c>
      <c r="J64" s="592">
        <v>4839.9405166666666</v>
      </c>
      <c r="K64" s="592">
        <v>4839.9405166666666</v>
      </c>
      <c r="L64" s="17">
        <v>1</v>
      </c>
      <c r="M64" s="592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590"/>
      <c r="I65" s="17">
        <v>990</v>
      </c>
      <c r="J65" s="592">
        <v>4536.68</v>
      </c>
      <c r="K65" s="590"/>
      <c r="L65" s="30">
        <v>990</v>
      </c>
      <c r="M65" s="59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590"/>
      <c r="I66" s="17">
        <v>20</v>
      </c>
      <c r="J66" s="592">
        <v>113.6</v>
      </c>
      <c r="K66" s="590"/>
      <c r="L66" s="30">
        <v>20</v>
      </c>
      <c r="M66" s="59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92">
        <v>5063.9220000000005</v>
      </c>
      <c r="I67" s="17">
        <v>1</v>
      </c>
      <c r="J67" s="592">
        <v>5063.9220000000005</v>
      </c>
      <c r="K67" s="592">
        <v>5063.9220000000005</v>
      </c>
      <c r="L67" s="17">
        <v>1</v>
      </c>
      <c r="M67" s="592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92">
        <v>779.63</v>
      </c>
      <c r="I68" s="17">
        <v>1</v>
      </c>
      <c r="J68" s="592">
        <v>779.63</v>
      </c>
      <c r="K68" s="592">
        <v>779.63</v>
      </c>
      <c r="L68" s="17">
        <v>1</v>
      </c>
      <c r="M68" s="592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92">
        <v>536.25</v>
      </c>
      <c r="I69" s="17">
        <v>1</v>
      </c>
      <c r="J69" s="592">
        <v>536.25</v>
      </c>
      <c r="K69" s="592">
        <v>536.25</v>
      </c>
      <c r="L69" s="17">
        <v>1</v>
      </c>
      <c r="M69" s="592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92">
        <v>10976.597466666668</v>
      </c>
      <c r="I70" s="17">
        <v>1</v>
      </c>
      <c r="J70" s="592">
        <v>10976.597466666668</v>
      </c>
      <c r="K70" s="592">
        <v>10976.597466666668</v>
      </c>
      <c r="L70" s="17">
        <v>1</v>
      </c>
      <c r="M70" s="592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92">
        <v>11223.566733333335</v>
      </c>
      <c r="I71" s="17">
        <v>1</v>
      </c>
      <c r="J71" s="592">
        <v>11223.566733333335</v>
      </c>
      <c r="K71" s="592">
        <v>11223.566733333335</v>
      </c>
      <c r="L71" s="17">
        <v>1</v>
      </c>
      <c r="M71" s="592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92">
        <v>11550.103533333333</v>
      </c>
      <c r="I72" s="17">
        <v>1</v>
      </c>
      <c r="J72" s="592">
        <v>11550.103533333333</v>
      </c>
      <c r="K72" s="592">
        <v>11550.103533333333</v>
      </c>
      <c r="L72" s="17">
        <v>1</v>
      </c>
      <c r="M72" s="592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92">
        <v>22769.216683333332</v>
      </c>
      <c r="I73" s="17">
        <v>1</v>
      </c>
      <c r="J73" s="592">
        <v>22769.216683333332</v>
      </c>
      <c r="K73" s="592">
        <v>22769.216683333332</v>
      </c>
      <c r="L73" s="17">
        <v>1</v>
      </c>
      <c r="M73" s="592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92">
        <v>8007.6770000000006</v>
      </c>
      <c r="I74" s="17">
        <v>1</v>
      </c>
      <c r="J74" s="592">
        <v>8007.6770000000006</v>
      </c>
      <c r="K74" s="592">
        <v>8007.6770000000006</v>
      </c>
      <c r="L74" s="17">
        <v>1</v>
      </c>
      <c r="M74" s="592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92">
        <v>9955.5533000000014</v>
      </c>
      <c r="I75" s="17">
        <v>1</v>
      </c>
      <c r="J75" s="592">
        <v>9955.5533000000014</v>
      </c>
      <c r="K75" s="592">
        <v>9955.5533000000014</v>
      </c>
      <c r="L75" s="17">
        <v>1</v>
      </c>
      <c r="M75" s="592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92">
        <v>30543.989266666667</v>
      </c>
      <c r="I76" s="17">
        <v>1</v>
      </c>
      <c r="J76" s="592">
        <v>30543.989266666667</v>
      </c>
      <c r="K76" s="592">
        <v>30543.989266666667</v>
      </c>
      <c r="L76" s="17">
        <v>1</v>
      </c>
      <c r="M76" s="592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92">
        <v>2456.56</v>
      </c>
      <c r="I77" s="17">
        <v>1</v>
      </c>
      <c r="J77" s="592">
        <v>2456.56</v>
      </c>
      <c r="K77" s="592">
        <v>2456.56</v>
      </c>
      <c r="L77" s="17">
        <v>1</v>
      </c>
      <c r="M77" s="592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92">
        <v>2438.35</v>
      </c>
      <c r="I78" s="17">
        <v>1</v>
      </c>
      <c r="J78" s="592">
        <v>2438.35</v>
      </c>
      <c r="K78" s="592">
        <v>2438.35</v>
      </c>
      <c r="L78" s="17">
        <v>1</v>
      </c>
      <c r="M78" s="592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92">
        <v>1540.42</v>
      </c>
      <c r="I79" s="17">
        <v>1</v>
      </c>
      <c r="J79" s="592">
        <v>1540.42</v>
      </c>
      <c r="K79" s="592">
        <v>1540.42</v>
      </c>
      <c r="L79" s="17">
        <v>1</v>
      </c>
      <c r="M79" s="592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92">
        <v>14879.444308333335</v>
      </c>
      <c r="I80" s="17">
        <v>1</v>
      </c>
      <c r="J80" s="592">
        <v>14879.444308333335</v>
      </c>
      <c r="K80" s="592">
        <v>14879.444308333335</v>
      </c>
      <c r="L80" s="17">
        <v>1</v>
      </c>
      <c r="M80" s="592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92">
        <v>16220.156625</v>
      </c>
      <c r="I81" s="17">
        <v>1</v>
      </c>
      <c r="J81" s="592">
        <v>16220.156625</v>
      </c>
      <c r="K81" s="592">
        <v>16220.156625</v>
      </c>
      <c r="L81" s="17">
        <v>1</v>
      </c>
      <c r="M81" s="592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92">
        <v>30451.739091666666</v>
      </c>
      <c r="I82" s="17">
        <v>1</v>
      </c>
      <c r="J82" s="592">
        <v>30451.739091666666</v>
      </c>
      <c r="K82" s="592">
        <v>30451.739091666666</v>
      </c>
      <c r="L82" s="17">
        <v>1</v>
      </c>
      <c r="M82" s="592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92">
        <v>1803.85</v>
      </c>
      <c r="I83" s="17">
        <v>1</v>
      </c>
      <c r="J83" s="592">
        <v>1803.85</v>
      </c>
      <c r="K83" s="592">
        <v>1803.85</v>
      </c>
      <c r="L83" s="17">
        <v>1</v>
      </c>
      <c r="M83" s="592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92">
        <v>1746.94</v>
      </c>
      <c r="I84" s="17">
        <v>1</v>
      </c>
      <c r="J84" s="592">
        <v>1746.94</v>
      </c>
      <c r="K84" s="592">
        <v>1746.94</v>
      </c>
      <c r="L84" s="17">
        <v>1</v>
      </c>
      <c r="M84" s="592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92">
        <v>1061.1895</v>
      </c>
      <c r="I85" s="17">
        <v>1</v>
      </c>
      <c r="J85" s="592">
        <v>1061.1895</v>
      </c>
      <c r="K85" s="592">
        <v>1061.1895</v>
      </c>
      <c r="L85" s="17">
        <v>1</v>
      </c>
      <c r="M85" s="592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92">
        <v>580.37230833333331</v>
      </c>
      <c r="I86" s="17">
        <v>1</v>
      </c>
      <c r="J86" s="592">
        <v>580.37230833333331</v>
      </c>
      <c r="K86" s="592">
        <v>580.37230833333331</v>
      </c>
      <c r="L86" s="17">
        <v>1</v>
      </c>
      <c r="M86" s="592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92">
        <v>1126.4987166666667</v>
      </c>
      <c r="I87" s="17">
        <v>1</v>
      </c>
      <c r="J87" s="592">
        <v>1126.4987166666667</v>
      </c>
      <c r="K87" s="592">
        <v>1126.4987166666667</v>
      </c>
      <c r="L87" s="17">
        <v>1</v>
      </c>
      <c r="M87" s="592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92">
        <v>1059.8841916666665</v>
      </c>
      <c r="I88" s="17">
        <v>1</v>
      </c>
      <c r="J88" s="592">
        <v>1059.8841916666665</v>
      </c>
      <c r="K88" s="592">
        <v>1059.8841916666665</v>
      </c>
      <c r="L88" s="17">
        <v>1</v>
      </c>
      <c r="M88" s="592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92">
        <v>379.50758333333329</v>
      </c>
      <c r="I89" s="17">
        <v>1</v>
      </c>
      <c r="J89" s="592">
        <v>379.50758333333329</v>
      </c>
      <c r="K89" s="592">
        <v>379.50758333333329</v>
      </c>
      <c r="L89" s="17">
        <v>1</v>
      </c>
      <c r="M89" s="592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92">
        <v>218.54481666666672</v>
      </c>
      <c r="I90" s="17">
        <v>1</v>
      </c>
      <c r="J90" s="592">
        <v>218.54481666666672</v>
      </c>
      <c r="K90" s="592">
        <v>218.54481666666672</v>
      </c>
      <c r="L90" s="17">
        <v>1</v>
      </c>
      <c r="M90" s="592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92">
        <v>315.9595333333333</v>
      </c>
      <c r="I91" s="17">
        <v>1</v>
      </c>
      <c r="J91" s="592">
        <v>315.9595333333333</v>
      </c>
      <c r="K91" s="592">
        <v>315.9595333333333</v>
      </c>
      <c r="L91" s="17">
        <v>1</v>
      </c>
      <c r="M91" s="592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92">
        <v>421.47824166666669</v>
      </c>
      <c r="I92" s="17">
        <v>1</v>
      </c>
      <c r="J92" s="592">
        <v>421.47824166666669</v>
      </c>
      <c r="K92" s="592">
        <v>421.47824166666669</v>
      </c>
      <c r="L92" s="17">
        <v>1</v>
      </c>
      <c r="M92" s="592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92">
        <v>750.01798333333329</v>
      </c>
      <c r="I93" s="17">
        <v>1</v>
      </c>
      <c r="J93" s="592">
        <v>750.01798333333329</v>
      </c>
      <c r="K93" s="592">
        <v>750.01798333333329</v>
      </c>
      <c r="L93" s="17">
        <v>1</v>
      </c>
      <c r="M93" s="592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92">
        <v>337.77145833333338</v>
      </c>
      <c r="I94" s="17">
        <v>1</v>
      </c>
      <c r="J94" s="592">
        <v>337.77145833333338</v>
      </c>
      <c r="K94" s="592">
        <v>337.77145833333338</v>
      </c>
      <c r="L94" s="17">
        <v>1</v>
      </c>
      <c r="M94" s="592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92">
        <v>239.70174166666669</v>
      </c>
      <c r="I95" s="17">
        <v>1</v>
      </c>
      <c r="J95" s="592">
        <v>239.70174166666669</v>
      </c>
      <c r="K95" s="592">
        <v>239.70174166666669</v>
      </c>
      <c r="L95" s="17">
        <v>1</v>
      </c>
      <c r="M95" s="592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92">
        <v>274.92998333333333</v>
      </c>
      <c r="I96" s="17">
        <v>1</v>
      </c>
      <c r="J96" s="592">
        <v>274.92998333333333</v>
      </c>
      <c r="K96" s="592">
        <v>274.92998333333333</v>
      </c>
      <c r="L96" s="17">
        <v>1</v>
      </c>
      <c r="M96" s="592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92">
        <v>322.49216666666666</v>
      </c>
      <c r="I97" s="17">
        <v>1</v>
      </c>
      <c r="J97" s="592">
        <v>322.49216666666666</v>
      </c>
      <c r="K97" s="592">
        <v>322.49216666666666</v>
      </c>
      <c r="L97" s="17">
        <v>1</v>
      </c>
      <c r="M97" s="592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92">
        <v>390.85191666666668</v>
      </c>
      <c r="I98" s="17">
        <v>1</v>
      </c>
      <c r="J98" s="592">
        <v>390.85191666666668</v>
      </c>
      <c r="K98" s="592">
        <v>390.85191666666668</v>
      </c>
      <c r="L98" s="17">
        <v>1</v>
      </c>
      <c r="M98" s="592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92">
        <v>742.09535000000005</v>
      </c>
      <c r="I99" s="17">
        <v>1</v>
      </c>
      <c r="J99" s="592">
        <v>742.09535000000005</v>
      </c>
      <c r="K99" s="592">
        <v>742.09535000000005</v>
      </c>
      <c r="L99" s="17">
        <v>1</v>
      </c>
      <c r="M99" s="592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92">
        <v>365.38350000000003</v>
      </c>
      <c r="I100" s="17">
        <v>1</v>
      </c>
      <c r="J100" s="592">
        <v>365.38350000000003</v>
      </c>
      <c r="K100" s="592">
        <v>365.38350000000003</v>
      </c>
      <c r="L100" s="17">
        <v>1</v>
      </c>
      <c r="M100" s="592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92">
        <v>1245.8333</v>
      </c>
      <c r="I101" s="17">
        <v>1</v>
      </c>
      <c r="J101" s="592">
        <v>1245.8333</v>
      </c>
      <c r="K101" s="592">
        <v>1245.8333</v>
      </c>
      <c r="L101" s="17">
        <v>1</v>
      </c>
      <c r="M101" s="592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590"/>
      <c r="I102" s="17">
        <v>979</v>
      </c>
      <c r="J102" s="592">
        <v>727.25</v>
      </c>
      <c r="K102" s="590"/>
      <c r="L102" s="30">
        <v>979</v>
      </c>
      <c r="M102" s="59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590"/>
      <c r="I103" s="17">
        <v>20</v>
      </c>
      <c r="J103" s="592">
        <v>89.4</v>
      </c>
      <c r="K103" s="590"/>
      <c r="L103" s="30">
        <v>20</v>
      </c>
      <c r="M103" s="59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590"/>
      <c r="I104" s="17">
        <v>1</v>
      </c>
      <c r="J104" s="592">
        <v>140</v>
      </c>
      <c r="K104" s="590"/>
      <c r="L104" s="30">
        <v>1</v>
      </c>
      <c r="M104" s="59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92">
        <v>2679.66</v>
      </c>
      <c r="I105" s="17">
        <v>1</v>
      </c>
      <c r="J105" s="592">
        <v>2679.66</v>
      </c>
      <c r="K105" s="592">
        <v>2679.66</v>
      </c>
      <c r="L105" s="17">
        <v>1</v>
      </c>
      <c r="M105" s="592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92">
        <v>17914.346766666669</v>
      </c>
      <c r="I106" s="17">
        <v>1</v>
      </c>
      <c r="J106" s="592">
        <v>17914.346766666669</v>
      </c>
      <c r="K106" s="592">
        <v>17914.346766666669</v>
      </c>
      <c r="L106" s="17">
        <v>1</v>
      </c>
      <c r="M106" s="592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457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590">
        <v>17914.346766666669</v>
      </c>
      <c r="I107" s="17">
        <v>1</v>
      </c>
      <c r="J107" s="592">
        <v>17914.346766666669</v>
      </c>
      <c r="K107" s="590">
        <v>17914.346766666669</v>
      </c>
      <c r="L107" s="17">
        <v>1</v>
      </c>
      <c r="M107" s="592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590">
        <v>186.94049166666667</v>
      </c>
      <c r="I108" s="17">
        <v>1</v>
      </c>
      <c r="J108" s="592">
        <f>224328.59/1.2/1000</f>
        <v>186.94049166666667</v>
      </c>
      <c r="K108" s="590">
        <v>186.94049166666667</v>
      </c>
      <c r="L108" s="17">
        <v>1</v>
      </c>
      <c r="M108" s="592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590">
        <v>176.64009166666668</v>
      </c>
      <c r="I109" s="17">
        <v>1</v>
      </c>
      <c r="J109" s="592">
        <v>176.64009166666668</v>
      </c>
      <c r="K109" s="590">
        <v>176.64009166666668</v>
      </c>
      <c r="L109" s="17">
        <v>1</v>
      </c>
      <c r="M109" s="592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590">
        <v>128.66041666666669</v>
      </c>
      <c r="I110" s="17">
        <v>1</v>
      </c>
      <c r="J110" s="592">
        <v>128.66041666666669</v>
      </c>
      <c r="K110" s="590">
        <v>128.66041666666669</v>
      </c>
      <c r="L110" s="17">
        <v>1</v>
      </c>
      <c r="M110" s="592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590">
        <v>248.58900000000003</v>
      </c>
      <c r="I111" s="17">
        <v>1</v>
      </c>
      <c r="J111" s="592">
        <v>248.58900000000003</v>
      </c>
      <c r="K111" s="590">
        <v>248.58900000000003</v>
      </c>
      <c r="L111" s="17">
        <v>1</v>
      </c>
      <c r="M111" s="592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590">
        <v>192.21574999999999</v>
      </c>
      <c r="I112" s="17">
        <v>1</v>
      </c>
      <c r="J112" s="592">
        <v>192.21574999999999</v>
      </c>
      <c r="K112" s="590">
        <v>192.21574999999999</v>
      </c>
      <c r="L112" s="17">
        <v>1</v>
      </c>
      <c r="M112" s="592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590">
        <v>201.14333333333335</v>
      </c>
      <c r="I113" s="17">
        <v>1</v>
      </c>
      <c r="J113" s="592">
        <v>201.14333333333335</v>
      </c>
      <c r="K113" s="590">
        <v>201.14333333333335</v>
      </c>
      <c r="L113" s="17">
        <v>1</v>
      </c>
      <c r="M113" s="592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590">
        <v>200.39616666666669</v>
      </c>
      <c r="I114" s="17">
        <v>1</v>
      </c>
      <c r="J114" s="592">
        <v>200.39616666666669</v>
      </c>
      <c r="K114" s="590">
        <v>200.39616666666669</v>
      </c>
      <c r="L114" s="17">
        <v>1</v>
      </c>
      <c r="M114" s="592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590">
        <v>82.108391666666677</v>
      </c>
      <c r="I115" s="19">
        <v>1</v>
      </c>
      <c r="J115" s="590">
        <v>82.108391666666677</v>
      </c>
      <c r="K115" s="590">
        <v>82.108391666666677</v>
      </c>
      <c r="L115" s="19">
        <v>1</v>
      </c>
      <c r="M115" s="59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590">
        <v>150.86134166666665</v>
      </c>
      <c r="I116" s="19">
        <v>1</v>
      </c>
      <c r="J116" s="590">
        <v>150.86134166666665</v>
      </c>
      <c r="K116" s="590">
        <v>150.86134166666665</v>
      </c>
      <c r="L116" s="19">
        <v>1</v>
      </c>
      <c r="M116" s="59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590">
        <v>197.69570833333333</v>
      </c>
      <c r="I117" s="19">
        <v>1</v>
      </c>
      <c r="J117" s="590">
        <v>197.69570833333333</v>
      </c>
      <c r="K117" s="590">
        <v>197.69570833333333</v>
      </c>
      <c r="L117" s="19">
        <v>1</v>
      </c>
      <c r="M117" s="59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590">
        <v>232.07635000000002</v>
      </c>
      <c r="I118" s="19">
        <v>1</v>
      </c>
      <c r="J118" s="590">
        <v>232.07635000000002</v>
      </c>
      <c r="K118" s="590">
        <v>232.07635000000002</v>
      </c>
      <c r="L118" s="19">
        <v>1</v>
      </c>
      <c r="M118" s="59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590">
        <v>52.414616666666667</v>
      </c>
      <c r="I119" s="19">
        <v>1</v>
      </c>
      <c r="J119" s="590">
        <v>52.414616666666667</v>
      </c>
      <c r="K119" s="590">
        <v>52.414616666666667</v>
      </c>
      <c r="L119" s="19">
        <v>1</v>
      </c>
      <c r="M119" s="59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590">
        <v>238.34789166666664</v>
      </c>
      <c r="I120" s="19">
        <v>1</v>
      </c>
      <c r="J120" s="590">
        <v>238.34789166666664</v>
      </c>
      <c r="K120" s="590">
        <v>238.34789166666664</v>
      </c>
      <c r="L120" s="19">
        <v>1</v>
      </c>
      <c r="M120" s="59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590">
        <v>111.73391666666667</v>
      </c>
      <c r="I121" s="19">
        <v>1</v>
      </c>
      <c r="J121" s="590">
        <v>111.73391666666667</v>
      </c>
      <c r="K121" s="590">
        <v>111.73391666666667</v>
      </c>
      <c r="L121" s="19">
        <v>1</v>
      </c>
      <c r="M121" s="59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590">
        <v>260.60821666666664</v>
      </c>
      <c r="I122" s="19">
        <v>1</v>
      </c>
      <c r="J122" s="590">
        <v>260.60821666666664</v>
      </c>
      <c r="K122" s="590">
        <v>260.60821666666664</v>
      </c>
      <c r="L122" s="19">
        <v>1</v>
      </c>
      <c r="M122" s="59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590"/>
      <c r="I123" s="19">
        <v>3</v>
      </c>
      <c r="J123" s="590">
        <v>225</v>
      </c>
      <c r="K123" s="590"/>
      <c r="L123" s="19">
        <v>3</v>
      </c>
      <c r="M123" s="59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590">
        <v>92.896299999999997</v>
      </c>
      <c r="I124" s="19">
        <v>1</v>
      </c>
      <c r="J124" s="590">
        <v>92.896299999999997</v>
      </c>
      <c r="K124" s="590">
        <v>92.896299999999997</v>
      </c>
      <c r="L124" s="19">
        <v>1</v>
      </c>
      <c r="M124" s="59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590">
        <v>1249.6003833333334</v>
      </c>
      <c r="I125" s="30">
        <v>1</v>
      </c>
      <c r="J125" s="590">
        <v>1249.6003833333334</v>
      </c>
      <c r="K125" s="590">
        <v>1249.6003833333334</v>
      </c>
      <c r="L125" s="30">
        <v>1</v>
      </c>
      <c r="M125" s="59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590">
        <v>505.40151666666668</v>
      </c>
      <c r="I126" s="30">
        <v>1</v>
      </c>
      <c r="J126" s="590">
        <v>505.40151666666668</v>
      </c>
      <c r="K126" s="590">
        <v>505.40151666666668</v>
      </c>
      <c r="L126" s="30">
        <v>1</v>
      </c>
      <c r="M126" s="59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590">
        <v>260.60821666666669</v>
      </c>
      <c r="I127" s="30">
        <v>1</v>
      </c>
      <c r="J127" s="590">
        <v>260.60821666666669</v>
      </c>
      <c r="K127" s="590">
        <v>260.60821666666669</v>
      </c>
      <c r="L127" s="30">
        <v>1</v>
      </c>
      <c r="M127" s="59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590">
        <f>911.5919/1.2</f>
        <v>759.65991666666673</v>
      </c>
      <c r="I128" s="30">
        <v>1</v>
      </c>
      <c r="J128" s="590">
        <f>911.5919/1.2</f>
        <v>759.65991666666673</v>
      </c>
      <c r="K128" s="590">
        <f>911.5919/1.2</f>
        <v>759.65991666666673</v>
      </c>
      <c r="L128" s="30">
        <v>1</v>
      </c>
      <c r="M128" s="59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590">
        <f>457728.86/1.2/1000</f>
        <v>381.44071666666667</v>
      </c>
      <c r="I129" s="30">
        <v>1</v>
      </c>
      <c r="J129" s="590">
        <f>457728.86/1.2/1000</f>
        <v>381.44071666666667</v>
      </c>
      <c r="K129" s="590">
        <f>457728.86/1.2/1000</f>
        <v>381.44071666666667</v>
      </c>
      <c r="L129" s="30">
        <v>1</v>
      </c>
      <c r="M129" s="59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591">
        <f>813.26934/1.2</f>
        <v>677.72445000000005</v>
      </c>
      <c r="I130" s="2">
        <v>1</v>
      </c>
      <c r="J130" s="591">
        <f>813.26934/1.2</f>
        <v>677.72445000000005</v>
      </c>
      <c r="K130" s="591">
        <f>813.26934/1.2</f>
        <v>677.72445000000005</v>
      </c>
      <c r="L130" s="2">
        <v>1</v>
      </c>
      <c r="M130" s="591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590">
        <v>73.280283333333344</v>
      </c>
      <c r="I131" s="19">
        <v>1</v>
      </c>
      <c r="J131" s="590">
        <v>73.280283333333344</v>
      </c>
      <c r="K131" s="590">
        <v>73.280283333333344</v>
      </c>
      <c r="L131" s="19">
        <v>1</v>
      </c>
      <c r="M131" s="59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590">
        <v>115.23385</v>
      </c>
      <c r="I132" s="19">
        <v>1</v>
      </c>
      <c r="J132" s="590">
        <v>115.23385</v>
      </c>
      <c r="K132" s="590">
        <v>115.23385</v>
      </c>
      <c r="L132" s="19">
        <v>1</v>
      </c>
      <c r="M132" s="59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590">
        <v>50.018791666666672</v>
      </c>
      <c r="I133" s="19">
        <v>1</v>
      </c>
      <c r="J133" s="590">
        <v>50.018791666666672</v>
      </c>
      <c r="K133" s="590">
        <v>50.018791666666672</v>
      </c>
      <c r="L133" s="19">
        <v>1</v>
      </c>
      <c r="M133" s="59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590">
        <v>50.018791666666672</v>
      </c>
      <c r="I134" s="19">
        <v>1</v>
      </c>
      <c r="J134" s="590">
        <v>50.018791666666672</v>
      </c>
      <c r="K134" s="590">
        <v>50.018791666666672</v>
      </c>
      <c r="L134" s="19">
        <v>1</v>
      </c>
      <c r="M134" s="59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590">
        <v>102.12271666666666</v>
      </c>
      <c r="I135" s="19">
        <v>1</v>
      </c>
      <c r="J135" s="590">
        <v>102.12271666666666</v>
      </c>
      <c r="K135" s="590">
        <v>102.12271666666666</v>
      </c>
      <c r="L135" s="19">
        <v>1</v>
      </c>
      <c r="M135" s="59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590">
        <v>50.688966666666666</v>
      </c>
      <c r="I136" s="19">
        <v>1</v>
      </c>
      <c r="J136" s="590">
        <v>50.688966666666666</v>
      </c>
      <c r="K136" s="590">
        <v>50.688966666666666</v>
      </c>
      <c r="L136" s="19">
        <v>1</v>
      </c>
      <c r="M136" s="59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590">
        <v>50.24901666666667</v>
      </c>
      <c r="I137" s="19">
        <v>1</v>
      </c>
      <c r="J137" s="590">
        <v>50.24901666666667</v>
      </c>
      <c r="K137" s="590">
        <v>50.24901666666667</v>
      </c>
      <c r="L137" s="19">
        <v>1</v>
      </c>
      <c r="M137" s="59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590">
        <v>83.923249999999996</v>
      </c>
      <c r="I138" s="19">
        <v>1</v>
      </c>
      <c r="J138" s="590">
        <v>83.923249999999996</v>
      </c>
      <c r="K138" s="590">
        <v>83.923249999999996</v>
      </c>
      <c r="L138" s="19">
        <v>1</v>
      </c>
      <c r="M138" s="59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590">
        <f>130.78254/1.2</f>
        <v>108.98545000000001</v>
      </c>
      <c r="I139" s="30">
        <v>1</v>
      </c>
      <c r="J139" s="590">
        <f>130.78254/1.2</f>
        <v>108.98545000000001</v>
      </c>
      <c r="K139" s="590">
        <f>130.78254/1.2</f>
        <v>108.98545000000001</v>
      </c>
      <c r="L139" s="30">
        <v>1</v>
      </c>
      <c r="M139" s="590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590">
        <v>153.88545000000002</v>
      </c>
      <c r="I140" s="19">
        <v>1</v>
      </c>
      <c r="J140" s="590">
        <v>153.88545000000002</v>
      </c>
      <c r="K140" s="590">
        <v>153.88545000000002</v>
      </c>
      <c r="L140" s="19">
        <v>1</v>
      </c>
      <c r="M140" s="59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590">
        <v>163.24846666666667</v>
      </c>
      <c r="I141" s="19">
        <v>1</v>
      </c>
      <c r="J141" s="590">
        <v>163.24846666666667</v>
      </c>
      <c r="K141" s="590">
        <v>163.24846666666667</v>
      </c>
      <c r="L141" s="19">
        <v>1</v>
      </c>
      <c r="M141" s="59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590">
        <v>135.47093333333333</v>
      </c>
      <c r="I142" s="30">
        <v>1</v>
      </c>
      <c r="J142" s="590">
        <v>135.47093333333333</v>
      </c>
      <c r="K142" s="590">
        <v>135.47093333333333</v>
      </c>
      <c r="L142" s="30">
        <v>1</v>
      </c>
      <c r="M142" s="59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590">
        <v>139.26370000000003</v>
      </c>
      <c r="I143" s="19">
        <v>1</v>
      </c>
      <c r="J143" s="590">
        <v>139.26370000000003</v>
      </c>
      <c r="K143" s="590">
        <v>139.26370000000003</v>
      </c>
      <c r="L143" s="19">
        <v>1</v>
      </c>
      <c r="M143" s="59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590">
        <v>289.09326666666669</v>
      </c>
      <c r="I144" s="19">
        <v>1</v>
      </c>
      <c r="J144" s="590">
        <v>289.09326666666669</v>
      </c>
      <c r="K144" s="590">
        <v>289.09326666666669</v>
      </c>
      <c r="L144" s="19">
        <v>1</v>
      </c>
      <c r="M144" s="59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590">
        <v>95.580883333333333</v>
      </c>
      <c r="I145" s="30">
        <v>1</v>
      </c>
      <c r="J145" s="590">
        <v>95.580883333333333</v>
      </c>
      <c r="K145" s="590">
        <v>95.580883333333333</v>
      </c>
      <c r="L145" s="30">
        <v>1</v>
      </c>
      <c r="M145" s="59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590">
        <v>155.93403333333333</v>
      </c>
      <c r="I146" s="19">
        <v>1</v>
      </c>
      <c r="J146" s="590">
        <v>155.93403333333333</v>
      </c>
      <c r="K146" s="590">
        <v>155.93403333333333</v>
      </c>
      <c r="L146" s="19">
        <v>1</v>
      </c>
      <c r="M146" s="59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590">
        <v>102.19039166666667</v>
      </c>
      <c r="I147" s="30">
        <v>1</v>
      </c>
      <c r="J147" s="590">
        <v>102.19039166666667</v>
      </c>
      <c r="K147" s="590">
        <v>102.19039166666667</v>
      </c>
      <c r="L147" s="30">
        <v>1</v>
      </c>
      <c r="M147" s="590">
        <v>102.19039166666667</v>
      </c>
      <c r="N147" s="3" t="s">
        <v>380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590">
        <v>71.533266666666663</v>
      </c>
      <c r="I148" s="30">
        <v>1</v>
      </c>
      <c r="J148" s="590">
        <v>71.533266666666663</v>
      </c>
      <c r="K148" s="590">
        <v>71.533266666666663</v>
      </c>
      <c r="L148" s="30">
        <v>1</v>
      </c>
      <c r="M148" s="590">
        <v>71.533266666666663</v>
      </c>
      <c r="N148" s="3" t="s">
        <v>379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590">
        <v>696.18994999999995</v>
      </c>
      <c r="I149" s="30">
        <v>1</v>
      </c>
      <c r="J149" s="590">
        <v>696.18994999999995</v>
      </c>
      <c r="K149" s="590">
        <v>696.18994999999995</v>
      </c>
      <c r="L149" s="30">
        <v>1</v>
      </c>
      <c r="M149" s="590">
        <v>696.18994999999995</v>
      </c>
      <c r="N149" s="3" t="s">
        <v>377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590">
        <v>758.30493333333345</v>
      </c>
      <c r="I150" s="30">
        <v>1</v>
      </c>
      <c r="J150" s="590">
        <v>758.30493333333345</v>
      </c>
      <c r="K150" s="590">
        <v>758.30493333333345</v>
      </c>
      <c r="L150" s="30">
        <v>1</v>
      </c>
      <c r="M150" s="590">
        <v>758.30493333333345</v>
      </c>
      <c r="N150" s="3" t="s">
        <v>376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590">
        <v>976.18724166666675</v>
      </c>
      <c r="I151" s="30">
        <v>1</v>
      </c>
      <c r="J151" s="590">
        <v>976.18724166666675</v>
      </c>
      <c r="K151" s="590">
        <v>976.18724166666675</v>
      </c>
      <c r="L151" s="30">
        <v>1</v>
      </c>
      <c r="M151" s="590">
        <v>976.18724166666675</v>
      </c>
      <c r="N151" s="3" t="s">
        <v>375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590">
        <v>532.81869166666672</v>
      </c>
      <c r="I152" s="30">
        <v>1</v>
      </c>
      <c r="J152" s="590">
        <v>532.81869166666672</v>
      </c>
      <c r="K152" s="590">
        <v>532.81869166666672</v>
      </c>
      <c r="L152" s="30">
        <v>1</v>
      </c>
      <c r="M152" s="590">
        <v>532.81869166666672</v>
      </c>
      <c r="N152" s="3" t="s">
        <v>378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446" t="s">
        <v>20</v>
      </c>
      <c r="F153" s="12" t="s">
        <v>370</v>
      </c>
      <c r="G153" s="30" t="s">
        <v>186</v>
      </c>
      <c r="H153" s="590"/>
      <c r="I153" s="17">
        <v>4</v>
      </c>
      <c r="J153" s="590">
        <v>276.76841666666667</v>
      </c>
      <c r="K153" s="590"/>
      <c r="L153" s="17">
        <v>4</v>
      </c>
      <c r="M153" s="590">
        <v>276.76841666666667</v>
      </c>
      <c r="N153" s="3" t="s">
        <v>374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446" t="s">
        <v>20</v>
      </c>
      <c r="F154" s="12" t="s">
        <v>371</v>
      </c>
      <c r="G154" s="30" t="s">
        <v>186</v>
      </c>
      <c r="H154" s="590">
        <v>914.16666666666674</v>
      </c>
      <c r="I154" s="17">
        <v>43</v>
      </c>
      <c r="J154" s="590">
        <v>914.16666666666674</v>
      </c>
      <c r="K154" s="590">
        <v>914.16666666666674</v>
      </c>
      <c r="L154" s="17">
        <v>43</v>
      </c>
      <c r="M154" s="590">
        <v>914.16666666666674</v>
      </c>
      <c r="N154" s="3" t="s">
        <v>373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590">
        <v>587.16880000000003</v>
      </c>
      <c r="I155" s="30">
        <v>1</v>
      </c>
      <c r="J155" s="590">
        <v>587.16880000000003</v>
      </c>
      <c r="K155" s="590">
        <v>587.16880000000003</v>
      </c>
      <c r="L155" s="30">
        <v>1</v>
      </c>
      <c r="M155" s="590">
        <v>587.16880000000003</v>
      </c>
      <c r="N155" s="3" t="s">
        <v>385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590">
        <v>104.89009999999999</v>
      </c>
      <c r="I156" s="30">
        <v>1</v>
      </c>
      <c r="J156" s="590">
        <v>104.89009999999999</v>
      </c>
      <c r="K156" s="590">
        <v>104.89009999999999</v>
      </c>
      <c r="L156" s="30">
        <v>1</v>
      </c>
      <c r="M156" s="590">
        <v>104.89009999999999</v>
      </c>
      <c r="N156" s="3" t="s">
        <v>384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590">
        <v>583.41170000000011</v>
      </c>
      <c r="I157" s="30">
        <v>1</v>
      </c>
      <c r="J157" s="590">
        <v>583.41170000000011</v>
      </c>
      <c r="K157" s="590">
        <v>583.41170000000011</v>
      </c>
      <c r="L157" s="30">
        <v>1</v>
      </c>
      <c r="M157" s="590">
        <v>583.41170000000011</v>
      </c>
      <c r="N157" s="3" t="s">
        <v>383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590">
        <v>377.21148333333338</v>
      </c>
      <c r="I158" s="30">
        <v>1</v>
      </c>
      <c r="J158" s="590">
        <v>377.21148333333338</v>
      </c>
      <c r="K158" s="590">
        <v>377.21148333333338</v>
      </c>
      <c r="L158" s="30">
        <v>1</v>
      </c>
      <c r="M158" s="590">
        <v>377.21148333333338</v>
      </c>
      <c r="N158" s="3" t="s">
        <v>382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590">
        <v>268.31505833333335</v>
      </c>
      <c r="I159" s="30">
        <v>1</v>
      </c>
      <c r="J159" s="590">
        <v>268.31505833333335</v>
      </c>
      <c r="K159" s="590">
        <v>268.31505833333335</v>
      </c>
      <c r="L159" s="30">
        <v>1</v>
      </c>
      <c r="M159" s="590">
        <v>268.31505833333335</v>
      </c>
      <c r="N159" s="3" t="s">
        <v>381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388</v>
      </c>
      <c r="D160" s="30" t="s">
        <v>58</v>
      </c>
      <c r="E160" s="30" t="s">
        <v>88</v>
      </c>
      <c r="F160" s="30" t="s">
        <v>389</v>
      </c>
      <c r="G160" s="30" t="s">
        <v>184</v>
      </c>
      <c r="H160" s="590">
        <f>28358391.58/1000/1.2</f>
        <v>23631.992983333334</v>
      </c>
      <c r="I160" s="30">
        <v>1</v>
      </c>
      <c r="J160" s="590">
        <f>28358391.58/1000/1.2</f>
        <v>23631.992983333334</v>
      </c>
      <c r="K160" s="590">
        <f>28358391.58/1000/1.2</f>
        <v>23631.992983333334</v>
      </c>
      <c r="L160" s="30">
        <v>1</v>
      </c>
      <c r="M160" s="590">
        <f>28358391.58/1000/1.2</f>
        <v>23631.992983333334</v>
      </c>
      <c r="N160" s="3" t="s">
        <v>386</v>
      </c>
      <c r="O160" s="31">
        <v>45020</v>
      </c>
      <c r="P160" s="16" t="s">
        <v>387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520" t="s">
        <v>36</v>
      </c>
      <c r="D161" s="30"/>
      <c r="E161" s="30" t="s">
        <v>88</v>
      </c>
      <c r="F161" s="12" t="s">
        <v>394</v>
      </c>
      <c r="G161" s="30" t="s">
        <v>185</v>
      </c>
      <c r="H161" s="590"/>
      <c r="I161" s="17">
        <v>28</v>
      </c>
      <c r="J161" s="590">
        <v>116.76</v>
      </c>
      <c r="K161" s="590"/>
      <c r="L161" s="17">
        <v>28</v>
      </c>
      <c r="M161" s="590">
        <v>116.76</v>
      </c>
      <c r="N161" s="3" t="s">
        <v>397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520" t="s">
        <v>41</v>
      </c>
      <c r="D162" s="30"/>
      <c r="E162" s="30" t="s">
        <v>88</v>
      </c>
      <c r="F162" s="12" t="s">
        <v>359</v>
      </c>
      <c r="G162" s="30" t="s">
        <v>184</v>
      </c>
      <c r="H162" s="590">
        <v>587.16880000000003</v>
      </c>
      <c r="I162" s="17">
        <v>1</v>
      </c>
      <c r="J162" s="590">
        <v>587.16880000000003</v>
      </c>
      <c r="K162" s="590">
        <v>587.16880000000003</v>
      </c>
      <c r="L162" s="17">
        <v>1</v>
      </c>
      <c r="M162" s="590">
        <v>587.16880000000003</v>
      </c>
      <c r="N162" s="3" t="s">
        <v>385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520" t="s">
        <v>41</v>
      </c>
      <c r="D163" s="30"/>
      <c r="E163" s="30" t="s">
        <v>88</v>
      </c>
      <c r="F163" s="12" t="s">
        <v>360</v>
      </c>
      <c r="G163" s="30" t="s">
        <v>184</v>
      </c>
      <c r="H163" s="590">
        <v>104.89009999999999</v>
      </c>
      <c r="I163" s="17">
        <v>1</v>
      </c>
      <c r="J163" s="590">
        <v>104.89009999999999</v>
      </c>
      <c r="K163" s="590">
        <v>104.89009999999999</v>
      </c>
      <c r="L163" s="17">
        <v>1</v>
      </c>
      <c r="M163" s="590">
        <v>104.89009999999999</v>
      </c>
      <c r="N163" s="3" t="s">
        <v>384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520" t="s">
        <v>41</v>
      </c>
      <c r="D164" s="30"/>
      <c r="E164" s="30" t="s">
        <v>88</v>
      </c>
      <c r="F164" s="12" t="s">
        <v>361</v>
      </c>
      <c r="G164" s="30" t="s">
        <v>184</v>
      </c>
      <c r="H164" s="590">
        <v>583.41170000000011</v>
      </c>
      <c r="I164" s="17">
        <v>1</v>
      </c>
      <c r="J164" s="590">
        <v>583.41170000000011</v>
      </c>
      <c r="K164" s="590">
        <v>583.41170000000011</v>
      </c>
      <c r="L164" s="17">
        <v>1</v>
      </c>
      <c r="M164" s="590">
        <v>583.41170000000011</v>
      </c>
      <c r="N164" s="3" t="s">
        <v>383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520" t="s">
        <v>41</v>
      </c>
      <c r="D165" s="30"/>
      <c r="E165" s="30" t="s">
        <v>88</v>
      </c>
      <c r="F165" s="12" t="s">
        <v>362</v>
      </c>
      <c r="G165" s="30" t="s">
        <v>184</v>
      </c>
      <c r="H165" s="590">
        <v>377.21148333333338</v>
      </c>
      <c r="I165" s="17">
        <v>1</v>
      </c>
      <c r="J165" s="590">
        <v>377.21148333333338</v>
      </c>
      <c r="K165" s="590">
        <v>377.21148333333338</v>
      </c>
      <c r="L165" s="17">
        <v>1</v>
      </c>
      <c r="M165" s="590">
        <v>377.21148333333338</v>
      </c>
      <c r="N165" s="3" t="s">
        <v>382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520" t="s">
        <v>41</v>
      </c>
      <c r="D166" s="30"/>
      <c r="E166" s="30" t="s">
        <v>88</v>
      </c>
      <c r="F166" s="12" t="s">
        <v>363</v>
      </c>
      <c r="G166" s="30" t="s">
        <v>184</v>
      </c>
      <c r="H166" s="590">
        <v>268.31505833333335</v>
      </c>
      <c r="I166" s="17">
        <v>1</v>
      </c>
      <c r="J166" s="590">
        <v>268.31505833333335</v>
      </c>
      <c r="K166" s="590">
        <v>268.31505833333335</v>
      </c>
      <c r="L166" s="17">
        <v>1</v>
      </c>
      <c r="M166" s="590">
        <v>268.31505833333335</v>
      </c>
      <c r="N166" s="3" t="s">
        <v>381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520" t="s">
        <v>41</v>
      </c>
      <c r="D167" s="30"/>
      <c r="E167" s="30" t="s">
        <v>88</v>
      </c>
      <c r="F167" s="12" t="s">
        <v>364</v>
      </c>
      <c r="G167" s="30" t="s">
        <v>184</v>
      </c>
      <c r="H167" s="590">
        <v>102.19039166666667</v>
      </c>
      <c r="I167" s="17">
        <v>1</v>
      </c>
      <c r="J167" s="590">
        <v>102.19039166666667</v>
      </c>
      <c r="K167" s="590">
        <v>102.19039166666667</v>
      </c>
      <c r="L167" s="17">
        <v>1</v>
      </c>
      <c r="M167" s="590">
        <v>102.19039166666667</v>
      </c>
      <c r="N167" s="3" t="s">
        <v>380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520" t="s">
        <v>41</v>
      </c>
      <c r="D168" s="30"/>
      <c r="E168" s="446" t="s">
        <v>20</v>
      </c>
      <c r="F168" s="12" t="s">
        <v>391</v>
      </c>
      <c r="G168" s="30" t="s">
        <v>184</v>
      </c>
      <c r="H168" s="590">
        <v>773.17223333333334</v>
      </c>
      <c r="I168" s="17">
        <v>1</v>
      </c>
      <c r="J168" s="590">
        <v>773.17223333333334</v>
      </c>
      <c r="K168" s="590">
        <v>773.17223333333334</v>
      </c>
      <c r="L168" s="17">
        <v>1</v>
      </c>
      <c r="M168" s="590">
        <v>773.17223333333334</v>
      </c>
      <c r="N168" s="3" t="s">
        <v>398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520" t="s">
        <v>41</v>
      </c>
      <c r="D169" s="30"/>
      <c r="E169" s="446" t="s">
        <v>20</v>
      </c>
      <c r="F169" s="12" t="s">
        <v>392</v>
      </c>
      <c r="G169" s="30" t="s">
        <v>184</v>
      </c>
      <c r="H169" s="590">
        <v>433.25754999999998</v>
      </c>
      <c r="I169" s="17">
        <v>1</v>
      </c>
      <c r="J169" s="590">
        <v>433.25754999999998</v>
      </c>
      <c r="K169" s="590">
        <v>433.25754999999998</v>
      </c>
      <c r="L169" s="17">
        <v>1</v>
      </c>
      <c r="M169" s="590">
        <v>433.25754999999998</v>
      </c>
      <c r="N169" s="3" t="s">
        <v>399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520" t="s">
        <v>395</v>
      </c>
      <c r="D170" s="30"/>
      <c r="E170" s="30" t="s">
        <v>75</v>
      </c>
      <c r="F170" s="12" t="s">
        <v>393</v>
      </c>
      <c r="G170" s="30" t="s">
        <v>184</v>
      </c>
      <c r="H170" s="590">
        <v>147.59993333333335</v>
      </c>
      <c r="I170" s="17">
        <v>1</v>
      </c>
      <c r="J170" s="590">
        <v>147.59993333333335</v>
      </c>
      <c r="K170" s="590">
        <v>147.59993333333335</v>
      </c>
      <c r="L170" s="17">
        <v>1</v>
      </c>
      <c r="M170" s="590">
        <v>147.59993333333335</v>
      </c>
      <c r="N170" s="3" t="s">
        <v>400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520" t="s">
        <v>178</v>
      </c>
      <c r="D171" s="30" t="s">
        <v>58</v>
      </c>
      <c r="E171" s="30" t="s">
        <v>88</v>
      </c>
      <c r="F171" s="12" t="s">
        <v>390</v>
      </c>
      <c r="G171" s="30" t="s">
        <v>185</v>
      </c>
      <c r="H171" s="590" t="s">
        <v>396</v>
      </c>
      <c r="I171" s="17">
        <v>20</v>
      </c>
      <c r="J171" s="590">
        <v>125.4</v>
      </c>
      <c r="K171" s="590"/>
      <c r="L171" s="17">
        <v>20</v>
      </c>
      <c r="M171" s="590">
        <v>125.4</v>
      </c>
      <c r="N171" s="3" t="s">
        <v>401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409</v>
      </c>
      <c r="V171" s="30"/>
    </row>
    <row r="172" spans="1:22" ht="62.4" x14ac:dyDescent="0.3">
      <c r="A172" s="30">
        <v>168</v>
      </c>
      <c r="B172" s="30" t="s">
        <v>40</v>
      </c>
      <c r="C172" s="520" t="s">
        <v>41</v>
      </c>
      <c r="D172" s="30"/>
      <c r="E172" s="446" t="s">
        <v>20</v>
      </c>
      <c r="F172" s="30" t="s">
        <v>402</v>
      </c>
      <c r="G172" s="30" t="s">
        <v>184</v>
      </c>
      <c r="H172" s="593">
        <f>984854.68/1000/1.2</f>
        <v>820.71223333333342</v>
      </c>
      <c r="I172" s="30">
        <v>1</v>
      </c>
      <c r="J172" s="593">
        <f>984854.68/1000/1.2</f>
        <v>820.71223333333342</v>
      </c>
      <c r="K172" s="593">
        <f>984854.68/1000/1.2</f>
        <v>820.71223333333342</v>
      </c>
      <c r="L172" s="30">
        <v>1</v>
      </c>
      <c r="M172" s="593">
        <f>984854.68/1000/1.2</f>
        <v>820.71223333333342</v>
      </c>
      <c r="N172" s="3" t="s">
        <v>406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520" t="s">
        <v>41</v>
      </c>
      <c r="D173" s="30"/>
      <c r="E173" s="30" t="s">
        <v>75</v>
      </c>
      <c r="F173" s="30" t="s">
        <v>403</v>
      </c>
      <c r="G173" s="30" t="s">
        <v>184</v>
      </c>
      <c r="H173" s="593">
        <f>115076.1/1000/1.2</f>
        <v>95.896750000000011</v>
      </c>
      <c r="I173" s="30">
        <v>1</v>
      </c>
      <c r="J173" s="593">
        <f>115076.1/1000/1.2</f>
        <v>95.896750000000011</v>
      </c>
      <c r="K173" s="593">
        <f>115076.1/1000/1.2</f>
        <v>95.896750000000011</v>
      </c>
      <c r="L173" s="30">
        <v>1</v>
      </c>
      <c r="M173" s="593">
        <f>115076.1/1000/1.2</f>
        <v>95.896750000000011</v>
      </c>
      <c r="N173" s="3" t="s">
        <v>407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520" t="s">
        <v>405</v>
      </c>
      <c r="D174" s="30"/>
      <c r="E174" s="446" t="s">
        <v>20</v>
      </c>
      <c r="F174" s="30" t="s">
        <v>404</v>
      </c>
      <c r="G174" s="30" t="s">
        <v>186</v>
      </c>
      <c r="H174" s="590"/>
      <c r="I174" s="30">
        <v>14</v>
      </c>
      <c r="J174" s="593">
        <f>789259.6/1000/1.2</f>
        <v>657.7163333333333</v>
      </c>
      <c r="K174" s="590"/>
      <c r="L174" s="30">
        <v>14</v>
      </c>
      <c r="M174" s="593">
        <f>789259.6/1000/1.2</f>
        <v>657.7163333333333</v>
      </c>
      <c r="N174" s="3" t="s">
        <v>408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520" t="s">
        <v>412</v>
      </c>
      <c r="D175" s="30" t="s">
        <v>58</v>
      </c>
      <c r="E175" s="446" t="s">
        <v>20</v>
      </c>
      <c r="F175" s="30" t="s">
        <v>410</v>
      </c>
      <c r="G175" s="18" t="s">
        <v>185</v>
      </c>
      <c r="H175" s="593">
        <v>583.22500000000002</v>
      </c>
      <c r="I175" s="19">
        <v>1</v>
      </c>
      <c r="J175" s="593">
        <v>583.22500000000002</v>
      </c>
      <c r="K175" s="593">
        <v>583.22500000000002</v>
      </c>
      <c r="L175" s="19">
        <v>1</v>
      </c>
      <c r="M175" s="593">
        <v>583.22500000000002</v>
      </c>
      <c r="N175" s="3" t="s">
        <v>413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458</v>
      </c>
      <c r="V175" s="30"/>
    </row>
    <row r="176" spans="1:22" ht="78" x14ac:dyDescent="0.3">
      <c r="A176" s="30">
        <v>172</v>
      </c>
      <c r="B176" s="30" t="s">
        <v>21</v>
      </c>
      <c r="C176" s="520" t="s">
        <v>32</v>
      </c>
      <c r="D176" s="30" t="s">
        <v>58</v>
      </c>
      <c r="E176" s="446" t="s">
        <v>20</v>
      </c>
      <c r="F176" s="30" t="s">
        <v>411</v>
      </c>
      <c r="G176" s="18" t="s">
        <v>185</v>
      </c>
      <c r="H176" s="593">
        <v>632.02200000000005</v>
      </c>
      <c r="I176" s="19">
        <v>1</v>
      </c>
      <c r="J176" s="593">
        <v>632.02200000000005</v>
      </c>
      <c r="K176" s="593">
        <v>632.02200000000005</v>
      </c>
      <c r="L176" s="19">
        <v>1</v>
      </c>
      <c r="M176" s="593">
        <v>632.02200000000005</v>
      </c>
      <c r="N176" s="3" t="s">
        <v>414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520" t="s">
        <v>405</v>
      </c>
      <c r="D177" s="30" t="s">
        <v>58</v>
      </c>
      <c r="E177" s="446" t="s">
        <v>20</v>
      </c>
      <c r="F177" s="30" t="s">
        <v>404</v>
      </c>
      <c r="G177" s="18" t="s">
        <v>186</v>
      </c>
      <c r="H177" s="590"/>
      <c r="I177" s="19">
        <v>119</v>
      </c>
      <c r="J177" s="593">
        <v>7769.3255600000002</v>
      </c>
      <c r="K177" s="590"/>
      <c r="L177" s="19">
        <v>119</v>
      </c>
      <c r="M177" s="593">
        <v>7769.3255600000002</v>
      </c>
      <c r="N177" s="3" t="s">
        <v>415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435</v>
      </c>
      <c r="V177" s="30"/>
    </row>
    <row r="178" spans="1:22" ht="62.4" x14ac:dyDescent="0.3">
      <c r="A178" s="30">
        <v>174</v>
      </c>
      <c r="B178" s="30" t="s">
        <v>21</v>
      </c>
      <c r="C178" s="520" t="s">
        <v>405</v>
      </c>
      <c r="D178" s="30" t="s">
        <v>58</v>
      </c>
      <c r="E178" s="446" t="s">
        <v>20</v>
      </c>
      <c r="F178" s="30" t="s">
        <v>404</v>
      </c>
      <c r="G178" s="18" t="s">
        <v>186</v>
      </c>
      <c r="H178" s="590"/>
      <c r="I178" s="19">
        <v>120</v>
      </c>
      <c r="J178" s="593">
        <v>8426.268</v>
      </c>
      <c r="K178" s="590"/>
      <c r="L178" s="19">
        <v>120</v>
      </c>
      <c r="M178" s="593">
        <v>8426.268</v>
      </c>
      <c r="N178" s="3" t="s">
        <v>436</v>
      </c>
      <c r="O178" s="25">
        <v>45042</v>
      </c>
      <c r="P178" s="28" t="s">
        <v>437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520" t="s">
        <v>425</v>
      </c>
      <c r="D179" s="30"/>
      <c r="E179" s="30" t="s">
        <v>88</v>
      </c>
      <c r="F179" s="30" t="s">
        <v>416</v>
      </c>
      <c r="G179" s="30" t="s">
        <v>184</v>
      </c>
      <c r="H179" s="590">
        <v>57.85</v>
      </c>
      <c r="I179" s="30">
        <v>1</v>
      </c>
      <c r="J179" s="590">
        <v>57.85</v>
      </c>
      <c r="K179" s="590">
        <v>57.85</v>
      </c>
      <c r="L179" s="30">
        <v>1</v>
      </c>
      <c r="M179" s="590">
        <v>57.85</v>
      </c>
      <c r="N179" s="3" t="s">
        <v>426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520" t="s">
        <v>425</v>
      </c>
      <c r="D180" s="30"/>
      <c r="E180" s="30" t="s">
        <v>88</v>
      </c>
      <c r="F180" s="30" t="s">
        <v>417</v>
      </c>
      <c r="G180" s="30" t="s">
        <v>184</v>
      </c>
      <c r="H180" s="590">
        <v>108.58</v>
      </c>
      <c r="I180" s="30">
        <v>1</v>
      </c>
      <c r="J180" s="590">
        <v>108.58</v>
      </c>
      <c r="K180" s="590">
        <v>108.58</v>
      </c>
      <c r="L180" s="30">
        <v>1</v>
      </c>
      <c r="M180" s="590">
        <v>108.58</v>
      </c>
      <c r="N180" s="3" t="s">
        <v>427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520" t="s">
        <v>425</v>
      </c>
      <c r="D181" s="30"/>
      <c r="E181" s="30" t="s">
        <v>88</v>
      </c>
      <c r="F181" s="30" t="s">
        <v>418</v>
      </c>
      <c r="G181" s="30" t="s">
        <v>184</v>
      </c>
      <c r="H181" s="590">
        <v>108.58</v>
      </c>
      <c r="I181" s="30">
        <v>1</v>
      </c>
      <c r="J181" s="590">
        <v>108.58</v>
      </c>
      <c r="K181" s="590">
        <v>108.58</v>
      </c>
      <c r="L181" s="30">
        <v>1</v>
      </c>
      <c r="M181" s="590">
        <v>108.58</v>
      </c>
      <c r="N181" s="3" t="s">
        <v>428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520" t="s">
        <v>425</v>
      </c>
      <c r="D182" s="30"/>
      <c r="E182" s="30" t="s">
        <v>88</v>
      </c>
      <c r="F182" s="30" t="s">
        <v>419</v>
      </c>
      <c r="G182" s="30" t="s">
        <v>184</v>
      </c>
      <c r="H182" s="590">
        <v>50.73</v>
      </c>
      <c r="I182" s="30">
        <v>1</v>
      </c>
      <c r="J182" s="590">
        <v>50.73</v>
      </c>
      <c r="K182" s="590">
        <v>50.73</v>
      </c>
      <c r="L182" s="30">
        <v>1</v>
      </c>
      <c r="M182" s="590">
        <v>50.73</v>
      </c>
      <c r="N182" s="3" t="s">
        <v>429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520" t="s">
        <v>425</v>
      </c>
      <c r="D183" s="30"/>
      <c r="E183" s="30" t="s">
        <v>88</v>
      </c>
      <c r="F183" s="30" t="s">
        <v>420</v>
      </c>
      <c r="G183" s="30" t="s">
        <v>184</v>
      </c>
      <c r="H183" s="590">
        <v>65.86</v>
      </c>
      <c r="I183" s="30">
        <v>1</v>
      </c>
      <c r="J183" s="590">
        <v>65.86</v>
      </c>
      <c r="K183" s="590">
        <v>65.86</v>
      </c>
      <c r="L183" s="30">
        <v>1</v>
      </c>
      <c r="M183" s="590">
        <v>65.86</v>
      </c>
      <c r="N183" s="3" t="s">
        <v>430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520" t="s">
        <v>73</v>
      </c>
      <c r="D184" s="30"/>
      <c r="E184" s="30" t="s">
        <v>75</v>
      </c>
      <c r="F184" s="30" t="s">
        <v>421</v>
      </c>
      <c r="G184" s="30" t="s">
        <v>184</v>
      </c>
      <c r="H184" s="590">
        <v>314.91000000000003</v>
      </c>
      <c r="I184" s="30">
        <v>1</v>
      </c>
      <c r="J184" s="590">
        <v>314.91000000000003</v>
      </c>
      <c r="K184" s="590">
        <v>314.91000000000003</v>
      </c>
      <c r="L184" s="30">
        <v>1</v>
      </c>
      <c r="M184" s="590">
        <v>314.91000000000003</v>
      </c>
      <c r="N184" s="3" t="s">
        <v>431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520" t="s">
        <v>73</v>
      </c>
      <c r="D185" s="30"/>
      <c r="E185" s="30" t="s">
        <v>75</v>
      </c>
      <c r="F185" s="30" t="s">
        <v>422</v>
      </c>
      <c r="G185" s="30" t="s">
        <v>184</v>
      </c>
      <c r="H185" s="590">
        <v>144.48566666666665</v>
      </c>
      <c r="I185" s="30">
        <v>1</v>
      </c>
      <c r="J185" s="590">
        <v>144.48566666666665</v>
      </c>
      <c r="K185" s="590">
        <v>144.48566666666665</v>
      </c>
      <c r="L185" s="30">
        <v>1</v>
      </c>
      <c r="M185" s="590">
        <v>144.48566666666665</v>
      </c>
      <c r="N185" s="3" t="s">
        <v>432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520" t="s">
        <v>73</v>
      </c>
      <c r="D186" s="30"/>
      <c r="E186" s="30" t="s">
        <v>75</v>
      </c>
      <c r="F186" s="30" t="s">
        <v>423</v>
      </c>
      <c r="G186" s="30" t="s">
        <v>184</v>
      </c>
      <c r="H186" s="590">
        <v>173.63946666666666</v>
      </c>
      <c r="I186" s="30">
        <v>1</v>
      </c>
      <c r="J186" s="590">
        <v>173.63946666666666</v>
      </c>
      <c r="K186" s="590">
        <v>173.63946666666666</v>
      </c>
      <c r="L186" s="30">
        <v>1</v>
      </c>
      <c r="M186" s="590">
        <v>173.63946666666666</v>
      </c>
      <c r="N186" s="3" t="s">
        <v>433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520" t="s">
        <v>73</v>
      </c>
      <c r="D187" s="30"/>
      <c r="E187" s="30" t="s">
        <v>75</v>
      </c>
      <c r="F187" s="30" t="s">
        <v>424</v>
      </c>
      <c r="G187" s="30" t="s">
        <v>184</v>
      </c>
      <c r="H187" s="590">
        <v>133.45370833333334</v>
      </c>
      <c r="I187" s="30">
        <v>1</v>
      </c>
      <c r="J187" s="590">
        <v>133.45370833333334</v>
      </c>
      <c r="K187" s="590">
        <v>133.45370833333334</v>
      </c>
      <c r="L187" s="30">
        <v>1</v>
      </c>
      <c r="M187" s="590">
        <v>133.45370833333334</v>
      </c>
      <c r="N187" s="3" t="s">
        <v>434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520" t="s">
        <v>41</v>
      </c>
      <c r="D188" s="30"/>
      <c r="E188" s="446" t="s">
        <v>20</v>
      </c>
      <c r="F188" s="30" t="s">
        <v>438</v>
      </c>
      <c r="G188" s="30" t="s">
        <v>184</v>
      </c>
      <c r="H188" s="590">
        <v>163.76835833333334</v>
      </c>
      <c r="I188" s="30">
        <v>1</v>
      </c>
      <c r="J188" s="590">
        <v>163.76835833333334</v>
      </c>
      <c r="K188" s="590">
        <v>163.76835833333334</v>
      </c>
      <c r="L188" s="30">
        <v>1</v>
      </c>
      <c r="M188" s="590">
        <v>163.76835833333334</v>
      </c>
      <c r="N188" s="3" t="s">
        <v>448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520" t="s">
        <v>41</v>
      </c>
      <c r="D189" s="30"/>
      <c r="E189" s="446" t="s">
        <v>20</v>
      </c>
      <c r="F189" s="30" t="s">
        <v>439</v>
      </c>
      <c r="G189" s="30" t="s">
        <v>184</v>
      </c>
      <c r="H189" s="590">
        <v>1215.2384916666667</v>
      </c>
      <c r="I189" s="30">
        <v>1</v>
      </c>
      <c r="J189" s="590">
        <v>1215.2384916666667</v>
      </c>
      <c r="K189" s="590">
        <v>1215.2384916666667</v>
      </c>
      <c r="L189" s="30">
        <v>1</v>
      </c>
      <c r="M189" s="590">
        <v>1215.2384916666667</v>
      </c>
      <c r="N189" s="3" t="s">
        <v>449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520" t="s">
        <v>41</v>
      </c>
      <c r="D190" s="30"/>
      <c r="E190" s="446" t="s">
        <v>20</v>
      </c>
      <c r="F190" s="30" t="s">
        <v>440</v>
      </c>
      <c r="G190" s="30" t="s">
        <v>184</v>
      </c>
      <c r="H190" s="590">
        <v>69.363516666666669</v>
      </c>
      <c r="I190" s="30">
        <v>1</v>
      </c>
      <c r="J190" s="590">
        <v>69.363516666666669</v>
      </c>
      <c r="K190" s="590">
        <v>69.363516666666669</v>
      </c>
      <c r="L190" s="30">
        <v>1</v>
      </c>
      <c r="M190" s="590">
        <v>69.363516666666669</v>
      </c>
      <c r="N190" s="3" t="s">
        <v>450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412</v>
      </c>
      <c r="D191" s="30" t="s">
        <v>58</v>
      </c>
      <c r="E191" s="446" t="s">
        <v>20</v>
      </c>
      <c r="F191" s="9" t="s">
        <v>441</v>
      </c>
      <c r="G191" s="9" t="s">
        <v>447</v>
      </c>
      <c r="H191" s="594">
        <v>583.22500000000002</v>
      </c>
      <c r="I191" s="9">
        <v>1</v>
      </c>
      <c r="J191" s="594">
        <v>583.22500000000002</v>
      </c>
      <c r="K191" s="594">
        <v>583.22500000000002</v>
      </c>
      <c r="L191" s="9">
        <v>1</v>
      </c>
      <c r="M191" s="594">
        <v>583.22500000000002</v>
      </c>
      <c r="N191" s="32" t="s">
        <v>451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520" t="s">
        <v>41</v>
      </c>
      <c r="D192" s="30"/>
      <c r="E192" s="30" t="s">
        <v>75</v>
      </c>
      <c r="F192" s="30" t="s">
        <v>442</v>
      </c>
      <c r="G192" s="30" t="s">
        <v>184</v>
      </c>
      <c r="H192" s="590">
        <v>271.84916666666669</v>
      </c>
      <c r="I192" s="30">
        <v>1</v>
      </c>
      <c r="J192" s="590">
        <v>271.84916666666669</v>
      </c>
      <c r="K192" s="590">
        <v>271.84916666666669</v>
      </c>
      <c r="L192" s="30">
        <v>1</v>
      </c>
      <c r="M192" s="590">
        <v>271.84916666666669</v>
      </c>
      <c r="N192" s="3" t="s">
        <v>452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520" t="s">
        <v>41</v>
      </c>
      <c r="D193" s="30"/>
      <c r="E193" s="30" t="s">
        <v>75</v>
      </c>
      <c r="F193" s="30" t="s">
        <v>443</v>
      </c>
      <c r="G193" s="30" t="s">
        <v>184</v>
      </c>
      <c r="H193" s="590">
        <v>372.05005833333337</v>
      </c>
      <c r="I193" s="30">
        <v>1</v>
      </c>
      <c r="J193" s="590">
        <v>372.05005833333337</v>
      </c>
      <c r="K193" s="590">
        <v>372.05005833333337</v>
      </c>
      <c r="L193" s="30">
        <v>1</v>
      </c>
      <c r="M193" s="590">
        <v>372.05005833333337</v>
      </c>
      <c r="N193" s="3" t="s">
        <v>453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520" t="s">
        <v>41</v>
      </c>
      <c r="D194" s="30"/>
      <c r="E194" s="30" t="s">
        <v>75</v>
      </c>
      <c r="F194" s="30" t="s">
        <v>444</v>
      </c>
      <c r="G194" s="30" t="s">
        <v>184</v>
      </c>
      <c r="H194" s="590">
        <v>306.93824166666667</v>
      </c>
      <c r="I194" s="30">
        <v>1</v>
      </c>
      <c r="J194" s="590">
        <v>306.93824166666667</v>
      </c>
      <c r="K194" s="590">
        <v>306.93824166666667</v>
      </c>
      <c r="L194" s="30">
        <v>1</v>
      </c>
      <c r="M194" s="590">
        <v>306.93824166666667</v>
      </c>
      <c r="N194" s="3" t="s">
        <v>454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520" t="s">
        <v>73</v>
      </c>
      <c r="D195" s="30"/>
      <c r="E195" s="30" t="s">
        <v>75</v>
      </c>
      <c r="F195" s="30" t="s">
        <v>445</v>
      </c>
      <c r="G195" s="30" t="s">
        <v>184</v>
      </c>
      <c r="H195" s="590">
        <v>155.66611666666668</v>
      </c>
      <c r="I195" s="30">
        <v>1</v>
      </c>
      <c r="J195" s="590">
        <v>155.66611666666668</v>
      </c>
      <c r="K195" s="590">
        <v>155.66611666666668</v>
      </c>
      <c r="L195" s="30">
        <v>1</v>
      </c>
      <c r="M195" s="590">
        <v>155.66611666666668</v>
      </c>
      <c r="N195" s="3" t="s">
        <v>455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520" t="s">
        <v>32</v>
      </c>
      <c r="D196" s="30" t="s">
        <v>58</v>
      </c>
      <c r="E196" s="446" t="s">
        <v>20</v>
      </c>
      <c r="F196" s="30" t="s">
        <v>446</v>
      </c>
      <c r="G196" s="30" t="s">
        <v>447</v>
      </c>
      <c r="H196" s="590">
        <v>647.70000000000005</v>
      </c>
      <c r="I196" s="30">
        <v>1</v>
      </c>
      <c r="J196" s="590">
        <v>647.70000000000005</v>
      </c>
      <c r="K196" s="590">
        <v>647.70000000000005</v>
      </c>
      <c r="L196" s="30">
        <v>1</v>
      </c>
      <c r="M196" s="590">
        <v>647.70000000000005</v>
      </c>
      <c r="N196" s="3" t="s">
        <v>456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446" t="s">
        <v>20</v>
      </c>
      <c r="F197" s="30" t="s">
        <v>459</v>
      </c>
      <c r="G197" s="30" t="s">
        <v>184</v>
      </c>
      <c r="H197" s="593">
        <f>548892.58/1.2/1000</f>
        <v>457.41048333333333</v>
      </c>
      <c r="I197" s="30">
        <v>1</v>
      </c>
      <c r="J197" s="593">
        <f>548892.58/1.2/1000</f>
        <v>457.41048333333333</v>
      </c>
      <c r="K197" s="593">
        <f>548892.58/1.2/1000</f>
        <v>457.41048333333333</v>
      </c>
      <c r="L197" s="30">
        <v>1</v>
      </c>
      <c r="M197" s="593">
        <f>548892.58/1.2/1000</f>
        <v>457.41048333333333</v>
      </c>
      <c r="N197" s="3" t="s">
        <v>461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446" t="s">
        <v>20</v>
      </c>
      <c r="F198" s="30" t="s">
        <v>460</v>
      </c>
      <c r="G198" s="30" t="s">
        <v>184</v>
      </c>
      <c r="H198" s="593">
        <f>338040.43/1.2/100</f>
        <v>2817.0035833333332</v>
      </c>
      <c r="I198" s="30">
        <v>1</v>
      </c>
      <c r="J198" s="593">
        <f>338040.43/1.2/100</f>
        <v>2817.0035833333332</v>
      </c>
      <c r="K198" s="593">
        <f>338040.43/1.2/100</f>
        <v>2817.0035833333332</v>
      </c>
      <c r="L198" s="30">
        <v>1</v>
      </c>
      <c r="M198" s="593">
        <f>338040.43/1.2/100</f>
        <v>2817.0035833333332</v>
      </c>
      <c r="N198" s="3" t="s">
        <v>462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520" t="s">
        <v>73</v>
      </c>
      <c r="D199" s="30"/>
      <c r="E199" s="30" t="s">
        <v>75</v>
      </c>
      <c r="F199" s="30" t="s">
        <v>463</v>
      </c>
      <c r="G199" s="30" t="s">
        <v>184</v>
      </c>
      <c r="H199" s="590">
        <v>150.00306666666668</v>
      </c>
      <c r="I199" s="30">
        <v>1</v>
      </c>
      <c r="J199" s="590">
        <v>150.00306666666668</v>
      </c>
      <c r="K199" s="590">
        <v>150.00306666666668</v>
      </c>
      <c r="L199" s="30">
        <v>1</v>
      </c>
      <c r="M199" s="590">
        <v>150.00306666666668</v>
      </c>
      <c r="N199" s="3" t="s">
        <v>469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520" t="s">
        <v>73</v>
      </c>
      <c r="D200" s="30"/>
      <c r="E200" s="30" t="s">
        <v>75</v>
      </c>
      <c r="F200" s="30" t="s">
        <v>464</v>
      </c>
      <c r="G200" s="30" t="s">
        <v>184</v>
      </c>
      <c r="H200" s="590">
        <v>136.7357916666667</v>
      </c>
      <c r="I200" s="30">
        <v>1</v>
      </c>
      <c r="J200" s="590">
        <v>136.7357916666667</v>
      </c>
      <c r="K200" s="590">
        <v>136.7357916666667</v>
      </c>
      <c r="L200" s="30">
        <v>1</v>
      </c>
      <c r="M200" s="590">
        <v>136.7357916666667</v>
      </c>
      <c r="N200" s="3" t="s">
        <v>470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520" t="s">
        <v>73</v>
      </c>
      <c r="D201" s="30"/>
      <c r="E201" s="30" t="s">
        <v>75</v>
      </c>
      <c r="F201" s="30" t="s">
        <v>465</v>
      </c>
      <c r="G201" s="30" t="s">
        <v>184</v>
      </c>
      <c r="H201" s="590">
        <v>162.38074166666669</v>
      </c>
      <c r="I201" s="30">
        <v>1</v>
      </c>
      <c r="J201" s="590">
        <v>162.38074166666669</v>
      </c>
      <c r="K201" s="590">
        <v>162.38074166666669</v>
      </c>
      <c r="L201" s="30">
        <v>1</v>
      </c>
      <c r="M201" s="590">
        <v>162.38074166666669</v>
      </c>
      <c r="N201" s="3" t="s">
        <v>471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520" t="s">
        <v>73</v>
      </c>
      <c r="D202" s="30"/>
      <c r="E202" s="30" t="s">
        <v>75</v>
      </c>
      <c r="F202" s="30" t="s">
        <v>466</v>
      </c>
      <c r="G202" s="30" t="s">
        <v>184</v>
      </c>
      <c r="H202" s="590">
        <v>230.82178333333334</v>
      </c>
      <c r="I202" s="30">
        <v>1</v>
      </c>
      <c r="J202" s="590">
        <v>230.82178333333334</v>
      </c>
      <c r="K202" s="590">
        <v>230.82178333333334</v>
      </c>
      <c r="L202" s="30">
        <v>1</v>
      </c>
      <c r="M202" s="590">
        <v>230.82178333333334</v>
      </c>
      <c r="N202" s="3" t="s">
        <v>472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520" t="s">
        <v>73</v>
      </c>
      <c r="D203" s="30"/>
      <c r="E203" s="30" t="s">
        <v>75</v>
      </c>
      <c r="F203" s="30" t="s">
        <v>467</v>
      </c>
      <c r="G203" s="30" t="s">
        <v>184</v>
      </c>
      <c r="H203" s="590">
        <v>301.34585000000004</v>
      </c>
      <c r="I203" s="30">
        <v>1</v>
      </c>
      <c r="J203" s="590">
        <v>301.34585000000004</v>
      </c>
      <c r="K203" s="590">
        <v>301.34585000000004</v>
      </c>
      <c r="L203" s="30">
        <v>1</v>
      </c>
      <c r="M203" s="590">
        <v>301.34585000000004</v>
      </c>
      <c r="N203" s="3" t="s">
        <v>473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520" t="s">
        <v>73</v>
      </c>
      <c r="D204" s="30"/>
      <c r="E204" s="30" t="s">
        <v>75</v>
      </c>
      <c r="F204" s="30" t="s">
        <v>468</v>
      </c>
      <c r="G204" s="30" t="s">
        <v>184</v>
      </c>
      <c r="H204" s="590">
        <v>964.74474999999995</v>
      </c>
      <c r="I204" s="30">
        <v>1</v>
      </c>
      <c r="J204" s="590">
        <v>964.74474999999995</v>
      </c>
      <c r="K204" s="590">
        <v>964.74474999999995</v>
      </c>
      <c r="L204" s="30">
        <v>1</v>
      </c>
      <c r="M204" s="590">
        <v>964.74474999999995</v>
      </c>
      <c r="N204" s="3" t="s">
        <v>474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520" t="s">
        <v>73</v>
      </c>
      <c r="D205" s="30"/>
      <c r="E205" s="30" t="s">
        <v>75</v>
      </c>
      <c r="F205" s="30" t="s">
        <v>475</v>
      </c>
      <c r="G205" s="30" t="s">
        <v>184</v>
      </c>
      <c r="H205" s="590">
        <v>532.80904166666664</v>
      </c>
      <c r="I205" s="30">
        <v>1</v>
      </c>
      <c r="J205" s="590">
        <v>532.80904166666664</v>
      </c>
      <c r="K205" s="590">
        <v>532.80904166666664</v>
      </c>
      <c r="L205" s="30">
        <v>1</v>
      </c>
      <c r="M205" s="590">
        <v>532.80904166666664</v>
      </c>
      <c r="N205" s="3" t="s">
        <v>490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520" t="s">
        <v>41</v>
      </c>
      <c r="D206" s="30"/>
      <c r="E206" s="446" t="s">
        <v>20</v>
      </c>
      <c r="F206" s="30" t="s">
        <v>476</v>
      </c>
      <c r="G206" s="30" t="s">
        <v>184</v>
      </c>
      <c r="H206" s="590">
        <v>231.39084166666669</v>
      </c>
      <c r="I206" s="30">
        <v>1</v>
      </c>
      <c r="J206" s="590">
        <v>231.39084166666669</v>
      </c>
      <c r="K206" s="590">
        <v>231.39084166666669</v>
      </c>
      <c r="L206" s="30">
        <v>1</v>
      </c>
      <c r="M206" s="590">
        <v>231.39084166666669</v>
      </c>
      <c r="N206" s="3" t="s">
        <v>491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520" t="s">
        <v>41</v>
      </c>
      <c r="D207" s="30" t="s">
        <v>58</v>
      </c>
      <c r="E207" s="30" t="s">
        <v>75</v>
      </c>
      <c r="F207" s="30" t="s">
        <v>477</v>
      </c>
      <c r="G207" s="30" t="s">
        <v>184</v>
      </c>
      <c r="H207" s="590">
        <v>9557.0750000000007</v>
      </c>
      <c r="I207" s="30">
        <v>1</v>
      </c>
      <c r="J207" s="590">
        <v>9557.0750000000007</v>
      </c>
      <c r="K207" s="590">
        <v>9557.0750000000007</v>
      </c>
      <c r="L207" s="30">
        <v>1</v>
      </c>
      <c r="M207" s="590">
        <v>9557.0750000000007</v>
      </c>
      <c r="N207" s="3" t="s">
        <v>492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520" t="s">
        <v>41</v>
      </c>
      <c r="D208" s="30" t="s">
        <v>58</v>
      </c>
      <c r="E208" s="30" t="s">
        <v>75</v>
      </c>
      <c r="F208" s="30" t="s">
        <v>478</v>
      </c>
      <c r="G208" s="30" t="s">
        <v>184</v>
      </c>
      <c r="H208" s="590">
        <v>8357.2710000000006</v>
      </c>
      <c r="I208" s="30">
        <v>1</v>
      </c>
      <c r="J208" s="590">
        <v>8357.2710000000006</v>
      </c>
      <c r="K208" s="590">
        <v>8357.2710000000006</v>
      </c>
      <c r="L208" s="30">
        <v>1</v>
      </c>
      <c r="M208" s="590">
        <v>8357.2710000000006</v>
      </c>
      <c r="N208" s="3" t="s">
        <v>492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520" t="s">
        <v>41</v>
      </c>
      <c r="D209" s="30"/>
      <c r="E209" s="30" t="s">
        <v>75</v>
      </c>
      <c r="F209" s="30" t="s">
        <v>479</v>
      </c>
      <c r="G209" s="30" t="s">
        <v>184</v>
      </c>
      <c r="H209" s="590">
        <v>442.43196666666665</v>
      </c>
      <c r="I209" s="30">
        <v>1</v>
      </c>
      <c r="J209" s="590">
        <v>442.43196666666665</v>
      </c>
      <c r="K209" s="590">
        <v>442.43196666666665</v>
      </c>
      <c r="L209" s="30">
        <v>1</v>
      </c>
      <c r="M209" s="590">
        <v>442.43196666666665</v>
      </c>
      <c r="N209" s="3" t="s">
        <v>493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520" t="s">
        <v>41</v>
      </c>
      <c r="D210" s="30"/>
      <c r="E210" s="446" t="s">
        <v>20</v>
      </c>
      <c r="F210" s="30" t="s">
        <v>480</v>
      </c>
      <c r="G210" s="30" t="s">
        <v>184</v>
      </c>
      <c r="H210" s="590">
        <v>766.66313333333346</v>
      </c>
      <c r="I210" s="30">
        <v>1</v>
      </c>
      <c r="J210" s="590">
        <v>766.66313333333346</v>
      </c>
      <c r="K210" s="590">
        <v>766.66313333333346</v>
      </c>
      <c r="L210" s="30">
        <v>1</v>
      </c>
      <c r="M210" s="590">
        <v>766.66313333333346</v>
      </c>
      <c r="N210" s="3" t="s">
        <v>494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520" t="s">
        <v>73</v>
      </c>
      <c r="D211" s="30"/>
      <c r="E211" s="30" t="s">
        <v>75</v>
      </c>
      <c r="F211" s="30" t="s">
        <v>481</v>
      </c>
      <c r="G211" s="30" t="s">
        <v>184</v>
      </c>
      <c r="H211" s="590">
        <v>327.83339166666667</v>
      </c>
      <c r="I211" s="30">
        <v>1</v>
      </c>
      <c r="J211" s="590">
        <v>327.83339166666667</v>
      </c>
      <c r="K211" s="590">
        <v>327.83339166666667</v>
      </c>
      <c r="L211" s="30">
        <v>1</v>
      </c>
      <c r="M211" s="590">
        <v>327.83339166666667</v>
      </c>
      <c r="N211" s="3" t="s">
        <v>495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520" t="s">
        <v>41</v>
      </c>
      <c r="D212" s="30"/>
      <c r="E212" s="446" t="s">
        <v>20</v>
      </c>
      <c r="F212" s="30" t="s">
        <v>482</v>
      </c>
      <c r="G212" s="30" t="s">
        <v>184</v>
      </c>
      <c r="H212" s="590">
        <v>279.85961666666662</v>
      </c>
      <c r="I212" s="30">
        <v>1</v>
      </c>
      <c r="J212" s="590">
        <v>279.85961666666662</v>
      </c>
      <c r="K212" s="590">
        <v>279.85961666666662</v>
      </c>
      <c r="L212" s="30">
        <v>1</v>
      </c>
      <c r="M212" s="590">
        <v>279.85961666666662</v>
      </c>
      <c r="N212" s="3" t="s">
        <v>496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520" t="s">
        <v>41</v>
      </c>
      <c r="D213" s="30"/>
      <c r="E213" s="446" t="s">
        <v>20</v>
      </c>
      <c r="F213" s="30" t="s">
        <v>483</v>
      </c>
      <c r="G213" s="30" t="s">
        <v>184</v>
      </c>
      <c r="H213" s="590">
        <v>748.72503333333339</v>
      </c>
      <c r="I213" s="30">
        <v>1</v>
      </c>
      <c r="J213" s="590">
        <v>748.72503333333339</v>
      </c>
      <c r="K213" s="590">
        <v>748.72503333333339</v>
      </c>
      <c r="L213" s="30">
        <v>1</v>
      </c>
      <c r="M213" s="590">
        <v>748.72503333333339</v>
      </c>
      <c r="N213" s="3" t="s">
        <v>497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520" t="s">
        <v>41</v>
      </c>
      <c r="D214" s="30"/>
      <c r="E214" s="30" t="s">
        <v>75</v>
      </c>
      <c r="F214" s="30" t="s">
        <v>484</v>
      </c>
      <c r="G214" s="30" t="s">
        <v>184</v>
      </c>
      <c r="H214" s="590">
        <v>281.35765833333335</v>
      </c>
      <c r="I214" s="30">
        <v>1</v>
      </c>
      <c r="J214" s="590">
        <v>281.35765833333335</v>
      </c>
      <c r="K214" s="590">
        <v>281.35765833333335</v>
      </c>
      <c r="L214" s="30">
        <v>1</v>
      </c>
      <c r="M214" s="590">
        <v>281.35765833333335</v>
      </c>
      <c r="N214" s="3" t="s">
        <v>498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520" t="s">
        <v>41</v>
      </c>
      <c r="D215" s="30"/>
      <c r="E215" s="446" t="s">
        <v>20</v>
      </c>
      <c r="F215" s="30" t="s">
        <v>485</v>
      </c>
      <c r="G215" s="30" t="s">
        <v>184</v>
      </c>
      <c r="H215" s="590">
        <v>97.572408333333343</v>
      </c>
      <c r="I215" s="30">
        <v>1</v>
      </c>
      <c r="J215" s="590">
        <v>97.572408333333343</v>
      </c>
      <c r="K215" s="590">
        <v>97.572408333333343</v>
      </c>
      <c r="L215" s="30">
        <v>1</v>
      </c>
      <c r="M215" s="590">
        <v>97.572408333333343</v>
      </c>
      <c r="N215" s="3" t="s">
        <v>499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520" t="s">
        <v>41</v>
      </c>
      <c r="D216" s="30" t="s">
        <v>58</v>
      </c>
      <c r="E216" s="446" t="s">
        <v>20</v>
      </c>
      <c r="F216" s="30" t="s">
        <v>488</v>
      </c>
      <c r="G216" s="30" t="s">
        <v>184</v>
      </c>
      <c r="H216" s="590">
        <v>1314.1666666666667</v>
      </c>
      <c r="I216" s="30">
        <v>1</v>
      </c>
      <c r="J216" s="590">
        <v>1314.1666666666667</v>
      </c>
      <c r="K216" s="590">
        <v>1314.1666666666667</v>
      </c>
      <c r="L216" s="30">
        <v>1</v>
      </c>
      <c r="M216" s="590">
        <v>1314.1666666666667</v>
      </c>
      <c r="N216" s="3" t="s">
        <v>502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4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520" t="s">
        <v>41</v>
      </c>
      <c r="D217" s="30" t="s">
        <v>58</v>
      </c>
      <c r="E217" s="446" t="s">
        <v>20</v>
      </c>
      <c r="F217" s="30" t="s">
        <v>489</v>
      </c>
      <c r="G217" s="30" t="s">
        <v>184</v>
      </c>
      <c r="H217" s="590">
        <v>1265.8333333333335</v>
      </c>
      <c r="I217" s="30">
        <v>1</v>
      </c>
      <c r="J217" s="590">
        <v>1265.8333333333335</v>
      </c>
      <c r="K217" s="590">
        <v>1265.8333333333335</v>
      </c>
      <c r="L217" s="30">
        <v>1</v>
      </c>
      <c r="M217" s="590">
        <v>1265.8333333333335</v>
      </c>
      <c r="N217" s="3" t="s">
        <v>503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4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520" t="s">
        <v>41</v>
      </c>
      <c r="D218" s="30"/>
      <c r="E218" s="446" t="s">
        <v>20</v>
      </c>
      <c r="F218" s="30" t="s">
        <v>486</v>
      </c>
      <c r="G218" s="30" t="s">
        <v>184</v>
      </c>
      <c r="H218" s="590">
        <v>68.79965833333334</v>
      </c>
      <c r="I218" s="30">
        <v>1</v>
      </c>
      <c r="J218" s="590">
        <v>68.79965833333334</v>
      </c>
      <c r="K218" s="590">
        <v>68.79965833333334</v>
      </c>
      <c r="L218" s="30">
        <v>1</v>
      </c>
      <c r="M218" s="590">
        <v>68.79965833333334</v>
      </c>
      <c r="N218" s="3" t="s">
        <v>500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520" t="s">
        <v>41</v>
      </c>
      <c r="D219" s="30"/>
      <c r="E219" s="446" t="s">
        <v>20</v>
      </c>
      <c r="F219" s="30" t="s">
        <v>487</v>
      </c>
      <c r="G219" s="30" t="s">
        <v>184</v>
      </c>
      <c r="H219" s="590">
        <v>330.66725833333334</v>
      </c>
      <c r="I219" s="30">
        <v>1</v>
      </c>
      <c r="J219" s="590">
        <v>330.66725833333334</v>
      </c>
      <c r="K219" s="590">
        <v>330.66725833333334</v>
      </c>
      <c r="L219" s="30">
        <v>1</v>
      </c>
      <c r="M219" s="590">
        <v>330.66725833333334</v>
      </c>
      <c r="N219" s="3" t="s">
        <v>501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520" t="s">
        <v>41</v>
      </c>
      <c r="D220" s="30"/>
      <c r="E220" s="446" t="s">
        <v>20</v>
      </c>
      <c r="F220" s="30" t="s">
        <v>504</v>
      </c>
      <c r="G220" s="30" t="s">
        <v>184</v>
      </c>
      <c r="H220" s="590">
        <v>2448.8471666666665</v>
      </c>
      <c r="I220" s="30">
        <v>1</v>
      </c>
      <c r="J220" s="590">
        <v>2448.8471666666665</v>
      </c>
      <c r="K220" s="590">
        <v>2448.8471666666665</v>
      </c>
      <c r="L220" s="30">
        <v>1</v>
      </c>
      <c r="M220" s="590">
        <v>2448.8471666666665</v>
      </c>
      <c r="N220" s="6" t="s">
        <v>521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520" t="s">
        <v>174</v>
      </c>
      <c r="D221" s="30" t="s">
        <v>58</v>
      </c>
      <c r="E221" s="30" t="s">
        <v>88</v>
      </c>
      <c r="F221" s="30" t="s">
        <v>505</v>
      </c>
      <c r="G221" s="30" t="s">
        <v>185</v>
      </c>
      <c r="H221" s="590"/>
      <c r="I221" s="30">
        <v>43</v>
      </c>
      <c r="J221" s="590">
        <v>32108.1</v>
      </c>
      <c r="K221" s="590"/>
      <c r="L221" s="30">
        <v>43</v>
      </c>
      <c r="M221" s="590">
        <v>32108.1</v>
      </c>
      <c r="N221" s="6" t="s">
        <v>518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0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520" t="s">
        <v>405</v>
      </c>
      <c r="D222" s="30" t="s">
        <v>58</v>
      </c>
      <c r="E222" s="30" t="s">
        <v>88</v>
      </c>
      <c r="F222" s="30" t="s">
        <v>506</v>
      </c>
      <c r="G222" s="30" t="s">
        <v>185</v>
      </c>
      <c r="H222" s="590"/>
      <c r="I222" s="30">
        <v>101</v>
      </c>
      <c r="J222" s="590">
        <v>134064</v>
      </c>
      <c r="K222" s="590"/>
      <c r="L222" s="30">
        <v>101</v>
      </c>
      <c r="M222" s="590">
        <v>134064</v>
      </c>
      <c r="N222" s="6" t="s">
        <v>519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556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529</v>
      </c>
      <c r="C223" s="520" t="s">
        <v>515</v>
      </c>
      <c r="D223" s="30" t="s">
        <v>58</v>
      </c>
      <c r="E223" s="30" t="s">
        <v>88</v>
      </c>
      <c r="F223" s="30" t="s">
        <v>507</v>
      </c>
      <c r="G223" s="30" t="s">
        <v>185</v>
      </c>
      <c r="H223" s="590"/>
      <c r="I223" s="30">
        <v>2</v>
      </c>
      <c r="J223" s="590">
        <v>9898.7999999999993</v>
      </c>
      <c r="K223" s="590"/>
      <c r="L223" s="30">
        <v>2</v>
      </c>
      <c r="M223" s="590">
        <v>9898.7999999999993</v>
      </c>
      <c r="N223" s="6" t="s">
        <v>520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520" t="s">
        <v>412</v>
      </c>
      <c r="D224" s="30" t="s">
        <v>58</v>
      </c>
      <c r="E224" s="30" t="s">
        <v>88</v>
      </c>
      <c r="F224" s="30" t="s">
        <v>508</v>
      </c>
      <c r="G224" s="30" t="s">
        <v>185</v>
      </c>
      <c r="H224" s="590">
        <v>4490</v>
      </c>
      <c r="I224" s="30">
        <v>1</v>
      </c>
      <c r="J224" s="590">
        <v>4490</v>
      </c>
      <c r="K224" s="590">
        <v>4490</v>
      </c>
      <c r="L224" s="30">
        <v>1</v>
      </c>
      <c r="M224" s="590">
        <v>4490</v>
      </c>
      <c r="N224" s="6" t="s">
        <v>522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520" t="s">
        <v>516</v>
      </c>
      <c r="D225" s="30" t="s">
        <v>58</v>
      </c>
      <c r="E225" s="30" t="s">
        <v>88</v>
      </c>
      <c r="F225" s="30" t="s">
        <v>509</v>
      </c>
      <c r="G225" s="30" t="s">
        <v>185</v>
      </c>
      <c r="H225" s="590"/>
      <c r="I225" s="30">
        <v>22</v>
      </c>
      <c r="J225" s="590">
        <v>107860</v>
      </c>
      <c r="K225" s="590"/>
      <c r="L225" s="30">
        <v>22</v>
      </c>
      <c r="M225" s="590">
        <v>107860</v>
      </c>
      <c r="N225" s="6" t="s">
        <v>523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4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520" t="s">
        <v>517</v>
      </c>
      <c r="D226" s="30" t="s">
        <v>58</v>
      </c>
      <c r="E226" s="30" t="s">
        <v>88</v>
      </c>
      <c r="F226" s="30" t="s">
        <v>510</v>
      </c>
      <c r="G226" s="30" t="s">
        <v>184</v>
      </c>
      <c r="H226" s="590">
        <v>17355</v>
      </c>
      <c r="I226" s="30">
        <v>1</v>
      </c>
      <c r="J226" s="590">
        <v>17355</v>
      </c>
      <c r="K226" s="590">
        <v>17355</v>
      </c>
      <c r="L226" s="30">
        <v>1</v>
      </c>
      <c r="M226" s="590">
        <v>17355</v>
      </c>
      <c r="N226" s="6" t="s">
        <v>524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555</v>
      </c>
      <c r="V226" s="30"/>
    </row>
    <row r="227" spans="1:22" ht="62.4" x14ac:dyDescent="0.3">
      <c r="A227" s="30">
        <v>223</v>
      </c>
      <c r="B227" s="30" t="s">
        <v>184</v>
      </c>
      <c r="C227" s="520" t="s">
        <v>73</v>
      </c>
      <c r="D227" s="30"/>
      <c r="E227" s="30" t="s">
        <v>75</v>
      </c>
      <c r="F227" s="30" t="s">
        <v>511</v>
      </c>
      <c r="G227" s="30" t="s">
        <v>184</v>
      </c>
      <c r="H227" s="590">
        <v>672.42191666666679</v>
      </c>
      <c r="I227" s="30">
        <v>1</v>
      </c>
      <c r="J227" s="590">
        <v>672.42191666666679</v>
      </c>
      <c r="K227" s="590">
        <v>672.42191666666679</v>
      </c>
      <c r="L227" s="30">
        <v>1</v>
      </c>
      <c r="M227" s="590">
        <v>672.42191666666679</v>
      </c>
      <c r="N227" s="6" t="s">
        <v>525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520" t="s">
        <v>41</v>
      </c>
      <c r="D228" s="30" t="s">
        <v>58</v>
      </c>
      <c r="E228" s="446" t="s">
        <v>20</v>
      </c>
      <c r="F228" s="30" t="s">
        <v>512</v>
      </c>
      <c r="G228" s="30" t="s">
        <v>184</v>
      </c>
      <c r="H228" s="590">
        <v>19883.875</v>
      </c>
      <c r="I228" s="30">
        <v>1</v>
      </c>
      <c r="J228" s="590">
        <v>19883.875</v>
      </c>
      <c r="K228" s="590">
        <v>19883.875</v>
      </c>
      <c r="L228" s="30">
        <v>1</v>
      </c>
      <c r="M228" s="590">
        <v>19883.875</v>
      </c>
      <c r="N228" s="6" t="s">
        <v>526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520" t="s">
        <v>178</v>
      </c>
      <c r="D229" s="30" t="s">
        <v>58</v>
      </c>
      <c r="E229" s="30" t="s">
        <v>88</v>
      </c>
      <c r="F229" s="30" t="s">
        <v>513</v>
      </c>
      <c r="G229" s="30" t="s">
        <v>185</v>
      </c>
      <c r="H229" s="590"/>
      <c r="I229" s="30">
        <v>20</v>
      </c>
      <c r="J229" s="590">
        <v>125.4</v>
      </c>
      <c r="K229" s="590"/>
      <c r="L229" s="30">
        <v>20</v>
      </c>
      <c r="M229" s="590">
        <v>125.4</v>
      </c>
      <c r="N229" s="6" t="s">
        <v>527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520" t="s">
        <v>405</v>
      </c>
      <c r="D230" s="30" t="s">
        <v>58</v>
      </c>
      <c r="E230" s="34" t="s">
        <v>88</v>
      </c>
      <c r="F230" s="34" t="s">
        <v>514</v>
      </c>
      <c r="G230" s="34" t="s">
        <v>185</v>
      </c>
      <c r="H230" s="590">
        <v>10543.4</v>
      </c>
      <c r="I230" s="34">
        <v>1</v>
      </c>
      <c r="J230" s="590">
        <v>10543.4</v>
      </c>
      <c r="K230" s="590">
        <v>10543.4</v>
      </c>
      <c r="L230" s="34">
        <v>1</v>
      </c>
      <c r="M230" s="590">
        <v>10543.4</v>
      </c>
      <c r="N230" s="3" t="s">
        <v>528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1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520" t="s">
        <v>73</v>
      </c>
      <c r="D231" s="34"/>
      <c r="E231" s="34" t="s">
        <v>75</v>
      </c>
      <c r="F231" s="34" t="s">
        <v>530</v>
      </c>
      <c r="G231" s="34" t="s">
        <v>184</v>
      </c>
      <c r="H231" s="590">
        <v>52.715508333333332</v>
      </c>
      <c r="I231" s="34">
        <v>1</v>
      </c>
      <c r="J231" s="590">
        <v>52.715508333333332</v>
      </c>
      <c r="K231" s="590">
        <v>52.715508333333332</v>
      </c>
      <c r="L231" s="34">
        <v>1</v>
      </c>
      <c r="M231" s="590">
        <v>52.715508333333332</v>
      </c>
      <c r="N231" s="3" t="s">
        <v>536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520" t="s">
        <v>41</v>
      </c>
      <c r="D232" s="34"/>
      <c r="E232" s="446" t="s">
        <v>20</v>
      </c>
      <c r="F232" s="34" t="s">
        <v>531</v>
      </c>
      <c r="G232" s="34" t="s">
        <v>184</v>
      </c>
      <c r="H232" s="590">
        <v>248.68982499999998</v>
      </c>
      <c r="I232" s="34">
        <v>1</v>
      </c>
      <c r="J232" s="590">
        <v>248.68982499999998</v>
      </c>
      <c r="K232" s="590">
        <v>248.68982499999998</v>
      </c>
      <c r="L232" s="34">
        <v>1</v>
      </c>
      <c r="M232" s="590">
        <v>248.68982499999998</v>
      </c>
      <c r="N232" s="3" t="s">
        <v>535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520" t="s">
        <v>41</v>
      </c>
      <c r="D233" s="34"/>
      <c r="E233" s="446" t="s">
        <v>20</v>
      </c>
      <c r="F233" s="34" t="s">
        <v>532</v>
      </c>
      <c r="G233" s="34" t="s">
        <v>184</v>
      </c>
      <c r="H233" s="590">
        <v>208.01519999999999</v>
      </c>
      <c r="I233" s="34">
        <v>1</v>
      </c>
      <c r="J233" s="590">
        <v>208.01519999999999</v>
      </c>
      <c r="K233" s="590">
        <v>208.01519999999999</v>
      </c>
      <c r="L233" s="34">
        <v>1</v>
      </c>
      <c r="M233" s="590">
        <v>208.01519999999999</v>
      </c>
      <c r="N233" s="3" t="s">
        <v>537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520" t="s">
        <v>41</v>
      </c>
      <c r="D234" s="34"/>
      <c r="E234" s="446" t="s">
        <v>20</v>
      </c>
      <c r="F234" s="34" t="s">
        <v>533</v>
      </c>
      <c r="G234" s="34" t="s">
        <v>184</v>
      </c>
      <c r="H234" s="590">
        <v>263.00654166666669</v>
      </c>
      <c r="I234" s="34">
        <v>1</v>
      </c>
      <c r="J234" s="590">
        <v>263.00654166666669</v>
      </c>
      <c r="K234" s="590">
        <v>263.00654166666669</v>
      </c>
      <c r="L234" s="34">
        <v>1</v>
      </c>
      <c r="M234" s="590">
        <v>263.00654166666669</v>
      </c>
      <c r="N234" s="3" t="s">
        <v>538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520" t="s">
        <v>32</v>
      </c>
      <c r="D235" s="34" t="s">
        <v>58</v>
      </c>
      <c r="E235" s="446" t="s">
        <v>20</v>
      </c>
      <c r="F235" s="34" t="s">
        <v>534</v>
      </c>
      <c r="G235" s="34" t="s">
        <v>185</v>
      </c>
      <c r="H235" s="590">
        <v>162.5</v>
      </c>
      <c r="I235" s="34">
        <v>1</v>
      </c>
      <c r="J235" s="590">
        <v>162.5</v>
      </c>
      <c r="K235" s="590">
        <v>162.5</v>
      </c>
      <c r="L235" s="34">
        <v>1</v>
      </c>
      <c r="M235" s="590">
        <v>162.5</v>
      </c>
      <c r="N235" s="3" t="s">
        <v>539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1">
        <v>154.25</v>
      </c>
      <c r="R235" s="34">
        <v>1</v>
      </c>
      <c r="S235" s="51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541</v>
      </c>
      <c r="D236" s="38"/>
      <c r="E236" s="38" t="s">
        <v>75</v>
      </c>
      <c r="F236" s="38" t="s">
        <v>543</v>
      </c>
      <c r="G236" s="38" t="s">
        <v>184</v>
      </c>
      <c r="H236" s="595">
        <v>196.83361666666667</v>
      </c>
      <c r="I236" s="38">
        <v>1</v>
      </c>
      <c r="J236" s="595">
        <v>196.83361666666667</v>
      </c>
      <c r="K236" s="595">
        <v>196.83361666666667</v>
      </c>
      <c r="L236" s="38">
        <v>1</v>
      </c>
      <c r="M236" s="595">
        <v>196.83361666666667</v>
      </c>
      <c r="N236" s="3" t="s">
        <v>544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412</v>
      </c>
      <c r="D237" s="38" t="s">
        <v>58</v>
      </c>
      <c r="E237" s="446" t="s">
        <v>20</v>
      </c>
      <c r="F237" s="59" t="s">
        <v>545</v>
      </c>
      <c r="G237" s="38" t="s">
        <v>185</v>
      </c>
      <c r="H237" s="596"/>
      <c r="I237" s="38">
        <v>180</v>
      </c>
      <c r="J237" s="590">
        <v>372.06</v>
      </c>
      <c r="K237" s="597"/>
      <c r="L237" s="49">
        <v>180</v>
      </c>
      <c r="M237" s="590">
        <v>372.06</v>
      </c>
      <c r="N237" s="3" t="s">
        <v>546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5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446" t="s">
        <v>20</v>
      </c>
      <c r="F238" s="44" t="s">
        <v>547</v>
      </c>
      <c r="G238" s="38" t="s">
        <v>184</v>
      </c>
      <c r="H238" s="596">
        <v>299.56304166666672</v>
      </c>
      <c r="I238" s="38">
        <v>1</v>
      </c>
      <c r="J238" s="590">
        <v>299.56304166666672</v>
      </c>
      <c r="K238" s="590">
        <v>299.56304166666672</v>
      </c>
      <c r="L238" s="38">
        <v>1</v>
      </c>
      <c r="M238" s="590">
        <v>299.56304166666672</v>
      </c>
      <c r="N238" s="3" t="s">
        <v>548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446" t="s">
        <v>20</v>
      </c>
      <c r="F239" s="44" t="s">
        <v>549</v>
      </c>
      <c r="G239" s="38" t="s">
        <v>184</v>
      </c>
      <c r="H239" s="596">
        <v>187.04543333333334</v>
      </c>
      <c r="I239" s="38">
        <v>1</v>
      </c>
      <c r="J239" s="590">
        <v>187.04543333333334</v>
      </c>
      <c r="K239" s="596">
        <v>187.04543333333334</v>
      </c>
      <c r="L239" s="38">
        <v>1</v>
      </c>
      <c r="M239" s="590">
        <v>187.04543333333334</v>
      </c>
      <c r="N239" s="3" t="s">
        <v>550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446" t="s">
        <v>20</v>
      </c>
      <c r="F240" s="44" t="s">
        <v>551</v>
      </c>
      <c r="G240" s="38" t="s">
        <v>184</v>
      </c>
      <c r="H240" s="596">
        <v>67.505383333333342</v>
      </c>
      <c r="I240" s="38">
        <v>1</v>
      </c>
      <c r="J240" s="590">
        <v>67.505383333333342</v>
      </c>
      <c r="K240" s="590">
        <v>67.505383333333342</v>
      </c>
      <c r="L240" s="38">
        <v>1</v>
      </c>
      <c r="M240" s="590">
        <v>67.505383333333342</v>
      </c>
      <c r="N240" s="3" t="s">
        <v>552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0" t="s">
        <v>516</v>
      </c>
      <c r="D241" s="38" t="s">
        <v>58</v>
      </c>
      <c r="E241" s="38" t="s">
        <v>88</v>
      </c>
      <c r="F241" s="41" t="s">
        <v>553</v>
      </c>
      <c r="G241" s="38" t="s">
        <v>185</v>
      </c>
      <c r="H241" s="596"/>
      <c r="I241" s="38">
        <v>28</v>
      </c>
      <c r="J241" s="590">
        <f>16670400/1000/1.2</f>
        <v>13892.000000000002</v>
      </c>
      <c r="K241" s="590"/>
      <c r="L241" s="38">
        <v>28</v>
      </c>
      <c r="M241" s="590">
        <v>13892.000000000002</v>
      </c>
      <c r="N241" s="3" t="s">
        <v>554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4" t="s">
        <v>555</v>
      </c>
      <c r="V241" s="38"/>
    </row>
    <row r="242" spans="1:22" ht="62.4" x14ac:dyDescent="0.3">
      <c r="A242" s="38">
        <v>238</v>
      </c>
      <c r="B242" s="38" t="s">
        <v>40</v>
      </c>
      <c r="C242" s="44" t="s">
        <v>541</v>
      </c>
      <c r="D242" s="38"/>
      <c r="E242" s="38" t="s">
        <v>75</v>
      </c>
      <c r="F242" s="44" t="s">
        <v>540</v>
      </c>
      <c r="G242" s="38" t="s">
        <v>184</v>
      </c>
      <c r="H242" s="596">
        <f>255985.58/1000/1.2</f>
        <v>213.32131666666666</v>
      </c>
      <c r="I242" s="38">
        <v>1</v>
      </c>
      <c r="J242" s="596">
        <f>255985.58/1000/1.2</f>
        <v>213.32131666666666</v>
      </c>
      <c r="K242" s="596">
        <f>255985.58/1000/1.2</f>
        <v>213.32131666666666</v>
      </c>
      <c r="L242" s="38">
        <v>1</v>
      </c>
      <c r="M242" s="596">
        <f>255985.58/1000/1.2</f>
        <v>213.32131666666666</v>
      </c>
      <c r="N242" s="3" t="s">
        <v>542</v>
      </c>
      <c r="O242" s="48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520" t="s">
        <v>517</v>
      </c>
      <c r="D243" s="39"/>
      <c r="E243" s="39" t="s">
        <v>88</v>
      </c>
      <c r="F243" s="39" t="s">
        <v>510</v>
      </c>
      <c r="G243" s="39" t="s">
        <v>184</v>
      </c>
      <c r="H243" s="590">
        <v>1735.5</v>
      </c>
      <c r="I243" s="39">
        <v>1</v>
      </c>
      <c r="J243" s="590">
        <v>1735.5</v>
      </c>
      <c r="K243" s="590">
        <v>1735.5</v>
      </c>
      <c r="L243" s="39">
        <v>1</v>
      </c>
      <c r="M243" s="590">
        <v>1735.5</v>
      </c>
      <c r="N243" s="6" t="s">
        <v>557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600</v>
      </c>
      <c r="V243" s="39"/>
    </row>
    <row r="244" spans="1:22" ht="62.4" x14ac:dyDescent="0.3">
      <c r="A244" s="39">
        <v>240</v>
      </c>
      <c r="B244" s="39" t="s">
        <v>40</v>
      </c>
      <c r="C244" s="520" t="s">
        <v>41</v>
      </c>
      <c r="D244" s="39"/>
      <c r="E244" s="446" t="s">
        <v>20</v>
      </c>
      <c r="F244" s="39" t="s">
        <v>558</v>
      </c>
      <c r="G244" s="39" t="s">
        <v>184</v>
      </c>
      <c r="H244" s="590">
        <v>167.10406599999999</v>
      </c>
      <c r="I244" s="39">
        <v>1</v>
      </c>
      <c r="J244" s="590">
        <v>167.10406599999999</v>
      </c>
      <c r="K244" s="590">
        <v>167.10406599999999</v>
      </c>
      <c r="L244" s="52">
        <v>1</v>
      </c>
      <c r="M244" s="590">
        <v>167.10406599999999</v>
      </c>
      <c r="N244" s="6" t="s">
        <v>559</v>
      </c>
      <c r="O244" s="53">
        <v>45181</v>
      </c>
      <c r="P244" s="33" t="str">
        <f>HYPERLINK("https://my.zakupki.prom.ua/remote/dispatcher/state_purchase_view/45103007", "UA-2023-09-12-003129-a")</f>
        <v>UA-2023-09-12-003129-a</v>
      </c>
      <c r="Q244" s="52">
        <v>167.10406599999999</v>
      </c>
      <c r="R244" s="52">
        <v>1</v>
      </c>
      <c r="S244" s="52">
        <v>167.10406599999999</v>
      </c>
      <c r="T244" s="53">
        <v>45181</v>
      </c>
      <c r="U244" s="39"/>
      <c r="V244" s="52" t="s">
        <v>59</v>
      </c>
    </row>
    <row r="245" spans="1:22" ht="62.4" x14ac:dyDescent="0.3">
      <c r="A245" s="39">
        <v>241</v>
      </c>
      <c r="B245" s="39" t="s">
        <v>40</v>
      </c>
      <c r="C245" s="520" t="s">
        <v>41</v>
      </c>
      <c r="D245" s="39"/>
      <c r="E245" s="446" t="s">
        <v>20</v>
      </c>
      <c r="F245" s="39" t="s">
        <v>560</v>
      </c>
      <c r="G245" s="39" t="s">
        <v>184</v>
      </c>
      <c r="H245" s="590">
        <v>415.16779100000002</v>
      </c>
      <c r="I245" s="39">
        <v>1</v>
      </c>
      <c r="J245" s="590">
        <v>415.16779100000002</v>
      </c>
      <c r="K245" s="590">
        <v>415.16779100000002</v>
      </c>
      <c r="L245" s="52">
        <v>1</v>
      </c>
      <c r="M245" s="590">
        <v>415.16779100000002</v>
      </c>
      <c r="N245" s="6" t="s">
        <v>562</v>
      </c>
      <c r="O245" s="53">
        <v>45181</v>
      </c>
      <c r="P245" s="33" t="str">
        <f>HYPERLINK("https://my.zakupki.prom.ua/remote/dispatcher/state_purchase_view/45101986", "UA-2023-09-12-002759-a")</f>
        <v>UA-2023-09-12-002759-a</v>
      </c>
      <c r="Q245" s="52">
        <v>415.16779100000002</v>
      </c>
      <c r="R245" s="52">
        <v>1</v>
      </c>
      <c r="S245" s="52">
        <v>415.16779100000002</v>
      </c>
      <c r="T245" s="53">
        <v>45181</v>
      </c>
      <c r="U245" s="39"/>
      <c r="V245" s="52" t="s">
        <v>59</v>
      </c>
    </row>
    <row r="246" spans="1:22" ht="62.4" x14ac:dyDescent="0.3">
      <c r="A246" s="39">
        <v>242</v>
      </c>
      <c r="B246" s="39" t="s">
        <v>40</v>
      </c>
      <c r="C246" s="520" t="s">
        <v>41</v>
      </c>
      <c r="D246" s="39"/>
      <c r="E246" s="446" t="s">
        <v>20</v>
      </c>
      <c r="F246" s="39" t="s">
        <v>561</v>
      </c>
      <c r="G246" s="39" t="s">
        <v>184</v>
      </c>
      <c r="H246" s="590">
        <v>101.80864099999999</v>
      </c>
      <c r="I246" s="39">
        <v>1</v>
      </c>
      <c r="J246" s="590">
        <v>101.80864099999999</v>
      </c>
      <c r="K246" s="590">
        <v>101.80864099999999</v>
      </c>
      <c r="L246" s="52">
        <v>1</v>
      </c>
      <c r="M246" s="590">
        <v>101.80864099999999</v>
      </c>
      <c r="N246" s="6" t="s">
        <v>563</v>
      </c>
      <c r="O246" s="53">
        <v>45181</v>
      </c>
      <c r="P246" s="42" t="str">
        <f>HYPERLINK("https://my.zakupki.prom.ua/remote/dispatcher/state_purchase_view/45099204", "UA-2023-09-12-001499-a")</f>
        <v>UA-2023-09-12-001499-a</v>
      </c>
      <c r="Q246" s="52">
        <v>101.80864099999999</v>
      </c>
      <c r="R246" s="52">
        <v>1</v>
      </c>
      <c r="S246" s="52">
        <v>101.80864099999999</v>
      </c>
      <c r="T246" s="53">
        <v>45181</v>
      </c>
      <c r="U246" s="39"/>
      <c r="V246" s="52" t="s">
        <v>59</v>
      </c>
    </row>
    <row r="247" spans="1:22" ht="109.2" x14ac:dyDescent="0.3">
      <c r="A247" s="39">
        <v>243</v>
      </c>
      <c r="B247" s="52" t="s">
        <v>21</v>
      </c>
      <c r="C247" s="520" t="s">
        <v>173</v>
      </c>
      <c r="D247" s="81" t="s">
        <v>58</v>
      </c>
      <c r="E247" s="52" t="s">
        <v>88</v>
      </c>
      <c r="F247" s="39" t="s">
        <v>564</v>
      </c>
      <c r="G247" s="52" t="s">
        <v>21</v>
      </c>
      <c r="H247" s="590"/>
      <c r="I247" s="39">
        <v>20</v>
      </c>
      <c r="J247" s="590">
        <v>89.4</v>
      </c>
      <c r="K247" s="590"/>
      <c r="L247" s="39">
        <v>20</v>
      </c>
      <c r="M247" s="590">
        <v>89.4</v>
      </c>
      <c r="N247" s="6" t="s">
        <v>565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2">
        <v>89.4</v>
      </c>
      <c r="T247" s="40"/>
      <c r="U247" s="52" t="s">
        <v>574</v>
      </c>
      <c r="V247" s="39"/>
    </row>
    <row r="248" spans="1:22" ht="78" x14ac:dyDescent="0.3">
      <c r="A248" s="39">
        <v>244</v>
      </c>
      <c r="B248" s="52" t="s">
        <v>21</v>
      </c>
      <c r="C248" s="520" t="s">
        <v>180</v>
      </c>
      <c r="D248" s="81" t="s">
        <v>58</v>
      </c>
      <c r="E248" s="52" t="s">
        <v>88</v>
      </c>
      <c r="F248" s="39" t="s">
        <v>566</v>
      </c>
      <c r="G248" s="52" t="s">
        <v>21</v>
      </c>
      <c r="H248" s="590"/>
      <c r="I248" s="39">
        <v>5</v>
      </c>
      <c r="J248" s="590">
        <v>1802.08</v>
      </c>
      <c r="K248" s="590"/>
      <c r="L248" s="39">
        <v>5</v>
      </c>
      <c r="M248" s="590">
        <v>1802.08</v>
      </c>
      <c r="N248" s="6" t="s">
        <v>567</v>
      </c>
      <c r="O248" s="53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2">
        <v>1802.08</v>
      </c>
      <c r="T248" s="40"/>
      <c r="U248" s="52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1" t="s">
        <v>58</v>
      </c>
      <c r="E249" s="9" t="s">
        <v>88</v>
      </c>
      <c r="F249" s="9" t="s">
        <v>568</v>
      </c>
      <c r="G249" s="9" t="s">
        <v>21</v>
      </c>
      <c r="H249" s="594">
        <v>95.23</v>
      </c>
      <c r="I249" s="9">
        <v>1</v>
      </c>
      <c r="J249" s="594">
        <v>95.23</v>
      </c>
      <c r="K249" s="594">
        <v>95.23</v>
      </c>
      <c r="L249" s="9">
        <v>1</v>
      </c>
      <c r="M249" s="594">
        <v>95.23</v>
      </c>
      <c r="N249" s="56" t="s">
        <v>569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2">
        <v>246</v>
      </c>
      <c r="B250" s="52" t="s">
        <v>21</v>
      </c>
      <c r="C250" s="520" t="s">
        <v>177</v>
      </c>
      <c r="D250" s="81" t="s">
        <v>58</v>
      </c>
      <c r="E250" s="52" t="s">
        <v>88</v>
      </c>
      <c r="F250" s="52" t="s">
        <v>570</v>
      </c>
      <c r="G250" s="52" t="s">
        <v>21</v>
      </c>
      <c r="H250" s="590"/>
      <c r="I250" s="52">
        <v>5</v>
      </c>
      <c r="J250" s="590">
        <v>231.75</v>
      </c>
      <c r="K250" s="590"/>
      <c r="L250" s="52">
        <v>5</v>
      </c>
      <c r="M250" s="590">
        <v>231.75</v>
      </c>
      <c r="N250" s="6" t="s">
        <v>572</v>
      </c>
      <c r="O250" s="53">
        <v>45175</v>
      </c>
      <c r="P250" s="33" t="str">
        <f>HYPERLINK("https://my.zakupki.prom.ua/remote/dispatcher/state_purchase_view/44980722", "UA-2023-09-06-007510-a")</f>
        <v>UA-2023-09-06-007510-a</v>
      </c>
      <c r="Q250" s="52"/>
      <c r="R250" s="52">
        <v>5</v>
      </c>
      <c r="S250" s="52">
        <v>231.75</v>
      </c>
      <c r="T250" s="53"/>
      <c r="U250" s="52" t="s">
        <v>93</v>
      </c>
      <c r="V250" s="52"/>
    </row>
    <row r="251" spans="1:22" ht="78" x14ac:dyDescent="0.3">
      <c r="A251" s="52">
        <v>247</v>
      </c>
      <c r="B251" s="52" t="s">
        <v>21</v>
      </c>
      <c r="C251" s="520" t="s">
        <v>32</v>
      </c>
      <c r="D251" s="81" t="s">
        <v>58</v>
      </c>
      <c r="E251" s="52" t="s">
        <v>88</v>
      </c>
      <c r="F251" s="52" t="s">
        <v>571</v>
      </c>
      <c r="G251" s="52" t="s">
        <v>21</v>
      </c>
      <c r="H251" s="590"/>
      <c r="I251" s="52">
        <v>40</v>
      </c>
      <c r="J251" s="590">
        <v>210</v>
      </c>
      <c r="K251" s="590"/>
      <c r="L251" s="52">
        <v>40</v>
      </c>
      <c r="M251" s="590">
        <v>210</v>
      </c>
      <c r="N251" s="6" t="s">
        <v>573</v>
      </c>
      <c r="O251" s="53">
        <v>45175</v>
      </c>
      <c r="P251" s="33" t="str">
        <f>HYPERLINK("https://my.zakupki.prom.ua/remote/dispatcher/state_purchase_view/44947327", "UA-2023-09-05-007575-a")</f>
        <v>UA-2023-09-05-007575-a</v>
      </c>
      <c r="Q251" s="52"/>
      <c r="R251" s="52">
        <v>40</v>
      </c>
      <c r="S251" s="52">
        <v>210</v>
      </c>
      <c r="T251" s="53"/>
      <c r="U251" s="52" t="s">
        <v>93</v>
      </c>
      <c r="V251" s="52"/>
    </row>
    <row r="252" spans="1:22" ht="62.4" x14ac:dyDescent="0.3">
      <c r="A252" s="57">
        <v>248</v>
      </c>
      <c r="B252" s="57" t="s">
        <v>40</v>
      </c>
      <c r="C252" s="44" t="s">
        <v>41</v>
      </c>
      <c r="D252" s="57"/>
      <c r="E252" s="446" t="s">
        <v>20</v>
      </c>
      <c r="F252" s="44" t="s">
        <v>575</v>
      </c>
      <c r="G252" s="57" t="s">
        <v>40</v>
      </c>
      <c r="H252" s="590">
        <v>200.1147</v>
      </c>
      <c r="I252" s="57">
        <v>1</v>
      </c>
      <c r="J252" s="590">
        <v>200.1147</v>
      </c>
      <c r="K252" s="590">
        <v>200.1147</v>
      </c>
      <c r="L252" s="57">
        <v>1</v>
      </c>
      <c r="M252" s="590">
        <v>200.1147</v>
      </c>
      <c r="N252" s="6" t="s">
        <v>576</v>
      </c>
      <c r="O252" s="58">
        <v>45187</v>
      </c>
      <c r="P252" s="33" t="str">
        <f>HYPERLINK("https://my.zakupki.prom.ua/remote/dispatcher/state_purchase_view/45239472", "UA-2023-09-18-004898-a")</f>
        <v>UA-2023-09-18-004898-a</v>
      </c>
      <c r="Q252" s="57">
        <v>200.1147</v>
      </c>
      <c r="R252" s="57">
        <v>1</v>
      </c>
      <c r="S252" s="57">
        <v>200.1147</v>
      </c>
      <c r="T252" s="88">
        <v>45187</v>
      </c>
      <c r="U252" s="57"/>
      <c r="V252" s="57" t="s">
        <v>59</v>
      </c>
    </row>
    <row r="253" spans="1:22" ht="62.4" x14ac:dyDescent="0.3">
      <c r="A253" s="57">
        <v>249</v>
      </c>
      <c r="B253" s="57" t="s">
        <v>40</v>
      </c>
      <c r="C253" s="44" t="s">
        <v>41</v>
      </c>
      <c r="D253" s="57"/>
      <c r="E253" s="446" t="s">
        <v>20</v>
      </c>
      <c r="F253" s="62" t="s">
        <v>577</v>
      </c>
      <c r="G253" s="57" t="s">
        <v>40</v>
      </c>
      <c r="H253" s="590">
        <v>81.153700000000001</v>
      </c>
      <c r="I253" s="57">
        <v>1</v>
      </c>
      <c r="J253" s="590">
        <v>81.153700000000001</v>
      </c>
      <c r="K253" s="590">
        <v>81.153700000000001</v>
      </c>
      <c r="L253" s="57">
        <v>1</v>
      </c>
      <c r="M253" s="590">
        <v>81.153700000000001</v>
      </c>
      <c r="N253" s="6" t="s">
        <v>578</v>
      </c>
      <c r="O253" s="58">
        <v>45188</v>
      </c>
      <c r="P253" s="42" t="str">
        <f>HYPERLINK("https://my.zakupki.prom.ua/remote/dispatcher/state_purchase_view/45277635", "UA-2023-09-19-007532-a")</f>
        <v>UA-2023-09-19-007532-a</v>
      </c>
      <c r="Q253" s="57">
        <v>81.153700000000001</v>
      </c>
      <c r="R253" s="57">
        <v>1</v>
      </c>
      <c r="S253" s="57">
        <v>81.153700000000001</v>
      </c>
      <c r="T253" s="88">
        <v>45188</v>
      </c>
      <c r="U253" s="57"/>
      <c r="V253" s="57" t="s">
        <v>59</v>
      </c>
    </row>
    <row r="254" spans="1:22" ht="62.4" x14ac:dyDescent="0.3">
      <c r="A254" s="57">
        <v>250</v>
      </c>
      <c r="B254" s="57" t="s">
        <v>40</v>
      </c>
      <c r="C254" s="44" t="s">
        <v>73</v>
      </c>
      <c r="D254" s="57"/>
      <c r="E254" s="57" t="s">
        <v>75</v>
      </c>
      <c r="F254" s="44" t="s">
        <v>579</v>
      </c>
      <c r="G254" s="57" t="s">
        <v>40</v>
      </c>
      <c r="H254" s="590">
        <v>48.749989999999997</v>
      </c>
      <c r="I254" s="57">
        <v>1</v>
      </c>
      <c r="J254" s="590">
        <v>48.749989999999997</v>
      </c>
      <c r="K254" s="590">
        <v>48.749989999999997</v>
      </c>
      <c r="L254" s="57">
        <v>1</v>
      </c>
      <c r="M254" s="590">
        <v>48.749989999999997</v>
      </c>
      <c r="N254" s="6" t="s">
        <v>580</v>
      </c>
      <c r="O254" s="58">
        <v>45189</v>
      </c>
      <c r="P254" s="33" t="str">
        <f>HYPERLINK("https://my.zakupki.prom.ua/remote/dispatcher/state_purchase_view/45319690", "UA-2023-09-20-010554-a")</f>
        <v>UA-2023-09-20-010554-a</v>
      </c>
      <c r="Q254" s="57">
        <v>48.749989999999997</v>
      </c>
      <c r="R254" s="57">
        <v>1</v>
      </c>
      <c r="S254" s="57">
        <v>48.749989999999997</v>
      </c>
      <c r="T254" s="88">
        <v>45189</v>
      </c>
      <c r="U254" s="57"/>
      <c r="V254" s="57" t="s">
        <v>59</v>
      </c>
    </row>
    <row r="255" spans="1:22" ht="62.4" x14ac:dyDescent="0.3">
      <c r="A255" s="57">
        <v>251</v>
      </c>
      <c r="B255" s="57" t="s">
        <v>40</v>
      </c>
      <c r="C255" s="41" t="s">
        <v>73</v>
      </c>
      <c r="D255" s="57"/>
      <c r="E255" s="57" t="s">
        <v>75</v>
      </c>
      <c r="F255" s="41" t="s">
        <v>581</v>
      </c>
      <c r="G255" s="57" t="s">
        <v>40</v>
      </c>
      <c r="H255" s="590">
        <v>77.5</v>
      </c>
      <c r="I255" s="57">
        <v>1</v>
      </c>
      <c r="J255" s="590">
        <v>77.5</v>
      </c>
      <c r="K255" s="590">
        <v>77.5</v>
      </c>
      <c r="L255" s="57">
        <v>1</v>
      </c>
      <c r="M255" s="590">
        <v>77.5</v>
      </c>
      <c r="N255" s="6" t="s">
        <v>582</v>
      </c>
      <c r="O255" s="58">
        <v>45191</v>
      </c>
      <c r="P255" s="42" t="str">
        <f>HYPERLINK("https://my.zakupki.prom.ua/remote/dispatcher/state_purchase_view/45367412", "UA-2023-09-22-000657-a")</f>
        <v>UA-2023-09-22-000657-a</v>
      </c>
      <c r="Q255" s="57">
        <v>77.5</v>
      </c>
      <c r="R255" s="57">
        <v>1</v>
      </c>
      <c r="S255" s="57">
        <v>77.5</v>
      </c>
      <c r="T255" s="88">
        <v>45191</v>
      </c>
      <c r="U255" s="57"/>
      <c r="V255" s="57" t="s">
        <v>59</v>
      </c>
    </row>
    <row r="256" spans="1:22" ht="62.4" x14ac:dyDescent="0.3">
      <c r="A256" s="57">
        <v>252</v>
      </c>
      <c r="B256" s="57" t="s">
        <v>21</v>
      </c>
      <c r="C256" s="63" t="s">
        <v>300</v>
      </c>
      <c r="D256" s="81" t="s">
        <v>58</v>
      </c>
      <c r="E256" s="57" t="s">
        <v>88</v>
      </c>
      <c r="F256" s="57" t="s">
        <v>583</v>
      </c>
      <c r="G256" s="57" t="s">
        <v>21</v>
      </c>
      <c r="H256" s="590"/>
      <c r="I256" s="57"/>
      <c r="J256" s="590">
        <v>34.457160000000002</v>
      </c>
      <c r="K256" s="590"/>
      <c r="L256" s="57"/>
      <c r="M256" s="590">
        <v>34.457160000000002</v>
      </c>
      <c r="N256" s="6" t="s">
        <v>585</v>
      </c>
      <c r="O256" s="58">
        <v>45191</v>
      </c>
      <c r="P256" s="64" t="s">
        <v>584</v>
      </c>
      <c r="Q256" s="57"/>
      <c r="R256" s="57"/>
      <c r="S256" s="57">
        <v>34.457160000000002</v>
      </c>
      <c r="T256" s="88">
        <v>45191</v>
      </c>
      <c r="U256" s="57"/>
      <c r="V256" s="57" t="s">
        <v>59</v>
      </c>
    </row>
    <row r="257" spans="1:22" ht="78" x14ac:dyDescent="0.3">
      <c r="A257" s="61">
        <v>253</v>
      </c>
      <c r="B257" s="61" t="s">
        <v>40</v>
      </c>
      <c r="C257" s="44" t="s">
        <v>41</v>
      </c>
      <c r="D257" s="61"/>
      <c r="E257" s="446" t="s">
        <v>20</v>
      </c>
      <c r="F257" s="61" t="s">
        <v>586</v>
      </c>
      <c r="G257" s="61" t="s">
        <v>40</v>
      </c>
      <c r="H257" s="590">
        <v>230.40833000000001</v>
      </c>
      <c r="I257" s="61">
        <v>1</v>
      </c>
      <c r="J257" s="590">
        <v>230.40833000000001</v>
      </c>
      <c r="K257" s="590">
        <v>230.40833000000001</v>
      </c>
      <c r="L257" s="61">
        <v>1</v>
      </c>
      <c r="M257" s="590">
        <v>230.40833000000001</v>
      </c>
      <c r="N257" s="6" t="s">
        <v>587</v>
      </c>
      <c r="O257" s="60">
        <v>45194</v>
      </c>
      <c r="P257" s="33" t="str">
        <f>HYPERLINK("https://my.zakupki.prom.ua/remote/dispatcher/state_purchase_view/45419691", "UA-2023-09-25-008707-a")</f>
        <v>UA-2023-09-25-008707-a</v>
      </c>
      <c r="Q257" s="61">
        <v>230.40833000000001</v>
      </c>
      <c r="R257" s="61">
        <v>1</v>
      </c>
      <c r="S257" s="61">
        <v>230.40833000000001</v>
      </c>
      <c r="T257" s="88">
        <v>45194</v>
      </c>
      <c r="U257" s="61"/>
      <c r="V257" s="61" t="s">
        <v>59</v>
      </c>
    </row>
    <row r="258" spans="1:22" ht="78" x14ac:dyDescent="0.3">
      <c r="A258" s="61">
        <v>254</v>
      </c>
      <c r="B258" s="61" t="s">
        <v>40</v>
      </c>
      <c r="C258" s="44" t="s">
        <v>41</v>
      </c>
      <c r="D258" s="61"/>
      <c r="E258" s="446" t="s">
        <v>20</v>
      </c>
      <c r="F258" s="61" t="s">
        <v>588</v>
      </c>
      <c r="G258" s="61" t="s">
        <v>40</v>
      </c>
      <c r="H258" s="590">
        <v>394.19400000000002</v>
      </c>
      <c r="I258" s="61">
        <v>1</v>
      </c>
      <c r="J258" s="590">
        <v>394.19400000000002</v>
      </c>
      <c r="K258" s="590">
        <v>394.19400000000002</v>
      </c>
      <c r="L258" s="61">
        <v>1</v>
      </c>
      <c r="M258" s="590">
        <v>394.19400000000002</v>
      </c>
      <c r="N258" s="6" t="s">
        <v>589</v>
      </c>
      <c r="O258" s="60">
        <v>45194</v>
      </c>
      <c r="P258" s="67" t="str">
        <f>HYPERLINK("https://my.zakupki.prom.ua/remote/dispatcher/state_purchase_view/45419703", "UA-2023-09-25-008718-a")</f>
        <v>UA-2023-09-25-008718-a</v>
      </c>
      <c r="Q258" s="61">
        <v>394.19400000000002</v>
      </c>
      <c r="R258" s="61">
        <v>1</v>
      </c>
      <c r="S258" s="61">
        <v>394.19400000000002</v>
      </c>
      <c r="T258" s="88">
        <v>45194</v>
      </c>
      <c r="U258" s="61"/>
      <c r="V258" s="61" t="s">
        <v>59</v>
      </c>
    </row>
    <row r="259" spans="1:22" ht="62.4" x14ac:dyDescent="0.3">
      <c r="A259" s="65">
        <v>255</v>
      </c>
      <c r="B259" s="65" t="s">
        <v>40</v>
      </c>
      <c r="C259" s="44" t="s">
        <v>41</v>
      </c>
      <c r="D259" s="65"/>
      <c r="E259" s="446" t="s">
        <v>20</v>
      </c>
      <c r="F259" s="65" t="s">
        <v>590</v>
      </c>
      <c r="G259" s="65" t="s">
        <v>40</v>
      </c>
      <c r="H259" s="590">
        <v>132.84333000000001</v>
      </c>
      <c r="I259" s="65">
        <v>1</v>
      </c>
      <c r="J259" s="590">
        <v>132.84333000000001</v>
      </c>
      <c r="K259" s="590">
        <v>132.84333000000001</v>
      </c>
      <c r="L259" s="65">
        <v>1</v>
      </c>
      <c r="M259" s="590">
        <v>132.84333000000001</v>
      </c>
      <c r="N259" s="6" t="s">
        <v>591</v>
      </c>
      <c r="O259" s="66">
        <v>45196</v>
      </c>
      <c r="P259" s="33" t="str">
        <f>HYPERLINK("https://my.zakupki.prom.ua/remote/dispatcher/state_purchase_view/45482565", "UA-2023-09-27-006761-a")</f>
        <v>UA-2023-09-27-006761-a</v>
      </c>
      <c r="Q259" s="65">
        <v>132.84333000000001</v>
      </c>
      <c r="R259" s="65">
        <v>1</v>
      </c>
      <c r="S259" s="65">
        <v>132.84333000000001</v>
      </c>
      <c r="T259" s="88">
        <v>45196</v>
      </c>
      <c r="U259" s="65"/>
      <c r="V259" s="65" t="s">
        <v>59</v>
      </c>
    </row>
    <row r="260" spans="1:22" ht="62.4" x14ac:dyDescent="0.3">
      <c r="A260" s="68">
        <v>256</v>
      </c>
      <c r="B260" s="68" t="s">
        <v>40</v>
      </c>
      <c r="C260" s="44" t="s">
        <v>41</v>
      </c>
      <c r="D260" s="68"/>
      <c r="E260" s="446" t="s">
        <v>20</v>
      </c>
      <c r="F260" s="44" t="s">
        <v>592</v>
      </c>
      <c r="G260" s="68" t="s">
        <v>40</v>
      </c>
      <c r="H260" s="590">
        <v>654.21704</v>
      </c>
      <c r="I260" s="68">
        <v>1</v>
      </c>
      <c r="J260" s="590">
        <v>654.21704</v>
      </c>
      <c r="K260" s="590">
        <v>654.21704</v>
      </c>
      <c r="L260" s="68">
        <v>1</v>
      </c>
      <c r="M260" s="590">
        <v>654.21704</v>
      </c>
      <c r="N260" s="6" t="s">
        <v>593</v>
      </c>
      <c r="O260" s="69">
        <v>45196</v>
      </c>
      <c r="P260" s="33" t="str">
        <f>HYPERLINK("https://my.zakupki.prom.ua/remote/dispatcher/state_purchase_view/45483418", "UA-2023-09-27-007155-a")</f>
        <v>UA-2023-09-27-007155-a</v>
      </c>
      <c r="Q260" s="68">
        <v>654.21704</v>
      </c>
      <c r="R260" s="68">
        <v>1</v>
      </c>
      <c r="S260" s="68">
        <v>654.21704</v>
      </c>
      <c r="T260" s="88">
        <v>45196</v>
      </c>
      <c r="U260" s="68"/>
      <c r="V260" s="68" t="s">
        <v>59</v>
      </c>
    </row>
    <row r="261" spans="1:22" ht="109.2" x14ac:dyDescent="0.3">
      <c r="A261" s="68">
        <v>257</v>
      </c>
      <c r="B261" s="68" t="s">
        <v>40</v>
      </c>
      <c r="C261" s="44" t="s">
        <v>517</v>
      </c>
      <c r="D261" s="68"/>
      <c r="E261" s="68" t="s">
        <v>88</v>
      </c>
      <c r="F261" s="44" t="s">
        <v>594</v>
      </c>
      <c r="G261" s="68" t="s">
        <v>40</v>
      </c>
      <c r="H261" s="590">
        <v>1166.6659</v>
      </c>
      <c r="I261" s="68">
        <v>1</v>
      </c>
      <c r="J261" s="590">
        <v>1166.6659</v>
      </c>
      <c r="K261" s="590">
        <v>1166.6659</v>
      </c>
      <c r="L261" s="68">
        <v>1</v>
      </c>
      <c r="M261" s="590">
        <v>1166.6659</v>
      </c>
      <c r="N261" s="6" t="s">
        <v>595</v>
      </c>
      <c r="O261" s="69">
        <v>45198</v>
      </c>
      <c r="P261" s="33" t="str">
        <f>HYPERLINK("https://my.zakupki.prom.ua/remote/dispatcher/state_purchase_view/45549412", "UA-2023-09-29-009263-a")</f>
        <v>UA-2023-09-29-009263-a</v>
      </c>
      <c r="Q261" s="78">
        <v>1166.6659</v>
      </c>
      <c r="R261" s="68">
        <v>1</v>
      </c>
      <c r="S261" s="78">
        <v>1166.6659</v>
      </c>
      <c r="T261" s="69">
        <v>45224</v>
      </c>
      <c r="U261" s="68"/>
      <c r="V261" s="68"/>
    </row>
    <row r="262" spans="1:22" ht="62.4" x14ac:dyDescent="0.3">
      <c r="A262" s="68">
        <v>258</v>
      </c>
      <c r="B262" s="68" t="s">
        <v>40</v>
      </c>
      <c r="C262" s="44" t="s">
        <v>73</v>
      </c>
      <c r="D262" s="68"/>
      <c r="E262" s="68" t="s">
        <v>75</v>
      </c>
      <c r="F262" s="44" t="s">
        <v>596</v>
      </c>
      <c r="G262" s="68" t="s">
        <v>40</v>
      </c>
      <c r="H262" s="590">
        <v>525.10654999999997</v>
      </c>
      <c r="I262" s="68">
        <v>1</v>
      </c>
      <c r="J262" s="590">
        <v>525.10654999999997</v>
      </c>
      <c r="K262" s="590">
        <v>525.10654999999997</v>
      </c>
      <c r="L262" s="68">
        <v>1</v>
      </c>
      <c r="M262" s="590">
        <v>525.10654999999997</v>
      </c>
      <c r="N262" s="6" t="s">
        <v>597</v>
      </c>
      <c r="O262" s="69">
        <v>45202</v>
      </c>
      <c r="P262" s="33" t="str">
        <f>HYPERLINK("https://my.zakupki.prom.ua/remote/dispatcher/state_purchase_view/45589939", "UA-2023-10-03-002362-a")</f>
        <v>UA-2023-10-03-002362-a</v>
      </c>
      <c r="Q262" s="68">
        <v>525.10654999999997</v>
      </c>
      <c r="R262" s="68">
        <v>1</v>
      </c>
      <c r="S262" s="68">
        <v>525.10654999999997</v>
      </c>
      <c r="T262" s="82">
        <v>45202</v>
      </c>
      <c r="U262" s="68"/>
      <c r="V262" s="68" t="s">
        <v>59</v>
      </c>
    </row>
    <row r="263" spans="1:22" ht="62.4" x14ac:dyDescent="0.3">
      <c r="A263" s="68">
        <v>259</v>
      </c>
      <c r="B263" s="68" t="s">
        <v>40</v>
      </c>
      <c r="C263" s="44" t="s">
        <v>73</v>
      </c>
      <c r="D263" s="68"/>
      <c r="E263" s="446" t="s">
        <v>20</v>
      </c>
      <c r="F263" s="44" t="s">
        <v>598</v>
      </c>
      <c r="G263" s="68" t="s">
        <v>40</v>
      </c>
      <c r="H263" s="590">
        <v>60.484029999999997</v>
      </c>
      <c r="I263" s="68">
        <v>1</v>
      </c>
      <c r="J263" s="590">
        <v>60.484029999999997</v>
      </c>
      <c r="K263" s="590">
        <v>60.484029999999997</v>
      </c>
      <c r="L263" s="68">
        <v>1</v>
      </c>
      <c r="M263" s="590">
        <v>60.484029999999997</v>
      </c>
      <c r="N263" s="6" t="s">
        <v>599</v>
      </c>
      <c r="O263" s="69">
        <v>45208</v>
      </c>
      <c r="P263" s="33" t="str">
        <f>HYPERLINK("https://my.zakupki.prom.ua/remote/dispatcher/state_purchase_view/45723610", "UA-2023-10-09-004357-a")</f>
        <v>UA-2023-10-09-004357-a</v>
      </c>
      <c r="Q263" s="68">
        <v>60.484029999999997</v>
      </c>
      <c r="R263" s="68">
        <v>1</v>
      </c>
      <c r="S263" s="68">
        <v>60.484029999999997</v>
      </c>
      <c r="T263" s="82">
        <v>45208</v>
      </c>
      <c r="U263" s="68"/>
      <c r="V263" s="68" t="s">
        <v>59</v>
      </c>
    </row>
    <row r="264" spans="1:22" ht="62.4" x14ac:dyDescent="0.3">
      <c r="A264" s="75">
        <v>260</v>
      </c>
      <c r="B264" s="75" t="s">
        <v>40</v>
      </c>
      <c r="C264" s="44" t="s">
        <v>73</v>
      </c>
      <c r="D264" s="75"/>
      <c r="E264" s="446" t="s">
        <v>20</v>
      </c>
      <c r="F264" s="70" t="s">
        <v>601</v>
      </c>
      <c r="G264" s="70" t="s">
        <v>40</v>
      </c>
      <c r="H264" s="590">
        <v>93.933940000000007</v>
      </c>
      <c r="I264" s="70">
        <v>1</v>
      </c>
      <c r="J264" s="590">
        <v>93.933940000000007</v>
      </c>
      <c r="K264" s="590">
        <v>93.933940000000007</v>
      </c>
      <c r="L264" s="70">
        <v>1</v>
      </c>
      <c r="M264" s="590">
        <v>93.933940000000007</v>
      </c>
      <c r="N264" s="6" t="s">
        <v>602</v>
      </c>
      <c r="O264" s="71">
        <v>45209</v>
      </c>
      <c r="P264" s="33" t="str">
        <f>HYPERLINK("https://my.zakupivli.pro/remote/dispatcher/state_purchase_view/45776105", "UA-2023-10-10-013153-a")</f>
        <v>UA-2023-10-10-013153-a</v>
      </c>
      <c r="Q264" s="70">
        <v>93.933940000000007</v>
      </c>
      <c r="R264" s="70">
        <v>1</v>
      </c>
      <c r="S264" s="70">
        <v>93.933940000000007</v>
      </c>
      <c r="T264" s="82">
        <v>45209</v>
      </c>
      <c r="U264" s="70"/>
      <c r="V264" s="70" t="s">
        <v>59</v>
      </c>
    </row>
    <row r="265" spans="1:22" ht="62.4" x14ac:dyDescent="0.3">
      <c r="A265" s="75">
        <v>261</v>
      </c>
      <c r="B265" s="75" t="s">
        <v>40</v>
      </c>
      <c r="C265" s="44" t="s">
        <v>73</v>
      </c>
      <c r="D265" s="75"/>
      <c r="E265" s="70" t="s">
        <v>75</v>
      </c>
      <c r="F265" s="70" t="s">
        <v>603</v>
      </c>
      <c r="G265" s="70" t="s">
        <v>40</v>
      </c>
      <c r="H265" s="590">
        <v>52.685160000000003</v>
      </c>
      <c r="I265" s="70">
        <v>1</v>
      </c>
      <c r="J265" s="590">
        <v>52.685160000000003</v>
      </c>
      <c r="K265" s="590">
        <v>52.685160000000003</v>
      </c>
      <c r="L265" s="70">
        <v>1</v>
      </c>
      <c r="M265" s="590">
        <v>52.685160000000003</v>
      </c>
      <c r="N265" s="6" t="s">
        <v>604</v>
      </c>
      <c r="O265" s="71">
        <v>45215</v>
      </c>
      <c r="P265" s="42" t="str">
        <f>HYPERLINK("https://my.zakupivli.pro/remote/dispatcher/state_purchase_view/45900809", "UA-2023-10-16-006331-a")</f>
        <v>UA-2023-10-16-006331-a</v>
      </c>
      <c r="Q265" s="70">
        <v>52.685160000000003</v>
      </c>
      <c r="R265" s="70">
        <v>1</v>
      </c>
      <c r="S265" s="70">
        <v>52.685160000000003</v>
      </c>
      <c r="T265" s="82">
        <v>45215</v>
      </c>
      <c r="U265" s="70"/>
      <c r="V265" s="70" t="s">
        <v>59</v>
      </c>
    </row>
    <row r="266" spans="1:22" ht="62.4" x14ac:dyDescent="0.3">
      <c r="A266" s="75">
        <v>262</v>
      </c>
      <c r="B266" s="75" t="s">
        <v>40</v>
      </c>
      <c r="C266" s="44" t="s">
        <v>73</v>
      </c>
      <c r="D266" s="75"/>
      <c r="E266" s="72" t="s">
        <v>75</v>
      </c>
      <c r="F266" s="70" t="s">
        <v>605</v>
      </c>
      <c r="G266" s="72" t="s">
        <v>40</v>
      </c>
      <c r="H266" s="590">
        <v>157.77170000000001</v>
      </c>
      <c r="I266" s="72">
        <v>1</v>
      </c>
      <c r="J266" s="590">
        <v>157.77170000000001</v>
      </c>
      <c r="K266" s="590">
        <v>157.77170000000001</v>
      </c>
      <c r="L266" s="72">
        <v>1</v>
      </c>
      <c r="M266" s="590">
        <v>157.77170000000001</v>
      </c>
      <c r="N266" s="6" t="s">
        <v>606</v>
      </c>
      <c r="O266" s="71">
        <v>45223</v>
      </c>
      <c r="P266" s="33" t="str">
        <f>HYPERLINK("https://my.zakupivli.pro/remote/dispatcher/state_purchase_view/46124597", "UA-2023-10-24-009180-a")</f>
        <v>UA-2023-10-24-009180-a</v>
      </c>
      <c r="Q266" s="74">
        <v>157.77170000000001</v>
      </c>
      <c r="R266" s="72">
        <v>1</v>
      </c>
      <c r="S266" s="74">
        <v>157.77170000000001</v>
      </c>
      <c r="T266" s="82">
        <v>45223</v>
      </c>
      <c r="U266" s="70"/>
      <c r="V266" s="72" t="s">
        <v>59</v>
      </c>
    </row>
    <row r="267" spans="1:22" ht="62.4" x14ac:dyDescent="0.3">
      <c r="A267" s="75">
        <v>263</v>
      </c>
      <c r="B267" s="75" t="s">
        <v>40</v>
      </c>
      <c r="C267" s="44" t="s">
        <v>73</v>
      </c>
      <c r="D267" s="75"/>
      <c r="E267" s="72" t="s">
        <v>75</v>
      </c>
      <c r="F267" s="41" t="s">
        <v>605</v>
      </c>
      <c r="G267" s="72" t="s">
        <v>40</v>
      </c>
      <c r="H267" s="590">
        <v>136.57335</v>
      </c>
      <c r="I267" s="72">
        <v>1</v>
      </c>
      <c r="J267" s="590">
        <v>136.57335</v>
      </c>
      <c r="K267" s="590">
        <v>136.57335</v>
      </c>
      <c r="L267" s="72">
        <v>1</v>
      </c>
      <c r="M267" s="590">
        <v>136.57335</v>
      </c>
      <c r="N267" s="6" t="s">
        <v>607</v>
      </c>
      <c r="O267" s="73">
        <v>45223</v>
      </c>
      <c r="P267" s="42" t="str">
        <f>HYPERLINK("https://my.zakupivli.pro/remote/dispatcher/state_purchase_view/46132051", "UA-2023-10-24-012659-a")</f>
        <v>UA-2023-10-24-012659-a</v>
      </c>
      <c r="Q267" s="74">
        <v>136.57335</v>
      </c>
      <c r="R267" s="72">
        <v>1</v>
      </c>
      <c r="S267" s="74">
        <v>136.57335</v>
      </c>
      <c r="T267" s="82">
        <v>45223</v>
      </c>
      <c r="U267" s="70"/>
      <c r="V267" s="72" t="s">
        <v>59</v>
      </c>
    </row>
    <row r="268" spans="1:22" ht="62.4" x14ac:dyDescent="0.3">
      <c r="A268" s="75">
        <v>264</v>
      </c>
      <c r="B268" s="76" t="s">
        <v>40</v>
      </c>
      <c r="C268" s="520" t="s">
        <v>41</v>
      </c>
      <c r="D268" s="75"/>
      <c r="E268" s="446" t="s">
        <v>20</v>
      </c>
      <c r="F268" s="44" t="s">
        <v>608</v>
      </c>
      <c r="G268" s="76" t="s">
        <v>40</v>
      </c>
      <c r="H268" s="590">
        <v>290.55032999999997</v>
      </c>
      <c r="I268" s="76">
        <v>1</v>
      </c>
      <c r="J268" s="590">
        <v>290.55032999999997</v>
      </c>
      <c r="K268" s="590">
        <v>290.55032999999997</v>
      </c>
      <c r="L268" s="76">
        <v>1</v>
      </c>
      <c r="M268" s="590">
        <v>290.55032999999997</v>
      </c>
      <c r="N268" s="6" t="s">
        <v>610</v>
      </c>
      <c r="O268" s="71">
        <v>45224</v>
      </c>
      <c r="P268" s="33" t="str">
        <f>HYPERLINK("https://my.zakupivli.pro/remote/dispatcher/state_purchase_view/46171793", "UA-2023-10-25-014030-a")</f>
        <v>UA-2023-10-25-014030-a</v>
      </c>
      <c r="Q268" s="76">
        <v>290.55032999999997</v>
      </c>
      <c r="R268" s="76">
        <v>1</v>
      </c>
      <c r="S268" s="76">
        <v>290.55032999999997</v>
      </c>
      <c r="T268" s="82">
        <v>45224</v>
      </c>
      <c r="U268" s="70"/>
      <c r="V268" s="76" t="s">
        <v>59</v>
      </c>
    </row>
    <row r="269" spans="1:22" ht="62.4" x14ac:dyDescent="0.3">
      <c r="A269" s="75">
        <v>265</v>
      </c>
      <c r="B269" s="76" t="s">
        <v>40</v>
      </c>
      <c r="C269" s="520" t="s">
        <v>41</v>
      </c>
      <c r="D269" s="75"/>
      <c r="E269" s="446" t="s">
        <v>20</v>
      </c>
      <c r="F269" s="44" t="s">
        <v>560</v>
      </c>
      <c r="G269" s="76" t="s">
        <v>40</v>
      </c>
      <c r="H269" s="590">
        <v>67.260239999999996</v>
      </c>
      <c r="I269" s="76">
        <v>1</v>
      </c>
      <c r="J269" s="590">
        <v>67.260239999999996</v>
      </c>
      <c r="K269" s="590">
        <v>67.260239999999996</v>
      </c>
      <c r="L269" s="76">
        <v>1</v>
      </c>
      <c r="M269" s="590">
        <v>67.260239999999996</v>
      </c>
      <c r="N269" s="6" t="s">
        <v>611</v>
      </c>
      <c r="O269" s="77">
        <v>45224</v>
      </c>
      <c r="P269" s="33" t="str">
        <f>HYPERLINK("https://my.zakupivli.pro/remote/dispatcher/state_purchase_view/46171789", "UA-2023-10-25-014028-a")</f>
        <v>UA-2023-10-25-014028-a</v>
      </c>
      <c r="Q269" s="76">
        <v>67.260239999999996</v>
      </c>
      <c r="R269" s="76">
        <v>1</v>
      </c>
      <c r="S269" s="76">
        <v>67.260239999999996</v>
      </c>
      <c r="T269" s="82">
        <v>45224</v>
      </c>
      <c r="U269" s="70"/>
      <c r="V269" s="76" t="s">
        <v>59</v>
      </c>
    </row>
    <row r="270" spans="1:22" ht="62.4" x14ac:dyDescent="0.3">
      <c r="A270" s="75">
        <v>266</v>
      </c>
      <c r="B270" s="76" t="s">
        <v>40</v>
      </c>
      <c r="C270" s="520" t="s">
        <v>41</v>
      </c>
      <c r="D270" s="75"/>
      <c r="E270" s="446" t="s">
        <v>20</v>
      </c>
      <c r="F270" s="44" t="s">
        <v>609</v>
      </c>
      <c r="G270" s="76" t="s">
        <v>40</v>
      </c>
      <c r="H270" s="590">
        <v>307.03503999999998</v>
      </c>
      <c r="I270" s="76">
        <v>1</v>
      </c>
      <c r="J270" s="590">
        <v>307.03503999999998</v>
      </c>
      <c r="K270" s="590">
        <v>307.03503999999998</v>
      </c>
      <c r="L270" s="76">
        <v>1</v>
      </c>
      <c r="M270" s="590">
        <v>307.03503999999998</v>
      </c>
      <c r="N270" s="6" t="s">
        <v>612</v>
      </c>
      <c r="O270" s="77">
        <v>45224</v>
      </c>
      <c r="P270" s="33" t="str">
        <f>HYPERLINK("https://my.zakupivli.pro/remote/dispatcher/state_purchase_view/46171200", "UA-2023-10-25-013765-a")</f>
        <v>UA-2023-10-25-013765-a</v>
      </c>
      <c r="Q270" s="76">
        <v>307.03503999999998</v>
      </c>
      <c r="R270" s="76">
        <v>1</v>
      </c>
      <c r="S270" s="76">
        <v>307.03503999999998</v>
      </c>
      <c r="T270" s="82">
        <v>45224</v>
      </c>
      <c r="U270" s="70"/>
      <c r="V270" s="76" t="s">
        <v>59</v>
      </c>
    </row>
    <row r="271" spans="1:22" ht="78" x14ac:dyDescent="0.3">
      <c r="A271" s="75">
        <v>267</v>
      </c>
      <c r="B271" s="78" t="s">
        <v>40</v>
      </c>
      <c r="C271" s="520" t="s">
        <v>41</v>
      </c>
      <c r="D271" s="75"/>
      <c r="E271" s="446" t="s">
        <v>20</v>
      </c>
      <c r="F271" s="44" t="s">
        <v>613</v>
      </c>
      <c r="G271" s="78" t="s">
        <v>40</v>
      </c>
      <c r="H271" s="590">
        <v>55.721670000000003</v>
      </c>
      <c r="I271" s="78">
        <v>1</v>
      </c>
      <c r="J271" s="590">
        <v>55.721670000000003</v>
      </c>
      <c r="K271" s="590">
        <v>55.721670000000003</v>
      </c>
      <c r="L271" s="78">
        <v>1</v>
      </c>
      <c r="M271" s="590">
        <v>55.721670000000003</v>
      </c>
      <c r="N271" s="6" t="s">
        <v>615</v>
      </c>
      <c r="O271" s="71">
        <v>45239</v>
      </c>
      <c r="P271" s="33" t="str">
        <f>HYPERLINK("https://my.zakupivli.pro/remote/dispatcher/state_purchase_view/46516934", "UA-2023-11-09-003211-a")</f>
        <v>UA-2023-11-09-003211-a</v>
      </c>
      <c r="Q271" s="78">
        <v>55.721670000000003</v>
      </c>
      <c r="R271" s="78">
        <v>1</v>
      </c>
      <c r="S271" s="78">
        <v>55.721670000000003</v>
      </c>
      <c r="T271" s="82">
        <v>45239</v>
      </c>
      <c r="U271" s="70"/>
      <c r="V271" s="78" t="s">
        <v>59</v>
      </c>
    </row>
    <row r="272" spans="1:22" ht="62.4" x14ac:dyDescent="0.3">
      <c r="A272" s="75">
        <v>268</v>
      </c>
      <c r="B272" s="78" t="s">
        <v>40</v>
      </c>
      <c r="C272" s="520" t="s">
        <v>41</v>
      </c>
      <c r="D272" s="75"/>
      <c r="E272" s="446" t="s">
        <v>20</v>
      </c>
      <c r="F272" s="44" t="s">
        <v>614</v>
      </c>
      <c r="G272" s="78" t="s">
        <v>40</v>
      </c>
      <c r="H272" s="590">
        <v>382.24921000000001</v>
      </c>
      <c r="I272" s="78">
        <v>1</v>
      </c>
      <c r="J272" s="590">
        <v>382.24921000000001</v>
      </c>
      <c r="K272" s="590">
        <v>382.24921000000001</v>
      </c>
      <c r="L272" s="78">
        <v>1</v>
      </c>
      <c r="M272" s="590">
        <v>382.24921000000001</v>
      </c>
      <c r="N272" s="6" t="s">
        <v>616</v>
      </c>
      <c r="O272" s="71">
        <v>45239</v>
      </c>
      <c r="P272" s="33" t="str">
        <f>HYPERLINK("https://my.zakupivli.pro/remote/dispatcher/state_purchase_view/46516207", "UA-2023-11-09-002876-a")</f>
        <v>UA-2023-11-09-002876-a</v>
      </c>
      <c r="Q272" s="78">
        <v>382.24921000000001</v>
      </c>
      <c r="R272" s="78">
        <v>1</v>
      </c>
      <c r="S272" s="78">
        <v>382.24921000000001</v>
      </c>
      <c r="T272" s="82">
        <v>45239</v>
      </c>
      <c r="U272" s="70"/>
      <c r="V272" s="78" t="s">
        <v>59</v>
      </c>
    </row>
    <row r="273" spans="1:26" ht="43.2" x14ac:dyDescent="0.3">
      <c r="A273" s="75">
        <v>269</v>
      </c>
      <c r="B273" s="80" t="s">
        <v>21</v>
      </c>
      <c r="C273" s="41" t="s">
        <v>180</v>
      </c>
      <c r="D273" s="81" t="s">
        <v>58</v>
      </c>
      <c r="E273" s="80" t="s">
        <v>88</v>
      </c>
      <c r="F273" s="83" t="s">
        <v>617</v>
      </c>
      <c r="G273" s="80" t="s">
        <v>21</v>
      </c>
      <c r="H273" s="590">
        <v>1043.44</v>
      </c>
      <c r="I273" s="70">
        <v>2</v>
      </c>
      <c r="J273" s="590">
        <v>1043.44</v>
      </c>
      <c r="K273" s="590"/>
      <c r="L273" s="70">
        <v>2</v>
      </c>
      <c r="M273" s="590">
        <v>1043.44</v>
      </c>
      <c r="N273" s="6" t="s">
        <v>618</v>
      </c>
      <c r="O273" s="71">
        <v>45247</v>
      </c>
      <c r="P273" s="42" t="str">
        <f>HYPERLINK("https://my.zakupivli.pro/remote/dispatcher/state_purchase_view/46767750", "UA-2023-11-17-011056-a")</f>
        <v>UA-2023-11-17-011056-a</v>
      </c>
      <c r="Q273" s="81"/>
      <c r="R273" s="70">
        <v>2</v>
      </c>
      <c r="S273" s="81">
        <v>1043.44</v>
      </c>
      <c r="T273" s="71">
        <v>45264</v>
      </c>
      <c r="U273" s="70"/>
      <c r="V273" s="70"/>
    </row>
    <row r="274" spans="1:26" ht="62.4" x14ac:dyDescent="0.3">
      <c r="A274" s="75">
        <v>270</v>
      </c>
      <c r="B274" s="81" t="s">
        <v>40</v>
      </c>
      <c r="C274" s="44" t="s">
        <v>73</v>
      </c>
      <c r="D274" s="75"/>
      <c r="E274" s="81" t="s">
        <v>75</v>
      </c>
      <c r="F274" s="44" t="s">
        <v>619</v>
      </c>
      <c r="G274" s="81" t="s">
        <v>40</v>
      </c>
      <c r="H274" s="590">
        <v>107.092</v>
      </c>
      <c r="I274" s="70">
        <v>1</v>
      </c>
      <c r="J274" s="590">
        <v>107.092</v>
      </c>
      <c r="K274" s="590">
        <v>107.092</v>
      </c>
      <c r="L274" s="70">
        <v>1</v>
      </c>
      <c r="M274" s="590">
        <v>107.092</v>
      </c>
      <c r="N274" s="6" t="s">
        <v>620</v>
      </c>
      <c r="O274" s="71">
        <v>45258</v>
      </c>
      <c r="P274" s="33" t="str">
        <f>HYPERLINK("https://my.zakupivli.pro/remote/dispatcher/state_purchase_view/47062887", "UA-2023-11-28-012355-a")</f>
        <v>UA-2023-11-28-012355-a</v>
      </c>
      <c r="Q274" s="81">
        <v>107.092</v>
      </c>
      <c r="R274" s="70">
        <v>1</v>
      </c>
      <c r="S274" s="81">
        <v>107.092</v>
      </c>
      <c r="T274" s="82">
        <v>45258</v>
      </c>
      <c r="U274" s="70"/>
      <c r="V274" s="81" t="s">
        <v>59</v>
      </c>
    </row>
    <row r="275" spans="1:26" ht="62.4" x14ac:dyDescent="0.3">
      <c r="A275" s="75">
        <v>271</v>
      </c>
      <c r="B275" s="81" t="s">
        <v>40</v>
      </c>
      <c r="C275" s="44" t="s">
        <v>73</v>
      </c>
      <c r="D275" s="75"/>
      <c r="E275" s="81" t="s">
        <v>75</v>
      </c>
      <c r="F275" s="41" t="s">
        <v>621</v>
      </c>
      <c r="G275" s="81" t="s">
        <v>40</v>
      </c>
      <c r="H275" s="590">
        <v>106.68470000000001</v>
      </c>
      <c r="I275" s="81">
        <v>1</v>
      </c>
      <c r="J275" s="590">
        <v>106.68470000000001</v>
      </c>
      <c r="K275" s="590">
        <v>106.68470000000001</v>
      </c>
      <c r="L275" s="81">
        <v>1</v>
      </c>
      <c r="M275" s="590">
        <v>106.68470000000001</v>
      </c>
      <c r="N275" s="6" t="s">
        <v>622</v>
      </c>
      <c r="O275" s="82">
        <v>45258</v>
      </c>
      <c r="P275" s="42" t="str">
        <f>HYPERLINK("https://my.zakupivli.pro/remote/dispatcher/state_purchase_view/47064329", "UA-2023-11-28-012959-a")</f>
        <v>UA-2023-11-28-012959-a</v>
      </c>
      <c r="Q275" s="81">
        <v>106.68470000000001</v>
      </c>
      <c r="R275" s="81">
        <v>1</v>
      </c>
      <c r="S275" s="81">
        <v>106.68470000000001</v>
      </c>
      <c r="T275" s="82">
        <v>45258</v>
      </c>
      <c r="U275" s="70"/>
      <c r="V275" s="81" t="s">
        <v>59</v>
      </c>
    </row>
    <row r="276" spans="1:26" ht="62.4" x14ac:dyDescent="0.3">
      <c r="A276" s="78">
        <v>272</v>
      </c>
      <c r="B276" s="81" t="s">
        <v>40</v>
      </c>
      <c r="C276" s="44" t="s">
        <v>73</v>
      </c>
      <c r="D276" s="78"/>
      <c r="E276" s="81" t="s">
        <v>75</v>
      </c>
      <c r="F276" s="44" t="s">
        <v>623</v>
      </c>
      <c r="G276" s="81" t="s">
        <v>40</v>
      </c>
      <c r="H276" s="590">
        <v>127.37649999999999</v>
      </c>
      <c r="I276" s="81">
        <v>1</v>
      </c>
      <c r="J276" s="590">
        <v>127.37649999999999</v>
      </c>
      <c r="K276" s="590">
        <v>127.37649999999999</v>
      </c>
      <c r="L276" s="81">
        <v>1</v>
      </c>
      <c r="M276" s="590">
        <v>127.37649999999999</v>
      </c>
      <c r="N276" s="6" t="s">
        <v>624</v>
      </c>
      <c r="O276" s="82">
        <v>45258</v>
      </c>
      <c r="P276" s="33" t="str">
        <f>HYPERLINK("https://my.zakupivli.pro/remote/dispatcher/state_purchase_view/47068707", "UA-2023-11-28-014870-a")</f>
        <v>UA-2023-11-28-014870-a</v>
      </c>
      <c r="Q276" s="81">
        <v>127.37649999999999</v>
      </c>
      <c r="R276" s="81">
        <v>1</v>
      </c>
      <c r="S276" s="81">
        <v>127.37649999999999</v>
      </c>
      <c r="T276" s="82">
        <v>45258</v>
      </c>
      <c r="U276" s="78"/>
      <c r="V276" s="81" t="s">
        <v>59</v>
      </c>
    </row>
    <row r="277" spans="1:26" ht="140.4" x14ac:dyDescent="0.3">
      <c r="A277" s="78">
        <v>273</v>
      </c>
      <c r="B277" s="81" t="s">
        <v>40</v>
      </c>
      <c r="C277" s="520" t="s">
        <v>41</v>
      </c>
      <c r="D277" s="78"/>
      <c r="E277" s="446" t="s">
        <v>20</v>
      </c>
      <c r="F277" s="44" t="s">
        <v>625</v>
      </c>
      <c r="G277" s="81" t="s">
        <v>40</v>
      </c>
      <c r="H277" s="590">
        <v>2858.3333299999999</v>
      </c>
      <c r="I277" s="81">
        <v>1</v>
      </c>
      <c r="J277" s="590">
        <v>2858.3333299999999</v>
      </c>
      <c r="K277" s="590">
        <v>2858.3333299999999</v>
      </c>
      <c r="L277" s="81">
        <v>1</v>
      </c>
      <c r="M277" s="590">
        <v>2858.3333299999999</v>
      </c>
      <c r="N277" s="6" t="s">
        <v>626</v>
      </c>
      <c r="O277" s="79">
        <v>45259</v>
      </c>
      <c r="P277" s="42" t="str">
        <f>HYPERLINK("https://my.zakupivli.pro/remote/dispatcher/state_purchase_view/47090594", "UA-2023-11-29-007510-a")</f>
        <v>UA-2023-11-29-007510-a</v>
      </c>
      <c r="Q277" s="78">
        <v>2810.6666700000001</v>
      </c>
      <c r="R277" s="81">
        <v>1</v>
      </c>
      <c r="S277" s="89">
        <v>2810.6666700000001</v>
      </c>
      <c r="T277" s="79">
        <v>45281</v>
      </c>
      <c r="U277" s="78"/>
      <c r="V277" s="78"/>
    </row>
    <row r="278" spans="1:26" ht="62.4" x14ac:dyDescent="0.3">
      <c r="A278" s="78">
        <v>274</v>
      </c>
      <c r="B278" s="81" t="s">
        <v>40</v>
      </c>
      <c r="C278" s="44" t="s">
        <v>73</v>
      </c>
      <c r="D278" s="78"/>
      <c r="E278" s="84" t="s">
        <v>75</v>
      </c>
      <c r="F278" s="41" t="s">
        <v>627</v>
      </c>
      <c r="G278" s="84" t="s">
        <v>40</v>
      </c>
      <c r="H278" s="590">
        <v>185.92515</v>
      </c>
      <c r="I278" s="84">
        <v>1</v>
      </c>
      <c r="J278" s="590">
        <v>185.92515</v>
      </c>
      <c r="K278" s="590">
        <v>185.92515</v>
      </c>
      <c r="L278" s="84">
        <v>1</v>
      </c>
      <c r="M278" s="590">
        <v>185.92515</v>
      </c>
      <c r="N278" s="6" t="s">
        <v>629</v>
      </c>
      <c r="O278" s="79">
        <v>45261</v>
      </c>
      <c r="P278" s="33" t="str">
        <f>HYPERLINK("https://my.zakupivli.pro/remote/dispatcher/state_purchase_view/47164745", "UA-2023-12-01-004762-a")</f>
        <v>UA-2023-12-01-004762-a</v>
      </c>
      <c r="Q278" s="84">
        <v>185.92515</v>
      </c>
      <c r="R278" s="84">
        <v>1</v>
      </c>
      <c r="S278" s="84">
        <v>185.92515</v>
      </c>
      <c r="T278" s="85">
        <v>45261</v>
      </c>
      <c r="U278" s="78"/>
      <c r="V278" s="84" t="s">
        <v>59</v>
      </c>
    </row>
    <row r="279" spans="1:26" ht="62.4" x14ac:dyDescent="0.3">
      <c r="A279" s="78">
        <v>275</v>
      </c>
      <c r="B279" s="81" t="s">
        <v>40</v>
      </c>
      <c r="C279" s="44" t="s">
        <v>73</v>
      </c>
      <c r="D279" s="78"/>
      <c r="E279" s="84" t="s">
        <v>75</v>
      </c>
      <c r="F279" s="44" t="s">
        <v>628</v>
      </c>
      <c r="G279" s="84" t="s">
        <v>40</v>
      </c>
      <c r="H279" s="590">
        <v>185.92515</v>
      </c>
      <c r="I279" s="84">
        <v>1</v>
      </c>
      <c r="J279" s="590">
        <v>185.92515</v>
      </c>
      <c r="K279" s="590">
        <v>185.92515</v>
      </c>
      <c r="L279" s="84">
        <v>1</v>
      </c>
      <c r="M279" s="590">
        <v>185.92515</v>
      </c>
      <c r="N279" s="6" t="s">
        <v>630</v>
      </c>
      <c r="O279" s="85">
        <v>45261</v>
      </c>
      <c r="P279" s="42" t="str">
        <f>HYPERLINK("https://my.zakupivli.pro/remote/dispatcher/state_purchase_view/47166044", "UA-2023-12-01-005369-a")</f>
        <v>UA-2023-12-01-005369-a</v>
      </c>
      <c r="Q279" s="84">
        <v>185.92515</v>
      </c>
      <c r="R279" s="84">
        <v>1</v>
      </c>
      <c r="S279" s="84">
        <v>185.92515</v>
      </c>
      <c r="T279" s="85">
        <v>45261</v>
      </c>
      <c r="U279" s="78"/>
      <c r="V279" s="84" t="s">
        <v>59</v>
      </c>
    </row>
    <row r="280" spans="1:26" ht="62.4" x14ac:dyDescent="0.3">
      <c r="A280" s="78">
        <v>276</v>
      </c>
      <c r="B280" s="84" t="s">
        <v>40</v>
      </c>
      <c r="C280" s="520" t="s">
        <v>41</v>
      </c>
      <c r="D280" s="84"/>
      <c r="E280" s="446" t="s">
        <v>20</v>
      </c>
      <c r="F280" s="41" t="s">
        <v>631</v>
      </c>
      <c r="G280" s="84" t="s">
        <v>40</v>
      </c>
      <c r="H280" s="590">
        <v>841.10127</v>
      </c>
      <c r="I280" s="84">
        <v>1</v>
      </c>
      <c r="J280" s="590">
        <v>841.10127</v>
      </c>
      <c r="K280" s="590">
        <v>841.10127</v>
      </c>
      <c r="L280" s="84">
        <v>1</v>
      </c>
      <c r="M280" s="590">
        <v>841.10127</v>
      </c>
      <c r="N280" s="6" t="s">
        <v>632</v>
      </c>
      <c r="O280" s="79">
        <v>45266</v>
      </c>
      <c r="P280" s="33" t="str">
        <f>HYPERLINK("https://my.zakupivli.pro/remote/dispatcher/state_purchase_view/47305506", "UA-2023-12-06-005005-a")</f>
        <v>UA-2023-12-06-005005-a</v>
      </c>
      <c r="Q280" s="84">
        <v>841.10127</v>
      </c>
      <c r="R280" s="84">
        <v>1</v>
      </c>
      <c r="S280" s="84">
        <v>841.10127</v>
      </c>
      <c r="T280" s="85">
        <v>45266</v>
      </c>
      <c r="U280" s="78"/>
      <c r="V280" s="84" t="s">
        <v>59</v>
      </c>
    </row>
    <row r="281" spans="1:26" ht="62.4" x14ac:dyDescent="0.3">
      <c r="A281" s="78">
        <v>278</v>
      </c>
      <c r="B281" s="84" t="s">
        <v>40</v>
      </c>
      <c r="C281" s="44" t="s">
        <v>73</v>
      </c>
      <c r="D281" s="78"/>
      <c r="E281" s="84" t="s">
        <v>75</v>
      </c>
      <c r="F281" s="44" t="s">
        <v>633</v>
      </c>
      <c r="G281" s="84" t="s">
        <v>40</v>
      </c>
      <c r="H281" s="590">
        <v>94.9756</v>
      </c>
      <c r="I281" s="84">
        <v>1</v>
      </c>
      <c r="J281" s="590">
        <v>94.9756</v>
      </c>
      <c r="K281" s="590">
        <v>94.9756</v>
      </c>
      <c r="L281" s="84">
        <v>1</v>
      </c>
      <c r="M281" s="590">
        <v>94.9756</v>
      </c>
      <c r="N281" s="6" t="s">
        <v>634</v>
      </c>
      <c r="O281" s="79">
        <v>45266</v>
      </c>
      <c r="P281" s="33" t="str">
        <f>HYPERLINK("https://my.zakupivli.pro/remote/dispatcher/state_purchase_view/47307414", "UA-2023-12-06-005920-a")</f>
        <v>UA-2023-12-06-005920-a</v>
      </c>
      <c r="Q281" s="84">
        <v>94.9756</v>
      </c>
      <c r="R281" s="84">
        <v>1</v>
      </c>
      <c r="S281" s="84">
        <v>94.9756</v>
      </c>
      <c r="T281" s="79">
        <v>45265</v>
      </c>
      <c r="U281" s="78"/>
      <c r="V281" s="84" t="s">
        <v>59</v>
      </c>
    </row>
    <row r="282" spans="1:26" ht="62.4" x14ac:dyDescent="0.3">
      <c r="A282" s="78">
        <v>279</v>
      </c>
      <c r="B282" s="84" t="s">
        <v>40</v>
      </c>
      <c r="C282" s="44" t="s">
        <v>73</v>
      </c>
      <c r="D282" s="78"/>
      <c r="E282" s="84" t="s">
        <v>75</v>
      </c>
      <c r="F282" s="41" t="s">
        <v>635</v>
      </c>
      <c r="G282" s="84" t="s">
        <v>40</v>
      </c>
      <c r="H282" s="590">
        <v>97.569460000000007</v>
      </c>
      <c r="I282" s="84">
        <v>1</v>
      </c>
      <c r="J282" s="590">
        <v>97.569460000000007</v>
      </c>
      <c r="K282" s="590">
        <v>97.569460000000007</v>
      </c>
      <c r="L282" s="84">
        <v>1</v>
      </c>
      <c r="M282" s="590">
        <v>97.569460000000007</v>
      </c>
      <c r="N282" s="6" t="s">
        <v>636</v>
      </c>
      <c r="O282" s="85">
        <v>45266</v>
      </c>
      <c r="P282" s="42" t="str">
        <f>HYPERLINK("https://my.zakupivli.pro/remote/dispatcher/state_purchase_view/47317977", "UA-2023-12-06-010301-a")</f>
        <v>UA-2023-12-06-010301-a</v>
      </c>
      <c r="Q282" s="84">
        <v>97.569460000000007</v>
      </c>
      <c r="R282" s="84">
        <v>1</v>
      </c>
      <c r="S282" s="84">
        <v>97.569460000000007</v>
      </c>
      <c r="T282" s="85">
        <v>45266</v>
      </c>
      <c r="U282" s="78"/>
      <c r="V282" s="84" t="s">
        <v>59</v>
      </c>
      <c r="W282" s="11"/>
      <c r="X282" s="11"/>
      <c r="Y282" s="11"/>
      <c r="Z282" s="11"/>
    </row>
    <row r="283" spans="1:26" ht="62.4" x14ac:dyDescent="0.3">
      <c r="A283" s="78">
        <v>280</v>
      </c>
      <c r="B283" s="84" t="s">
        <v>40</v>
      </c>
      <c r="C283" s="44" t="s">
        <v>73</v>
      </c>
      <c r="D283" s="78"/>
      <c r="E283" s="84" t="s">
        <v>75</v>
      </c>
      <c r="F283" s="44" t="s">
        <v>637</v>
      </c>
      <c r="G283" s="84" t="s">
        <v>40</v>
      </c>
      <c r="H283" s="590">
        <v>94.625129999999999</v>
      </c>
      <c r="I283" s="84">
        <v>1</v>
      </c>
      <c r="J283" s="590">
        <v>94.625129999999999</v>
      </c>
      <c r="K283" s="590">
        <v>94.625129999999999</v>
      </c>
      <c r="L283" s="84">
        <v>1</v>
      </c>
      <c r="M283" s="590">
        <v>94.625129999999999</v>
      </c>
      <c r="N283" s="6" t="s">
        <v>638</v>
      </c>
      <c r="O283" s="85">
        <v>45267</v>
      </c>
      <c r="P283" s="33" t="str">
        <f>HYPERLINK("https://my.zakupivli.pro/remote/dispatcher/state_purchase_view/47342805", "UA-2023-12-07-000379-a")</f>
        <v>UA-2023-12-07-000379-a</v>
      </c>
      <c r="Q283" s="84">
        <v>94.625129999999999</v>
      </c>
      <c r="R283" s="84">
        <v>1</v>
      </c>
      <c r="S283" s="84">
        <v>94.625129999999999</v>
      </c>
      <c r="T283" s="85">
        <v>45265</v>
      </c>
      <c r="U283" s="78"/>
      <c r="V283" s="84" t="s">
        <v>59</v>
      </c>
    </row>
    <row r="284" spans="1:26" ht="62.4" x14ac:dyDescent="0.3">
      <c r="A284" s="84">
        <v>281</v>
      </c>
      <c r="B284" s="84" t="s">
        <v>40</v>
      </c>
      <c r="C284" s="44" t="s">
        <v>73</v>
      </c>
      <c r="D284" s="78"/>
      <c r="E284" s="84" t="s">
        <v>75</v>
      </c>
      <c r="F284" s="41" t="s">
        <v>639</v>
      </c>
      <c r="G284" s="84" t="s">
        <v>40</v>
      </c>
      <c r="H284" s="590">
        <v>99.620450000000005</v>
      </c>
      <c r="I284" s="84">
        <v>1</v>
      </c>
      <c r="J284" s="590">
        <v>99.620450000000005</v>
      </c>
      <c r="K284" s="590">
        <v>99.620450000000005</v>
      </c>
      <c r="L284" s="84">
        <v>1</v>
      </c>
      <c r="M284" s="590">
        <v>99.620450000000005</v>
      </c>
      <c r="N284" s="6" t="s">
        <v>640</v>
      </c>
      <c r="O284" s="85">
        <v>45267</v>
      </c>
      <c r="P284" s="33" t="str">
        <f>HYPERLINK("https://my.zakupivli.pro/remote/dispatcher/state_purchase_view/47358944", "UA-2023-12-07-007786-a")</f>
        <v>UA-2023-12-07-007786-a</v>
      </c>
      <c r="Q284" s="84">
        <v>99.620450000000005</v>
      </c>
      <c r="R284" s="84">
        <v>1</v>
      </c>
      <c r="S284" s="84">
        <v>99.620450000000005</v>
      </c>
      <c r="T284" s="85">
        <v>45267</v>
      </c>
      <c r="U284" s="78"/>
      <c r="V284" s="84" t="s">
        <v>59</v>
      </c>
    </row>
    <row r="285" spans="1:26" ht="62.4" x14ac:dyDescent="0.3">
      <c r="A285" s="84">
        <v>282</v>
      </c>
      <c r="B285" s="84" t="s">
        <v>40</v>
      </c>
      <c r="C285" s="44" t="s">
        <v>73</v>
      </c>
      <c r="D285" s="78"/>
      <c r="E285" s="84" t="s">
        <v>75</v>
      </c>
      <c r="F285" s="44" t="s">
        <v>641</v>
      </c>
      <c r="G285" s="84" t="s">
        <v>40</v>
      </c>
      <c r="H285" s="590">
        <v>60</v>
      </c>
      <c r="I285" s="84">
        <v>1</v>
      </c>
      <c r="J285" s="590">
        <v>60</v>
      </c>
      <c r="K285" s="590">
        <v>60</v>
      </c>
      <c r="L285" s="84">
        <v>1</v>
      </c>
      <c r="M285" s="590">
        <v>60</v>
      </c>
      <c r="N285" s="6" t="s">
        <v>642</v>
      </c>
      <c r="O285" s="79">
        <v>45271</v>
      </c>
      <c r="P285" s="42" t="str">
        <f>HYPERLINK("https://my.zakupivli.pro/remote/dispatcher/state_purchase_view/47491667", "UA-2023-12-11-019550-a")</f>
        <v>UA-2023-12-11-019550-a</v>
      </c>
      <c r="Q285" s="87">
        <v>60</v>
      </c>
      <c r="R285" s="84">
        <v>1</v>
      </c>
      <c r="S285" s="87">
        <v>60</v>
      </c>
      <c r="T285" s="79">
        <v>45271</v>
      </c>
      <c r="U285" s="78"/>
      <c r="V285" s="84" t="s">
        <v>59</v>
      </c>
    </row>
    <row r="286" spans="1:26" ht="109.2" x14ac:dyDescent="0.3">
      <c r="A286" s="84">
        <v>283</v>
      </c>
      <c r="B286" s="86" t="s">
        <v>40</v>
      </c>
      <c r="C286" s="41" t="s">
        <v>41</v>
      </c>
      <c r="D286" s="78"/>
      <c r="E286" s="86" t="s">
        <v>88</v>
      </c>
      <c r="F286" s="41" t="s">
        <v>643</v>
      </c>
      <c r="G286" s="86" t="s">
        <v>40</v>
      </c>
      <c r="H286" s="590">
        <v>46627.971120000002</v>
      </c>
      <c r="I286" s="86">
        <v>1</v>
      </c>
      <c r="J286" s="590">
        <v>46627.971120000002</v>
      </c>
      <c r="K286" s="590">
        <v>46627.971120000002</v>
      </c>
      <c r="L286" s="86">
        <v>1</v>
      </c>
      <c r="M286" s="590">
        <v>46627.971120000002</v>
      </c>
      <c r="N286" s="6" t="s">
        <v>644</v>
      </c>
      <c r="O286" s="79">
        <v>45281</v>
      </c>
      <c r="P286" s="33" t="str">
        <f>HYPERLINK("https://my.zakupivli.pro/remote/dispatcher/state_purchase_view/47910696", "UA-2023-12-21-014486-a")</f>
        <v>UA-2023-12-21-014486-a</v>
      </c>
      <c r="Q286" s="78"/>
      <c r="R286" s="86"/>
      <c r="S286" s="78"/>
      <c r="T286" s="79"/>
      <c r="U286" s="89" t="s">
        <v>93</v>
      </c>
      <c r="V286" s="78"/>
    </row>
    <row r="287" spans="1:26" ht="156" x14ac:dyDescent="0.3">
      <c r="A287" s="78">
        <v>284</v>
      </c>
      <c r="B287" s="86" t="s">
        <v>21</v>
      </c>
      <c r="C287" s="44" t="s">
        <v>173</v>
      </c>
      <c r="D287" s="90" t="s">
        <v>58</v>
      </c>
      <c r="E287" s="86" t="s">
        <v>88</v>
      </c>
      <c r="F287" s="44" t="s">
        <v>645</v>
      </c>
      <c r="G287" s="86" t="s">
        <v>21</v>
      </c>
      <c r="H287" s="590">
        <v>1380</v>
      </c>
      <c r="I287" s="78">
        <v>12</v>
      </c>
      <c r="J287" s="590"/>
      <c r="K287" s="590"/>
      <c r="L287" s="78">
        <v>12</v>
      </c>
      <c r="M287" s="590"/>
      <c r="N287" s="6" t="s">
        <v>647</v>
      </c>
      <c r="O287" s="79">
        <v>45274</v>
      </c>
      <c r="P287" s="33" t="str">
        <f>HYPERLINK("https://my.zakupivli.pro/remote/dispatcher/state_purchase_view/47633281", "UA-2023-12-14-013003-a")</f>
        <v>UA-2023-12-14-013003-a</v>
      </c>
      <c r="Q287" s="78"/>
      <c r="R287" s="78"/>
      <c r="S287" s="78"/>
      <c r="T287" s="79"/>
      <c r="U287" s="89" t="s">
        <v>648</v>
      </c>
      <c r="V287" s="78"/>
    </row>
    <row r="288" spans="1:26" ht="156" x14ac:dyDescent="0.3">
      <c r="A288" s="78">
        <v>285</v>
      </c>
      <c r="B288" s="86" t="s">
        <v>21</v>
      </c>
      <c r="C288" s="44" t="s">
        <v>173</v>
      </c>
      <c r="D288" s="90" t="s">
        <v>58</v>
      </c>
      <c r="E288" s="86" t="s">
        <v>88</v>
      </c>
      <c r="F288" s="44" t="s">
        <v>646</v>
      </c>
      <c r="G288" s="86" t="s">
        <v>21</v>
      </c>
      <c r="H288" s="590">
        <v>900</v>
      </c>
      <c r="I288" s="78">
        <v>6</v>
      </c>
      <c r="J288" s="590"/>
      <c r="K288" s="590"/>
      <c r="L288" s="78"/>
      <c r="M288" s="590"/>
      <c r="N288" s="6" t="s">
        <v>647</v>
      </c>
      <c r="O288" s="79">
        <v>45274</v>
      </c>
      <c r="P288" s="33" t="str">
        <f>HYPERLINK("https://my.zakupivli.pro/remote/dispatcher/state_purchase_view/47633281", "UA-2023-12-14-013003-a")</f>
        <v>UA-2023-12-14-013003-a</v>
      </c>
      <c r="Q288" s="78"/>
      <c r="R288" s="78"/>
      <c r="S288" s="78"/>
      <c r="T288" s="79"/>
      <c r="U288" s="89" t="s">
        <v>648</v>
      </c>
      <c r="V288" s="78"/>
    </row>
    <row r="289" spans="1:22" ht="62.4" x14ac:dyDescent="0.3">
      <c r="A289" s="78">
        <v>286</v>
      </c>
      <c r="B289" s="89" t="s">
        <v>40</v>
      </c>
      <c r="C289" s="41" t="s">
        <v>73</v>
      </c>
      <c r="D289" s="78"/>
      <c r="E289" s="89" t="s">
        <v>75</v>
      </c>
      <c r="F289" s="41" t="s">
        <v>649</v>
      </c>
      <c r="G289" s="89" t="s">
        <v>40</v>
      </c>
      <c r="H289" s="590">
        <v>900.26514999999995</v>
      </c>
      <c r="I289" s="78">
        <v>1</v>
      </c>
      <c r="J289" s="590">
        <v>900.26514999999995</v>
      </c>
      <c r="K289" s="590">
        <v>900.26514999999995</v>
      </c>
      <c r="L289" s="89">
        <v>1</v>
      </c>
      <c r="M289" s="590">
        <v>900.26514999999995</v>
      </c>
      <c r="N289" s="6" t="s">
        <v>650</v>
      </c>
      <c r="O289" s="79">
        <v>45288</v>
      </c>
      <c r="P289" s="42" t="str">
        <f>HYPERLINK("https://my.zakupivli.pro/remote/dispatcher/state_purchase_view/48101499", "UA-2023-12-28-006964-a")</f>
        <v>UA-2023-12-28-006964-a</v>
      </c>
      <c r="Q289" s="89">
        <v>900.26514999999995</v>
      </c>
      <c r="R289" s="89">
        <v>1</v>
      </c>
      <c r="S289" s="89">
        <v>900.26514999999995</v>
      </c>
      <c r="T289" s="79">
        <v>45288</v>
      </c>
      <c r="U289" s="78"/>
      <c r="V289" s="89" t="s">
        <v>59</v>
      </c>
    </row>
    <row r="290" spans="1:22" ht="62.4" x14ac:dyDescent="0.3">
      <c r="A290" s="78">
        <v>287</v>
      </c>
      <c r="B290" s="89" t="s">
        <v>40</v>
      </c>
      <c r="C290" s="44" t="s">
        <v>73</v>
      </c>
      <c r="D290" s="78"/>
      <c r="E290" s="89" t="s">
        <v>75</v>
      </c>
      <c r="F290" s="44" t="s">
        <v>651</v>
      </c>
      <c r="G290" s="89" t="s">
        <v>40</v>
      </c>
      <c r="H290" s="590">
        <v>890.76089999999999</v>
      </c>
      <c r="I290" s="89">
        <v>1</v>
      </c>
      <c r="J290" s="590">
        <v>890.76089999999999</v>
      </c>
      <c r="K290" s="590">
        <v>890.76089999999999</v>
      </c>
      <c r="L290" s="89">
        <v>1</v>
      </c>
      <c r="M290" s="590">
        <v>890.76089999999999</v>
      </c>
      <c r="N290" s="6" t="s">
        <v>652</v>
      </c>
      <c r="O290" s="88">
        <v>45288</v>
      </c>
      <c r="P290" s="33" t="str">
        <f>HYPERLINK("https://my.zakupivli.pro/remote/dispatcher/state_purchase_view/48103321", "UA-2023-12-28-007824-a")</f>
        <v>UA-2023-12-28-007824-a</v>
      </c>
      <c r="Q290" s="89">
        <v>890.76089999999999</v>
      </c>
      <c r="R290" s="89">
        <v>1</v>
      </c>
      <c r="S290" s="89">
        <v>890.76089999999999</v>
      </c>
      <c r="T290" s="88">
        <v>45288</v>
      </c>
      <c r="U290" s="78"/>
      <c r="V290" s="89" t="s">
        <v>59</v>
      </c>
    </row>
    <row r="291" spans="1:22" ht="62.4" x14ac:dyDescent="0.3">
      <c r="A291" s="78">
        <v>288</v>
      </c>
      <c r="B291" s="89" t="s">
        <v>40</v>
      </c>
      <c r="C291" s="44" t="s">
        <v>517</v>
      </c>
      <c r="D291" s="78"/>
      <c r="E291" s="89" t="s">
        <v>88</v>
      </c>
      <c r="F291" s="44" t="s">
        <v>653</v>
      </c>
      <c r="G291" s="89" t="s">
        <v>40</v>
      </c>
      <c r="H291" s="590">
        <v>102.10921999999999</v>
      </c>
      <c r="I291" s="89">
        <v>1</v>
      </c>
      <c r="J291" s="590">
        <v>102.10921999999999</v>
      </c>
      <c r="K291" s="590">
        <v>102.10921999999999</v>
      </c>
      <c r="L291" s="89">
        <v>1</v>
      </c>
      <c r="M291" s="590">
        <v>102.10921999999999</v>
      </c>
      <c r="N291" s="6" t="s">
        <v>655</v>
      </c>
      <c r="O291" s="88">
        <v>45288</v>
      </c>
      <c r="P291" s="33" t="str">
        <f>HYPERLINK("https://my.zakupivli.pro/remote/dispatcher/state_purchase_view/48105790", "UA-2023-12-28-009035-a")</f>
        <v>UA-2023-12-28-009035-a</v>
      </c>
      <c r="Q291" s="89">
        <v>102.10921999999999</v>
      </c>
      <c r="R291" s="89">
        <v>1</v>
      </c>
      <c r="S291" s="89">
        <v>102.10921999999999</v>
      </c>
      <c r="T291" s="88">
        <v>45288</v>
      </c>
      <c r="U291" s="78"/>
      <c r="V291" s="89" t="s">
        <v>59</v>
      </c>
    </row>
    <row r="292" spans="1:22" ht="62.4" x14ac:dyDescent="0.3">
      <c r="A292" s="89">
        <v>289</v>
      </c>
      <c r="B292" s="89" t="s">
        <v>40</v>
      </c>
      <c r="C292" s="44" t="s">
        <v>517</v>
      </c>
      <c r="D292" s="89"/>
      <c r="E292" s="89" t="s">
        <v>88</v>
      </c>
      <c r="F292" s="44" t="s">
        <v>654</v>
      </c>
      <c r="G292" s="89" t="s">
        <v>40</v>
      </c>
      <c r="H292" s="590">
        <v>140.8725</v>
      </c>
      <c r="I292" s="89">
        <v>1</v>
      </c>
      <c r="J292" s="590">
        <v>140.8725</v>
      </c>
      <c r="K292" s="590">
        <v>140.8725</v>
      </c>
      <c r="L292" s="89">
        <v>1</v>
      </c>
      <c r="M292" s="590">
        <v>140.8725</v>
      </c>
      <c r="N292" s="6" t="s">
        <v>656</v>
      </c>
      <c r="O292" s="88">
        <v>45288</v>
      </c>
      <c r="P292" s="33" t="str">
        <f>HYPERLINK("https://my.zakupivli.pro/remote/dispatcher/state_purchase_view/48105477", "UA-2023-12-28-008817-a")</f>
        <v>UA-2023-12-28-008817-a</v>
      </c>
      <c r="Q292" s="89">
        <v>140.8725</v>
      </c>
      <c r="R292" s="89">
        <v>1</v>
      </c>
      <c r="S292" s="89">
        <v>140.8725</v>
      </c>
      <c r="T292" s="88">
        <v>45288</v>
      </c>
      <c r="U292" s="89"/>
      <c r="V292" s="89" t="s">
        <v>59</v>
      </c>
    </row>
    <row r="293" spans="1:22" ht="62.4" x14ac:dyDescent="0.3">
      <c r="A293" s="89">
        <v>290</v>
      </c>
      <c r="B293" s="89" t="s">
        <v>40</v>
      </c>
      <c r="C293" s="44" t="s">
        <v>517</v>
      </c>
      <c r="D293" s="89"/>
      <c r="E293" s="89" t="s">
        <v>88</v>
      </c>
      <c r="F293" s="41" t="s">
        <v>657</v>
      </c>
      <c r="G293" s="89" t="s">
        <v>40</v>
      </c>
      <c r="H293" s="590">
        <v>112.61726</v>
      </c>
      <c r="I293" s="89">
        <v>1</v>
      </c>
      <c r="J293" s="590">
        <v>112.61726</v>
      </c>
      <c r="K293" s="590">
        <v>112.61726</v>
      </c>
      <c r="L293" s="89">
        <v>1</v>
      </c>
      <c r="M293" s="590">
        <v>112.61726</v>
      </c>
      <c r="N293" s="6" t="s">
        <v>658</v>
      </c>
      <c r="O293" s="88">
        <v>45288</v>
      </c>
      <c r="P293" s="42" t="str">
        <f>HYPERLINK("https://my.zakupivli.pro/remote/dispatcher/state_purchase_view/48106223", "UA-2023-12-28-009172-a")</f>
        <v>UA-2023-12-28-009172-a</v>
      </c>
      <c r="Q293" s="89">
        <v>112.61726</v>
      </c>
      <c r="R293" s="89">
        <v>1</v>
      </c>
      <c r="S293" s="89">
        <v>112.61726</v>
      </c>
      <c r="T293" s="88">
        <v>45288</v>
      </c>
      <c r="U293" s="89"/>
      <c r="V293" s="89" t="s">
        <v>59</v>
      </c>
    </row>
    <row r="294" spans="1:22" ht="78" x14ac:dyDescent="0.3">
      <c r="A294" s="89">
        <v>291</v>
      </c>
      <c r="B294" s="89" t="s">
        <v>40</v>
      </c>
      <c r="C294" s="44" t="s">
        <v>517</v>
      </c>
      <c r="D294" s="89"/>
      <c r="E294" s="89" t="s">
        <v>88</v>
      </c>
      <c r="F294" s="44" t="s">
        <v>659</v>
      </c>
      <c r="G294" s="89" t="s">
        <v>40</v>
      </c>
      <c r="H294" s="590">
        <v>60.283799999999999</v>
      </c>
      <c r="I294" s="89">
        <v>1</v>
      </c>
      <c r="J294" s="590">
        <v>60.283799999999999</v>
      </c>
      <c r="K294" s="590">
        <v>60.283799999999999</v>
      </c>
      <c r="L294" s="89">
        <v>1</v>
      </c>
      <c r="M294" s="590">
        <v>60.283799999999999</v>
      </c>
      <c r="N294" s="6" t="s">
        <v>660</v>
      </c>
      <c r="O294" s="88">
        <v>45288</v>
      </c>
      <c r="P294" s="33" t="str">
        <f>HYPERLINK("https://my.zakupivli.pro/remote/dispatcher/state_purchase_view/48106340", "UA-2023-12-28-009254-a")</f>
        <v>UA-2023-12-28-009254-a</v>
      </c>
      <c r="Q294" s="89">
        <v>60.283799999999999</v>
      </c>
      <c r="R294" s="89">
        <v>1</v>
      </c>
      <c r="S294" s="89">
        <v>60.283799999999999</v>
      </c>
      <c r="T294" s="88">
        <v>45288</v>
      </c>
      <c r="U294" s="89"/>
      <c r="V294" s="89" t="s">
        <v>59</v>
      </c>
    </row>
    <row r="295" spans="1:22" ht="62.4" x14ac:dyDescent="0.3">
      <c r="A295" s="89">
        <v>292</v>
      </c>
      <c r="B295" s="89" t="s">
        <v>40</v>
      </c>
      <c r="C295" s="44" t="s">
        <v>517</v>
      </c>
      <c r="D295" s="89"/>
      <c r="E295" s="89" t="s">
        <v>88</v>
      </c>
      <c r="F295" s="41" t="s">
        <v>661</v>
      </c>
      <c r="G295" s="89" t="s">
        <v>40</v>
      </c>
      <c r="H295" s="590">
        <v>80.88937</v>
      </c>
      <c r="I295" s="89">
        <v>1</v>
      </c>
      <c r="J295" s="590">
        <v>80.88937</v>
      </c>
      <c r="K295" s="590">
        <v>80.88937</v>
      </c>
      <c r="L295" s="89">
        <v>1</v>
      </c>
      <c r="M295" s="590">
        <v>80.88937</v>
      </c>
      <c r="N295" s="6" t="s">
        <v>662</v>
      </c>
      <c r="O295" s="88">
        <v>45288</v>
      </c>
      <c r="P295" s="42" t="str">
        <f>HYPERLINK("https://my.zakupivli.pro/remote/dispatcher/state_purchase_view/48106581", "UA-2023-12-28-009421-a")</f>
        <v>UA-2023-12-28-009421-a</v>
      </c>
      <c r="Q295" s="89">
        <v>80.88937</v>
      </c>
      <c r="R295" s="89">
        <v>1</v>
      </c>
      <c r="S295" s="89">
        <v>80.88937</v>
      </c>
      <c r="T295" s="88">
        <v>45288</v>
      </c>
      <c r="U295" s="89"/>
      <c r="V295" s="89" t="s">
        <v>59</v>
      </c>
    </row>
    <row r="296" spans="1:22" ht="62.4" x14ac:dyDescent="0.3">
      <c r="A296" s="89">
        <v>293</v>
      </c>
      <c r="B296" s="89" t="s">
        <v>40</v>
      </c>
      <c r="C296" s="44" t="s">
        <v>73</v>
      </c>
      <c r="D296" s="89"/>
      <c r="E296" s="89" t="s">
        <v>75</v>
      </c>
      <c r="F296" s="44" t="s">
        <v>663</v>
      </c>
      <c r="G296" s="89" t="s">
        <v>40</v>
      </c>
      <c r="H296" s="590">
        <v>60.466990000000003</v>
      </c>
      <c r="I296" s="89">
        <v>1</v>
      </c>
      <c r="J296" s="590">
        <v>60.466990000000003</v>
      </c>
      <c r="K296" s="590">
        <v>60.466990000000003</v>
      </c>
      <c r="L296" s="89">
        <v>1</v>
      </c>
      <c r="M296" s="590">
        <v>60.466990000000003</v>
      </c>
      <c r="N296" s="6" t="s">
        <v>665</v>
      </c>
      <c r="O296" s="88">
        <v>45288</v>
      </c>
      <c r="P296" s="33" t="str">
        <f>HYPERLINK("https://my.zakupivli.pro/remote/dispatcher/state_purchase_view/48111319", "UA-2023-12-29-000127-a")</f>
        <v>UA-2023-12-29-000127-a</v>
      </c>
      <c r="Q296" s="89">
        <v>60.466990000000003</v>
      </c>
      <c r="R296" s="89">
        <v>1</v>
      </c>
      <c r="S296" s="89">
        <v>60.466990000000003</v>
      </c>
      <c r="T296" s="88">
        <v>45288</v>
      </c>
      <c r="U296" s="89"/>
      <c r="V296" s="89" t="s">
        <v>59</v>
      </c>
    </row>
    <row r="297" spans="1:22" ht="62.4" x14ac:dyDescent="0.3">
      <c r="A297" s="89">
        <v>294</v>
      </c>
      <c r="B297" s="89" t="s">
        <v>40</v>
      </c>
      <c r="C297" s="44" t="s">
        <v>73</v>
      </c>
      <c r="D297" s="89"/>
      <c r="E297" s="89" t="s">
        <v>75</v>
      </c>
      <c r="F297" s="44" t="s">
        <v>664</v>
      </c>
      <c r="G297" s="89" t="s">
        <v>40</v>
      </c>
      <c r="H297" s="590">
        <v>102.71108</v>
      </c>
      <c r="I297" s="89">
        <v>1</v>
      </c>
      <c r="J297" s="590">
        <v>102.71108</v>
      </c>
      <c r="K297" s="590">
        <v>102.71108</v>
      </c>
      <c r="L297" s="89">
        <v>1</v>
      </c>
      <c r="M297" s="590">
        <v>102.71108</v>
      </c>
      <c r="N297" s="6" t="s">
        <v>666</v>
      </c>
      <c r="O297" s="88">
        <v>45288</v>
      </c>
      <c r="P297" s="33" t="str">
        <f>HYPERLINK("https://my.zakupivli.pro/remote/dispatcher/state_purchase_view/48111316", "UA-2023-12-29-000125-a")</f>
        <v>UA-2023-12-29-000125-a</v>
      </c>
      <c r="Q297" s="89">
        <v>102.71108</v>
      </c>
      <c r="R297" s="89">
        <v>1</v>
      </c>
      <c r="S297" s="89">
        <v>102.71108</v>
      </c>
      <c r="T297" s="88">
        <v>45288</v>
      </c>
      <c r="U297" s="89"/>
      <c r="V297" s="89" t="s">
        <v>59</v>
      </c>
    </row>
    <row r="298" spans="1:22" ht="62.4" x14ac:dyDescent="0.3">
      <c r="A298" s="89">
        <v>295</v>
      </c>
      <c r="B298" s="89" t="s">
        <v>40</v>
      </c>
      <c r="C298" s="44" t="s">
        <v>73</v>
      </c>
      <c r="D298" s="89"/>
      <c r="E298" s="89" t="s">
        <v>75</v>
      </c>
      <c r="F298" s="44" t="s">
        <v>667</v>
      </c>
      <c r="G298" s="89" t="s">
        <v>40</v>
      </c>
      <c r="H298" s="590">
        <v>102.81056</v>
      </c>
      <c r="I298" s="89">
        <v>1</v>
      </c>
      <c r="J298" s="590">
        <v>102.81056</v>
      </c>
      <c r="K298" s="590">
        <v>102.81056</v>
      </c>
      <c r="L298" s="89">
        <v>1</v>
      </c>
      <c r="M298" s="590">
        <v>102.81056</v>
      </c>
      <c r="N298" s="6" t="s">
        <v>670</v>
      </c>
      <c r="O298" s="88">
        <v>45288</v>
      </c>
      <c r="P298" s="33" t="str">
        <f>HYPERLINK("https://my.zakupivli.pro/remote/dispatcher/state_purchase_view/48114851", "UA-2023-12-29-001754-a")</f>
        <v>UA-2023-12-29-001754-a</v>
      </c>
      <c r="Q298" s="89">
        <v>102.81056</v>
      </c>
      <c r="R298" s="89">
        <v>1</v>
      </c>
      <c r="S298" s="89">
        <v>102.81056</v>
      </c>
      <c r="T298" s="88">
        <v>45288</v>
      </c>
      <c r="U298" s="89"/>
      <c r="V298" s="89" t="s">
        <v>59</v>
      </c>
    </row>
    <row r="299" spans="1:22" ht="62.4" x14ac:dyDescent="0.3">
      <c r="A299" s="89">
        <v>296</v>
      </c>
      <c r="B299" s="89" t="s">
        <v>40</v>
      </c>
      <c r="C299" s="44" t="s">
        <v>73</v>
      </c>
      <c r="D299" s="89"/>
      <c r="E299" s="89" t="s">
        <v>75</v>
      </c>
      <c r="F299" s="44" t="s">
        <v>668</v>
      </c>
      <c r="G299" s="89" t="s">
        <v>40</v>
      </c>
      <c r="H299" s="590">
        <v>93.603560000000002</v>
      </c>
      <c r="I299" s="89">
        <v>1</v>
      </c>
      <c r="J299" s="590">
        <v>93.603560000000002</v>
      </c>
      <c r="K299" s="590">
        <v>93.603560000000002</v>
      </c>
      <c r="L299" s="89">
        <v>1</v>
      </c>
      <c r="M299" s="590">
        <v>93.603560000000002</v>
      </c>
      <c r="N299" s="6" t="s">
        <v>671</v>
      </c>
      <c r="O299" s="88">
        <v>45288</v>
      </c>
      <c r="P299" s="33" t="str">
        <f>HYPERLINK("https://my.zakupivli.pro/remote/dispatcher/state_purchase_view/48113034", "UA-2023-12-29-000902-a")</f>
        <v>UA-2023-12-29-000902-a</v>
      </c>
      <c r="Q299" s="89">
        <v>93.603560000000002</v>
      </c>
      <c r="R299" s="89">
        <v>1</v>
      </c>
      <c r="S299" s="89">
        <v>93.603560000000002</v>
      </c>
      <c r="T299" s="88">
        <v>45288</v>
      </c>
      <c r="U299" s="89"/>
      <c r="V299" s="89" t="s">
        <v>59</v>
      </c>
    </row>
    <row r="300" spans="1:22" ht="62.4" x14ac:dyDescent="0.3">
      <c r="A300" s="89">
        <v>297</v>
      </c>
      <c r="B300" s="89" t="s">
        <v>40</v>
      </c>
      <c r="C300" s="44" t="s">
        <v>73</v>
      </c>
      <c r="D300" s="89"/>
      <c r="E300" s="89" t="s">
        <v>75</v>
      </c>
      <c r="F300" s="44" t="s">
        <v>669</v>
      </c>
      <c r="G300" s="89" t="s">
        <v>40</v>
      </c>
      <c r="H300" s="590">
        <v>94.078620000000001</v>
      </c>
      <c r="I300" s="89">
        <v>1</v>
      </c>
      <c r="J300" s="590">
        <v>94.078620000000001</v>
      </c>
      <c r="K300" s="590">
        <v>94.078620000000001</v>
      </c>
      <c r="L300" s="89">
        <v>1</v>
      </c>
      <c r="M300" s="590">
        <v>94.078620000000001</v>
      </c>
      <c r="N300" s="6" t="s">
        <v>672</v>
      </c>
      <c r="O300" s="88">
        <v>45288</v>
      </c>
      <c r="P300" s="33" t="str">
        <f>HYPERLINK("https://my.zakupivli.pro/remote/dispatcher/state_purchase_view/48111399", "UA-2023-12-29-000155-a")</f>
        <v>UA-2023-12-29-000155-a</v>
      </c>
      <c r="Q300" s="89">
        <v>94.078620000000001</v>
      </c>
      <c r="R300" s="89">
        <v>1</v>
      </c>
      <c r="S300" s="89">
        <v>94.078620000000001</v>
      </c>
      <c r="T300" s="88">
        <v>45288</v>
      </c>
      <c r="U300" s="89"/>
      <c r="V300" s="89" t="s">
        <v>59</v>
      </c>
    </row>
    <row r="301" spans="1:22" ht="62.4" x14ac:dyDescent="0.3">
      <c r="A301" s="89">
        <v>298</v>
      </c>
      <c r="B301" s="89" t="s">
        <v>40</v>
      </c>
      <c r="C301" s="44" t="s">
        <v>73</v>
      </c>
      <c r="D301" s="89"/>
      <c r="E301" s="89" t="s">
        <v>75</v>
      </c>
      <c r="F301" s="44" t="s">
        <v>673</v>
      </c>
      <c r="G301" s="89" t="s">
        <v>40</v>
      </c>
      <c r="H301" s="590">
        <v>890.76089999999999</v>
      </c>
      <c r="I301" s="89">
        <v>1</v>
      </c>
      <c r="J301" s="590">
        <v>890.76089999999999</v>
      </c>
      <c r="K301" s="590">
        <v>890.76089999999999</v>
      </c>
      <c r="L301" s="89">
        <v>1</v>
      </c>
      <c r="M301" s="590">
        <v>890.76089999999999</v>
      </c>
      <c r="N301" s="6" t="s">
        <v>675</v>
      </c>
      <c r="O301" s="88">
        <v>45288</v>
      </c>
      <c r="P301" s="33" t="str">
        <f>HYPERLINK("https://my.zakupivli.pro/remote/dispatcher/state_purchase_view/48185148", "UA-2024-01-04-005897-a")</f>
        <v>UA-2024-01-04-005897-a</v>
      </c>
      <c r="Q301" s="89">
        <v>890.76089999999999</v>
      </c>
      <c r="R301" s="89">
        <v>1</v>
      </c>
      <c r="S301" s="89">
        <v>890.76089999999999</v>
      </c>
      <c r="T301" s="88">
        <v>45295</v>
      </c>
      <c r="U301" s="89"/>
      <c r="V301" s="89" t="s">
        <v>59</v>
      </c>
    </row>
    <row r="302" spans="1:22" ht="62.4" x14ac:dyDescent="0.3">
      <c r="A302" s="89">
        <v>299</v>
      </c>
      <c r="B302" s="89" t="s">
        <v>40</v>
      </c>
      <c r="C302" s="44" t="s">
        <v>73</v>
      </c>
      <c r="D302" s="89"/>
      <c r="E302" s="89" t="s">
        <v>75</v>
      </c>
      <c r="F302" s="44" t="s">
        <v>674</v>
      </c>
      <c r="G302" s="89" t="s">
        <v>40</v>
      </c>
      <c r="H302" s="590">
        <v>900.26514999999995</v>
      </c>
      <c r="I302" s="89">
        <v>1</v>
      </c>
      <c r="J302" s="590">
        <v>900.26514999999995</v>
      </c>
      <c r="K302" s="590">
        <v>900.26514999999995</v>
      </c>
      <c r="L302" s="89">
        <v>1</v>
      </c>
      <c r="M302" s="590">
        <v>900.26514999999995</v>
      </c>
      <c r="N302" s="6" t="s">
        <v>676</v>
      </c>
      <c r="O302" s="88">
        <v>45288</v>
      </c>
      <c r="P302" s="33" t="str">
        <f>HYPERLINK("https://my.zakupivli.pro/remote/dispatcher/state_purchase_view/48184528", "UA-2024-01-04-005625-a")</f>
        <v>UA-2024-01-04-005625-a</v>
      </c>
      <c r="Q302" s="89">
        <v>900.26514999999995</v>
      </c>
      <c r="R302" s="89">
        <v>1</v>
      </c>
      <c r="S302" s="89">
        <v>900.26514999999995</v>
      </c>
      <c r="T302" s="88">
        <v>45295</v>
      </c>
      <c r="U302" s="89"/>
      <c r="V302" s="89" t="s">
        <v>59</v>
      </c>
    </row>
    <row r="303" spans="1:22" ht="62.4" x14ac:dyDescent="0.3">
      <c r="A303" s="89">
        <v>300</v>
      </c>
      <c r="B303" s="89" t="s">
        <v>40</v>
      </c>
      <c r="C303" s="44" t="s">
        <v>73</v>
      </c>
      <c r="D303" s="89"/>
      <c r="E303" s="89" t="s">
        <v>75</v>
      </c>
      <c r="F303" s="44" t="s">
        <v>677</v>
      </c>
      <c r="G303" s="89" t="s">
        <v>40</v>
      </c>
      <c r="H303" s="590">
        <v>154.50237999999999</v>
      </c>
      <c r="I303" s="89">
        <v>1</v>
      </c>
      <c r="J303" s="590">
        <v>154.50237999999999</v>
      </c>
      <c r="K303" s="590">
        <v>154.50237999999999</v>
      </c>
      <c r="L303" s="89">
        <v>1</v>
      </c>
      <c r="M303" s="590">
        <v>154.50237999999999</v>
      </c>
      <c r="N303" s="6" t="s">
        <v>680</v>
      </c>
      <c r="O303" s="88">
        <v>45296</v>
      </c>
      <c r="P303" s="33" t="str">
        <f>HYPERLINK("https://my.zakupivli.pro/remote/dispatcher/state_purchase_view/48208692", "UA-2024-01-08-000900-a")</f>
        <v>UA-2024-01-08-000900-a</v>
      </c>
      <c r="Q303" s="89">
        <v>154.50237999999999</v>
      </c>
      <c r="R303" s="89">
        <v>1</v>
      </c>
      <c r="S303" s="89">
        <v>154.50237999999999</v>
      </c>
      <c r="T303" s="88">
        <v>45299</v>
      </c>
      <c r="U303" s="89"/>
      <c r="V303" s="89" t="s">
        <v>59</v>
      </c>
    </row>
    <row r="304" spans="1:22" ht="62.4" x14ac:dyDescent="0.3">
      <c r="A304" s="89">
        <v>301</v>
      </c>
      <c r="B304" s="89" t="s">
        <v>40</v>
      </c>
      <c r="C304" s="44" t="s">
        <v>73</v>
      </c>
      <c r="D304" s="89"/>
      <c r="E304" s="89" t="s">
        <v>75</v>
      </c>
      <c r="F304" s="44" t="s">
        <v>678</v>
      </c>
      <c r="G304" s="89" t="s">
        <v>40</v>
      </c>
      <c r="H304" s="590">
        <v>173.50028</v>
      </c>
      <c r="I304" s="89">
        <v>1</v>
      </c>
      <c r="J304" s="590">
        <v>173.50028</v>
      </c>
      <c r="K304" s="590">
        <v>173.50028</v>
      </c>
      <c r="L304" s="89">
        <v>1</v>
      </c>
      <c r="M304" s="590">
        <v>173.50028</v>
      </c>
      <c r="N304" s="6" t="s">
        <v>681</v>
      </c>
      <c r="O304" s="88">
        <v>45296</v>
      </c>
      <c r="P304" s="33" t="str">
        <f>HYPERLINK("https://my.zakupivli.pro/remote/dispatcher/state_purchase_view/48208212", "UA-2024-01-08-000709-a")</f>
        <v>UA-2024-01-08-000709-a</v>
      </c>
      <c r="Q304" s="89">
        <v>173.50028</v>
      </c>
      <c r="R304" s="89">
        <v>1</v>
      </c>
      <c r="S304" s="89">
        <v>173.50028</v>
      </c>
      <c r="T304" s="88">
        <v>45299</v>
      </c>
      <c r="U304" s="89"/>
      <c r="V304" s="89" t="s">
        <v>59</v>
      </c>
    </row>
    <row r="305" spans="1:22" ht="62.4" x14ac:dyDescent="0.3">
      <c r="A305" s="89">
        <v>302</v>
      </c>
      <c r="B305" s="89" t="s">
        <v>40</v>
      </c>
      <c r="C305" s="44" t="s">
        <v>73</v>
      </c>
      <c r="D305" s="89"/>
      <c r="E305" s="89" t="s">
        <v>75</v>
      </c>
      <c r="F305" s="44" t="s">
        <v>679</v>
      </c>
      <c r="G305" s="89" t="s">
        <v>40</v>
      </c>
      <c r="H305" s="590">
        <v>161.96637999999999</v>
      </c>
      <c r="I305" s="89">
        <v>1</v>
      </c>
      <c r="J305" s="590">
        <v>161.96637999999999</v>
      </c>
      <c r="K305" s="590">
        <v>161.96637999999999</v>
      </c>
      <c r="L305" s="89">
        <v>1</v>
      </c>
      <c r="M305" s="590">
        <v>161.96637999999999</v>
      </c>
      <c r="N305" s="6" t="s">
        <v>682</v>
      </c>
      <c r="O305" s="88">
        <v>45296</v>
      </c>
      <c r="P305" s="33" t="str">
        <f>HYPERLINK("https://my.zakupivli.pro/remote/dispatcher/state_purchase_view/48207479", "UA-2024-01-08-000421-a")</f>
        <v>UA-2024-01-08-000421-a</v>
      </c>
      <c r="Q305" s="89">
        <v>161.96637999999999</v>
      </c>
      <c r="R305" s="89">
        <v>1</v>
      </c>
      <c r="S305" s="89">
        <v>161.96637999999999</v>
      </c>
      <c r="T305" s="88">
        <v>45299</v>
      </c>
      <c r="U305" s="89"/>
      <c r="V305" s="89" t="s">
        <v>59</v>
      </c>
    </row>
    <row r="306" spans="1:22" ht="62.4" x14ac:dyDescent="0.3">
      <c r="A306" s="89">
        <v>303</v>
      </c>
      <c r="B306" s="89" t="s">
        <v>40</v>
      </c>
      <c r="C306" s="44" t="s">
        <v>517</v>
      </c>
      <c r="D306" s="89"/>
      <c r="E306" s="90" t="s">
        <v>88</v>
      </c>
      <c r="F306" s="44" t="s">
        <v>683</v>
      </c>
      <c r="G306" s="89" t="s">
        <v>40</v>
      </c>
      <c r="H306" s="590">
        <v>180.30529999999999</v>
      </c>
      <c r="I306" s="89">
        <v>1</v>
      </c>
      <c r="J306" s="590">
        <v>180.30529999999999</v>
      </c>
      <c r="K306" s="590">
        <v>180.30529999999999</v>
      </c>
      <c r="L306" s="89">
        <v>1</v>
      </c>
      <c r="M306" s="590">
        <v>180.30529999999999</v>
      </c>
      <c r="N306" s="6" t="s">
        <v>686</v>
      </c>
      <c r="O306" s="88">
        <v>45289</v>
      </c>
      <c r="P306" s="33" t="str">
        <f>HYPERLINK("https://my.zakupivli.pro/remote/dispatcher/state_purchase_view/48220144", "UA-2024-01-08-005490-a")</f>
        <v>UA-2024-01-08-005490-a</v>
      </c>
      <c r="Q306" s="89">
        <v>180.30529999999999</v>
      </c>
      <c r="R306" s="89">
        <v>1</v>
      </c>
      <c r="S306" s="89">
        <v>180.30529999999999</v>
      </c>
      <c r="T306" s="88">
        <v>45299</v>
      </c>
      <c r="U306" s="89"/>
      <c r="V306" s="89" t="s">
        <v>59</v>
      </c>
    </row>
    <row r="307" spans="1:22" ht="62.4" x14ac:dyDescent="0.3">
      <c r="A307" s="89">
        <v>304</v>
      </c>
      <c r="B307" s="89" t="s">
        <v>40</v>
      </c>
      <c r="C307" s="44" t="s">
        <v>517</v>
      </c>
      <c r="D307" s="89"/>
      <c r="E307" s="90" t="s">
        <v>88</v>
      </c>
      <c r="F307" s="44" t="s">
        <v>684</v>
      </c>
      <c r="G307" s="89" t="s">
        <v>40</v>
      </c>
      <c r="H307" s="590">
        <v>43.111609999999999</v>
      </c>
      <c r="I307" s="89">
        <v>1</v>
      </c>
      <c r="J307" s="590">
        <v>43.111609999999999</v>
      </c>
      <c r="K307" s="590">
        <v>43.111609999999999</v>
      </c>
      <c r="L307" s="89">
        <v>1</v>
      </c>
      <c r="M307" s="590">
        <v>43.111609999999999</v>
      </c>
      <c r="N307" s="6" t="s">
        <v>687</v>
      </c>
      <c r="O307" s="88">
        <v>45289</v>
      </c>
      <c r="P307" s="33" t="str">
        <f>HYPERLINK("https://my.zakupivli.pro/remote/dispatcher/state_purchase_view/48217755", "UA-2024-01-08-004546-a")</f>
        <v>UA-2024-01-08-004546-a</v>
      </c>
      <c r="Q307" s="89">
        <v>43.111609999999999</v>
      </c>
      <c r="R307" s="89">
        <v>1</v>
      </c>
      <c r="S307" s="89">
        <v>43.111609999999999</v>
      </c>
      <c r="T307" s="88">
        <v>45299</v>
      </c>
      <c r="U307" s="89"/>
      <c r="V307" s="89" t="s">
        <v>59</v>
      </c>
    </row>
    <row r="308" spans="1:22" ht="62.4" x14ac:dyDescent="0.3">
      <c r="A308" s="89">
        <v>305</v>
      </c>
      <c r="B308" s="89" t="s">
        <v>40</v>
      </c>
      <c r="C308" s="44" t="s">
        <v>517</v>
      </c>
      <c r="D308" s="89"/>
      <c r="E308" s="90" t="s">
        <v>88</v>
      </c>
      <c r="F308" s="44" t="s">
        <v>685</v>
      </c>
      <c r="G308" s="89" t="s">
        <v>40</v>
      </c>
      <c r="H308" s="590">
        <v>152.07490999999999</v>
      </c>
      <c r="I308" s="89">
        <v>1</v>
      </c>
      <c r="J308" s="590">
        <v>152.07490999999999</v>
      </c>
      <c r="K308" s="590">
        <v>152.07490999999999</v>
      </c>
      <c r="L308" s="89">
        <v>1</v>
      </c>
      <c r="M308" s="590">
        <v>152.07490999999999</v>
      </c>
      <c r="N308" s="6" t="s">
        <v>688</v>
      </c>
      <c r="O308" s="88">
        <v>45289</v>
      </c>
      <c r="P308" s="33" t="str">
        <f>HYPERLINK("https://my.zakupivli.pro/remote/dispatcher/state_purchase_view/48216345", "UA-2024-01-08-003981-a")</f>
        <v>UA-2024-01-08-003981-a</v>
      </c>
      <c r="Q308" s="89">
        <v>152.07490999999999</v>
      </c>
      <c r="R308" s="89">
        <v>1</v>
      </c>
      <c r="S308" s="89">
        <v>152.07490999999999</v>
      </c>
      <c r="T308" s="88">
        <v>45299</v>
      </c>
      <c r="U308" s="89"/>
      <c r="V308" s="89" t="s">
        <v>59</v>
      </c>
    </row>
    <row r="309" spans="1:22" ht="62.4" x14ac:dyDescent="0.3">
      <c r="A309" s="89">
        <v>306</v>
      </c>
      <c r="B309" s="90" t="s">
        <v>21</v>
      </c>
      <c r="C309" s="94" t="s">
        <v>689</v>
      </c>
      <c r="D309" s="89"/>
      <c r="E309" s="90" t="s">
        <v>75</v>
      </c>
      <c r="F309" s="50" t="s">
        <v>63</v>
      </c>
      <c r="G309" s="90" t="s">
        <v>186</v>
      </c>
      <c r="H309" s="590"/>
      <c r="I309" s="89">
        <v>2</v>
      </c>
      <c r="J309" s="590">
        <v>82.954999999999998</v>
      </c>
      <c r="K309" s="590"/>
      <c r="L309" s="89">
        <v>2</v>
      </c>
      <c r="M309" s="590">
        <v>82.954999999999998</v>
      </c>
      <c r="N309" s="6" t="s">
        <v>690</v>
      </c>
      <c r="O309" s="88">
        <v>45302</v>
      </c>
      <c r="P309" s="42" t="str">
        <f>HYPERLINK("https://my.zakupivli.pro/remote/dispatcher/state_purchase_view/48292143", "UA-2024-01-11-008391-a")</f>
        <v>UA-2024-01-11-008391-a</v>
      </c>
      <c r="Q309" s="89"/>
      <c r="R309" s="89">
        <v>2</v>
      </c>
      <c r="S309" s="90">
        <v>82.954999999999998</v>
      </c>
      <c r="T309" s="88">
        <v>45302</v>
      </c>
      <c r="U309" s="89"/>
      <c r="V309" s="90" t="s">
        <v>59</v>
      </c>
    </row>
    <row r="310" spans="1:22" ht="78" x14ac:dyDescent="0.3">
      <c r="A310" s="89">
        <v>307</v>
      </c>
      <c r="B310" s="90" t="s">
        <v>40</v>
      </c>
      <c r="C310" s="44" t="s">
        <v>41</v>
      </c>
      <c r="D310" s="89"/>
      <c r="E310" s="446" t="s">
        <v>20</v>
      </c>
      <c r="F310" s="44" t="s">
        <v>691</v>
      </c>
      <c r="G310" s="90" t="s">
        <v>40</v>
      </c>
      <c r="H310" s="590">
        <v>91.408479999999997</v>
      </c>
      <c r="I310" s="90">
        <v>1</v>
      </c>
      <c r="J310" s="590">
        <v>91.408479999999997</v>
      </c>
      <c r="K310" s="590">
        <v>91.408479999999997</v>
      </c>
      <c r="L310" s="90">
        <v>1</v>
      </c>
      <c r="M310" s="590">
        <v>91.408479999999997</v>
      </c>
      <c r="N310" s="6" t="s">
        <v>693</v>
      </c>
      <c r="O310" s="88">
        <v>45303</v>
      </c>
      <c r="P310" s="33" t="str">
        <f>HYPERLINK("https://my.zakupivli.pro/remote/dispatcher/state_purchase_view/48324796", "UA-2024-01-12-010003-a")</f>
        <v>UA-2024-01-12-010003-a</v>
      </c>
      <c r="Q310" s="90">
        <v>91.408479999999997</v>
      </c>
      <c r="R310" s="90">
        <v>1</v>
      </c>
      <c r="S310" s="90">
        <v>91.408479999999997</v>
      </c>
      <c r="T310" s="91">
        <v>45303</v>
      </c>
      <c r="U310" s="89"/>
      <c r="V310" s="90" t="s">
        <v>59</v>
      </c>
    </row>
    <row r="311" spans="1:22" ht="78" x14ac:dyDescent="0.3">
      <c r="A311" s="89">
        <v>308</v>
      </c>
      <c r="B311" s="90" t="s">
        <v>40</v>
      </c>
      <c r="C311" s="44" t="s">
        <v>41</v>
      </c>
      <c r="D311" s="89"/>
      <c r="E311" s="446" t="s">
        <v>20</v>
      </c>
      <c r="F311" s="44" t="s">
        <v>692</v>
      </c>
      <c r="G311" s="90" t="s">
        <v>40</v>
      </c>
      <c r="H311" s="590">
        <v>99.077370000000002</v>
      </c>
      <c r="I311" s="90">
        <v>1</v>
      </c>
      <c r="J311" s="590">
        <v>99.077370000000002</v>
      </c>
      <c r="K311" s="590">
        <v>99.077370000000002</v>
      </c>
      <c r="L311" s="90">
        <v>1</v>
      </c>
      <c r="M311" s="590">
        <v>99.077370000000002</v>
      </c>
      <c r="N311" s="6" t="s">
        <v>694</v>
      </c>
      <c r="O311" s="91">
        <v>45303</v>
      </c>
      <c r="P311" s="33" t="str">
        <f>HYPERLINK("https://my.zakupivli.pro/remote/dispatcher/state_purchase_view/48324529", "UA-2024-01-12-009909-a")</f>
        <v>UA-2024-01-12-009909-a</v>
      </c>
      <c r="Q311" s="90">
        <v>99.077370000000002</v>
      </c>
      <c r="R311" s="90">
        <v>1</v>
      </c>
      <c r="S311" s="90">
        <v>99.077370000000002</v>
      </c>
      <c r="T311" s="91">
        <v>45303</v>
      </c>
      <c r="U311" s="89"/>
      <c r="V311" s="90" t="s">
        <v>59</v>
      </c>
    </row>
    <row r="312" spans="1:22" ht="62.4" x14ac:dyDescent="0.3">
      <c r="A312" s="92">
        <v>309</v>
      </c>
      <c r="B312" s="92" t="s">
        <v>21</v>
      </c>
      <c r="C312" s="98" t="s">
        <v>689</v>
      </c>
      <c r="D312" s="92"/>
      <c r="E312" s="92" t="s">
        <v>75</v>
      </c>
      <c r="F312" s="97" t="s">
        <v>695</v>
      </c>
      <c r="G312" s="92" t="s">
        <v>187</v>
      </c>
      <c r="H312" s="590"/>
      <c r="I312" s="92">
        <v>220</v>
      </c>
      <c r="J312" s="590">
        <v>276.04599999999999</v>
      </c>
      <c r="K312" s="590"/>
      <c r="L312" s="92">
        <v>220</v>
      </c>
      <c r="M312" s="590">
        <v>276.04599999999999</v>
      </c>
      <c r="N312" s="6" t="s">
        <v>696</v>
      </c>
      <c r="O312" s="93">
        <v>45303</v>
      </c>
      <c r="P312" s="33" t="str">
        <f>HYPERLINK("https://my.zakupivli.pro/remote/dispatcher/state_purchase_view/48328503", "UA-2024-01-13-000371-a")</f>
        <v>UA-2024-01-13-000371-a</v>
      </c>
      <c r="Q312" s="92"/>
      <c r="R312" s="92">
        <v>220</v>
      </c>
      <c r="S312" s="92">
        <v>276.04599999999999</v>
      </c>
      <c r="T312" s="93">
        <v>45303</v>
      </c>
      <c r="U312" s="92"/>
      <c r="V312" s="92" t="s">
        <v>59</v>
      </c>
    </row>
    <row r="313" spans="1:22" ht="62.4" x14ac:dyDescent="0.3">
      <c r="A313" s="92">
        <v>310</v>
      </c>
      <c r="B313" s="92" t="s">
        <v>21</v>
      </c>
      <c r="C313" s="98" t="s">
        <v>689</v>
      </c>
      <c r="D313" s="92"/>
      <c r="E313" s="92" t="s">
        <v>75</v>
      </c>
      <c r="F313" s="92" t="s">
        <v>697</v>
      </c>
      <c r="G313" s="92" t="s">
        <v>185</v>
      </c>
      <c r="H313" s="590"/>
      <c r="I313" s="92">
        <v>200</v>
      </c>
      <c r="J313" s="590">
        <v>1105</v>
      </c>
      <c r="K313" s="590"/>
      <c r="L313" s="92">
        <v>200</v>
      </c>
      <c r="M313" s="590">
        <v>1105</v>
      </c>
      <c r="N313" s="6" t="s">
        <v>698</v>
      </c>
      <c r="O313" s="93">
        <v>45303</v>
      </c>
      <c r="P313" s="33" t="str">
        <f>HYPERLINK("https://my.zakupivli.pro/remote/dispatcher/state_purchase_view/48328528", "UA-2024-01-13-000381-a")</f>
        <v>UA-2024-01-13-000381-a</v>
      </c>
      <c r="Q313" s="92"/>
      <c r="R313" s="92">
        <v>200</v>
      </c>
      <c r="S313" s="92">
        <v>1105</v>
      </c>
      <c r="T313" s="93">
        <v>45303</v>
      </c>
      <c r="U313" s="92"/>
      <c r="V313" s="92" t="s">
        <v>59</v>
      </c>
    </row>
    <row r="314" spans="1:22" ht="78" x14ac:dyDescent="0.3">
      <c r="A314" s="95">
        <v>311</v>
      </c>
      <c r="B314" s="95" t="s">
        <v>40</v>
      </c>
      <c r="C314" s="44" t="s">
        <v>73</v>
      </c>
      <c r="D314" s="95"/>
      <c r="E314" s="95" t="s">
        <v>75</v>
      </c>
      <c r="F314" s="44" t="s">
        <v>699</v>
      </c>
      <c r="G314" s="95" t="s">
        <v>40</v>
      </c>
      <c r="H314" s="590">
        <v>383.87344000000002</v>
      </c>
      <c r="I314" s="95">
        <v>1</v>
      </c>
      <c r="J314" s="590">
        <v>383.87344000000002</v>
      </c>
      <c r="K314" s="590">
        <v>383.87344000000002</v>
      </c>
      <c r="L314" s="95">
        <v>1</v>
      </c>
      <c r="M314" s="590">
        <v>383.87344000000002</v>
      </c>
      <c r="N314" s="6" t="s">
        <v>701</v>
      </c>
      <c r="O314" s="96">
        <v>45308</v>
      </c>
      <c r="P314" s="33" t="str">
        <f>HYPERLINK("https://my.zakupivli.pro/remote/dispatcher/state_purchase_view/48409874", "UA-2024-01-17-000623-a")</f>
        <v>UA-2024-01-17-000623-a</v>
      </c>
      <c r="Q314" s="95">
        <v>383.87344000000002</v>
      </c>
      <c r="R314" s="95">
        <v>1</v>
      </c>
      <c r="S314" s="95">
        <v>383.87344000000002</v>
      </c>
      <c r="T314" s="96">
        <v>45308</v>
      </c>
      <c r="U314" s="95"/>
      <c r="V314" s="95" t="s">
        <v>59</v>
      </c>
    </row>
    <row r="315" spans="1:22" ht="78" x14ac:dyDescent="0.3">
      <c r="A315" s="95">
        <v>312</v>
      </c>
      <c r="B315" s="95" t="s">
        <v>40</v>
      </c>
      <c r="C315" s="44" t="s">
        <v>73</v>
      </c>
      <c r="D315" s="95"/>
      <c r="E315" s="95" t="s">
        <v>75</v>
      </c>
      <c r="F315" s="44" t="s">
        <v>700</v>
      </c>
      <c r="G315" s="95" t="s">
        <v>40</v>
      </c>
      <c r="H315" s="590">
        <v>150.13192000000001</v>
      </c>
      <c r="I315" s="95">
        <v>1</v>
      </c>
      <c r="J315" s="590">
        <v>150.13192000000001</v>
      </c>
      <c r="K315" s="590">
        <v>150.13192000000001</v>
      </c>
      <c r="L315" s="95">
        <v>1</v>
      </c>
      <c r="M315" s="590">
        <v>150.13192000000001</v>
      </c>
      <c r="N315" s="6" t="s">
        <v>702</v>
      </c>
      <c r="O315" s="96">
        <v>45308</v>
      </c>
      <c r="P315" s="33" t="str">
        <f>HYPERLINK("https://my.zakupivli.pro/remote/dispatcher/state_purchase_view/48409206", "UA-2024-01-17-000372-a")</f>
        <v>UA-2024-01-17-000372-a</v>
      </c>
      <c r="Q315" s="95">
        <v>150.13192000000001</v>
      </c>
      <c r="R315" s="95">
        <v>1</v>
      </c>
      <c r="S315" s="95">
        <v>150.13192000000001</v>
      </c>
      <c r="T315" s="96">
        <v>45308</v>
      </c>
      <c r="U315" s="95"/>
      <c r="V315" s="95" t="s">
        <v>59</v>
      </c>
    </row>
    <row r="316" spans="1:22" ht="62.4" x14ac:dyDescent="0.3">
      <c r="A316" s="95">
        <v>313</v>
      </c>
      <c r="B316" s="95" t="s">
        <v>40</v>
      </c>
      <c r="C316" s="44" t="s">
        <v>73</v>
      </c>
      <c r="D316" s="95"/>
      <c r="E316" s="95" t="s">
        <v>75</v>
      </c>
      <c r="F316" s="44" t="s">
        <v>703</v>
      </c>
      <c r="G316" s="95" t="s">
        <v>40</v>
      </c>
      <c r="H316" s="590">
        <v>243.79064</v>
      </c>
      <c r="I316" s="95">
        <v>1</v>
      </c>
      <c r="J316" s="590">
        <v>243.79064</v>
      </c>
      <c r="K316" s="590">
        <v>243.79064</v>
      </c>
      <c r="L316" s="95">
        <v>1</v>
      </c>
      <c r="M316" s="590">
        <v>243.79064</v>
      </c>
      <c r="N316" s="6" t="s">
        <v>704</v>
      </c>
      <c r="O316" s="96">
        <v>45308</v>
      </c>
      <c r="P316" s="33" t="str">
        <f>HYPERLINK("https://my.zakupivli.pro/remote/dispatcher/state_purchase_view/48421027", "UA-2024-01-17-005247-a")</f>
        <v>UA-2024-01-17-005247-a</v>
      </c>
      <c r="Q316" s="95">
        <v>243.79064</v>
      </c>
      <c r="R316" s="95">
        <v>1</v>
      </c>
      <c r="S316" s="95">
        <v>243.79064</v>
      </c>
      <c r="T316" s="96">
        <v>45308</v>
      </c>
      <c r="U316" s="95"/>
      <c r="V316" s="95" t="s">
        <v>59</v>
      </c>
    </row>
    <row r="317" spans="1:22" ht="66" x14ac:dyDescent="0.3">
      <c r="A317" s="100">
        <v>314</v>
      </c>
      <c r="B317" s="100" t="s">
        <v>21</v>
      </c>
      <c r="C317" s="50" t="s">
        <v>176</v>
      </c>
      <c r="D317" s="100"/>
      <c r="E317" s="100" t="s">
        <v>88</v>
      </c>
      <c r="F317" s="83" t="s">
        <v>705</v>
      </c>
      <c r="G317" s="100" t="s">
        <v>186</v>
      </c>
      <c r="H317" s="590"/>
      <c r="I317" s="100">
        <v>9</v>
      </c>
      <c r="J317" s="590">
        <v>1715.4</v>
      </c>
      <c r="K317" s="590"/>
      <c r="L317" s="100">
        <v>9</v>
      </c>
      <c r="M317" s="590">
        <v>1715.4</v>
      </c>
      <c r="N317" s="6" t="s">
        <v>706</v>
      </c>
      <c r="O317" s="99">
        <v>45309</v>
      </c>
      <c r="P317" s="42" t="str">
        <f>HYPERLINK("https://my.zakupivli.pro/remote/dispatcher/state_purchase_view/48458403", "UA-2024-01-18-003325-a")</f>
        <v>UA-2024-01-18-003325-a</v>
      </c>
      <c r="Q317" s="100"/>
      <c r="R317" s="100">
        <v>9</v>
      </c>
      <c r="S317" s="100">
        <v>1715.4</v>
      </c>
      <c r="T317" s="99">
        <v>45329</v>
      </c>
      <c r="U317" s="100"/>
      <c r="V317" s="100"/>
    </row>
    <row r="318" spans="1:22" ht="62.4" x14ac:dyDescent="0.3">
      <c r="A318" s="100">
        <v>315</v>
      </c>
      <c r="B318" s="100" t="s">
        <v>21</v>
      </c>
      <c r="C318" s="44" t="s">
        <v>180</v>
      </c>
      <c r="D318" s="100"/>
      <c r="E318" s="100" t="s">
        <v>88</v>
      </c>
      <c r="F318" s="44" t="s">
        <v>707</v>
      </c>
      <c r="G318" s="100" t="s">
        <v>186</v>
      </c>
      <c r="H318" s="590"/>
      <c r="I318" s="100">
        <v>5</v>
      </c>
      <c r="J318" s="590">
        <v>2859.8616699999998</v>
      </c>
      <c r="K318" s="590"/>
      <c r="L318" s="100">
        <v>5</v>
      </c>
      <c r="M318" s="590">
        <v>2859.8616699999998</v>
      </c>
      <c r="N318" s="6" t="s">
        <v>708</v>
      </c>
      <c r="O318" s="99">
        <v>45309</v>
      </c>
      <c r="P318" s="33" t="str">
        <f>HYPERLINK("https://my.zakupivli.pro/remote/dispatcher/state_purchase_view/48459128", "UA-2024-01-18-003702-a")</f>
        <v>UA-2024-01-18-003702-a</v>
      </c>
      <c r="Q318" s="100"/>
      <c r="R318" s="100">
        <v>5</v>
      </c>
      <c r="S318" s="100">
        <v>2537.36</v>
      </c>
      <c r="T318" s="99">
        <v>45336</v>
      </c>
      <c r="U318" s="100"/>
      <c r="V318" s="100"/>
    </row>
    <row r="319" spans="1:22" ht="78" x14ac:dyDescent="0.3">
      <c r="A319" s="100">
        <v>316</v>
      </c>
      <c r="B319" s="100" t="s">
        <v>21</v>
      </c>
      <c r="C319" s="41" t="s">
        <v>87</v>
      </c>
      <c r="D319" s="100"/>
      <c r="E319" s="100" t="s">
        <v>88</v>
      </c>
      <c r="F319" s="41" t="s">
        <v>709</v>
      </c>
      <c r="G319" s="100" t="s">
        <v>185</v>
      </c>
      <c r="H319" s="590"/>
      <c r="I319" s="100">
        <v>2</v>
      </c>
      <c r="J319" s="590">
        <v>8058.34</v>
      </c>
      <c r="K319" s="590"/>
      <c r="L319" s="100">
        <v>2</v>
      </c>
      <c r="M319" s="590">
        <v>8058.34</v>
      </c>
      <c r="N319" s="6" t="s">
        <v>710</v>
      </c>
      <c r="O319" s="99">
        <v>45309</v>
      </c>
      <c r="P319" s="42" t="str">
        <f>HYPERLINK("https://my.zakupivli.pro/remote/dispatcher/state_purchase_view/48459984", "UA-2024-01-18-004061-a")</f>
        <v>UA-2024-01-18-004061-a</v>
      </c>
      <c r="Q319" s="100">
        <v>8057.5</v>
      </c>
      <c r="R319" s="100">
        <v>2</v>
      </c>
      <c r="S319" s="123">
        <v>8057.5</v>
      </c>
      <c r="T319" s="99">
        <v>45328</v>
      </c>
      <c r="U319" s="100"/>
      <c r="V319" s="100"/>
    </row>
    <row r="320" spans="1:22" ht="78" x14ac:dyDescent="0.3">
      <c r="A320" s="100">
        <v>317</v>
      </c>
      <c r="B320" s="100" t="s">
        <v>21</v>
      </c>
      <c r="C320" s="44" t="s">
        <v>712</v>
      </c>
      <c r="D320" s="100"/>
      <c r="E320" s="100" t="s">
        <v>88</v>
      </c>
      <c r="F320" s="44" t="s">
        <v>711</v>
      </c>
      <c r="G320" s="100" t="s">
        <v>185</v>
      </c>
      <c r="H320" s="590"/>
      <c r="I320" s="100">
        <v>5</v>
      </c>
      <c r="J320" s="590">
        <v>6031.25</v>
      </c>
      <c r="K320" s="590"/>
      <c r="L320" s="100">
        <v>5</v>
      </c>
      <c r="M320" s="590">
        <v>6031.25</v>
      </c>
      <c r="N320" s="6" t="s">
        <v>713</v>
      </c>
      <c r="O320" s="99">
        <v>45309</v>
      </c>
      <c r="P320" s="33" t="str">
        <f>HYPERLINK("https://my.zakupivli.pro/remote/dispatcher/state_purchase_view/48461006", "UA-2024-01-18-004549-a")</f>
        <v>UA-2024-01-18-004549-a</v>
      </c>
      <c r="Q320" s="100"/>
      <c r="R320" s="100">
        <v>5</v>
      </c>
      <c r="S320" s="117">
        <v>5250</v>
      </c>
      <c r="T320" s="99">
        <v>45330</v>
      </c>
      <c r="U320" s="100"/>
      <c r="V320" s="100"/>
    </row>
    <row r="321" spans="1:22" ht="78" x14ac:dyDescent="0.3">
      <c r="A321" s="100">
        <v>318</v>
      </c>
      <c r="B321" s="100" t="s">
        <v>21</v>
      </c>
      <c r="C321" s="41" t="s">
        <v>412</v>
      </c>
      <c r="D321" s="100"/>
      <c r="E321" s="100" t="s">
        <v>88</v>
      </c>
      <c r="F321" s="41" t="s">
        <v>714</v>
      </c>
      <c r="G321" s="100" t="s">
        <v>187</v>
      </c>
      <c r="H321" s="590">
        <v>470.47</v>
      </c>
      <c r="I321" s="100">
        <v>1</v>
      </c>
      <c r="J321" s="590">
        <v>470.47</v>
      </c>
      <c r="K321" s="590">
        <v>470.47</v>
      </c>
      <c r="L321" s="100">
        <v>1</v>
      </c>
      <c r="M321" s="590">
        <v>470.47</v>
      </c>
      <c r="N321" s="6" t="s">
        <v>715</v>
      </c>
      <c r="O321" s="99">
        <v>45309</v>
      </c>
      <c r="P321" s="33" t="str">
        <f>HYPERLINK("https://my.zakupivli.pro/remote/dispatcher/state_purchase_view/48469762", "UA-2024-01-18-008225-a")</f>
        <v>UA-2024-01-18-008225-a</v>
      </c>
      <c r="Q321" s="100">
        <v>467.92099999999999</v>
      </c>
      <c r="R321" s="100">
        <v>1</v>
      </c>
      <c r="S321" s="123">
        <v>467.92099999999999</v>
      </c>
      <c r="T321" s="99">
        <v>45324</v>
      </c>
      <c r="U321" s="100"/>
      <c r="V321" s="100"/>
    </row>
    <row r="322" spans="1:22" ht="78" x14ac:dyDescent="0.3">
      <c r="A322" s="100">
        <v>319</v>
      </c>
      <c r="B322" s="100" t="s">
        <v>21</v>
      </c>
      <c r="C322" s="44" t="s">
        <v>32</v>
      </c>
      <c r="D322" s="100"/>
      <c r="E322" s="100" t="s">
        <v>88</v>
      </c>
      <c r="F322" s="44" t="s">
        <v>716</v>
      </c>
      <c r="G322" s="100" t="s">
        <v>185</v>
      </c>
      <c r="H322" s="590"/>
      <c r="I322" s="100">
        <v>126</v>
      </c>
      <c r="J322" s="590">
        <v>102.54</v>
      </c>
      <c r="K322" s="590"/>
      <c r="L322" s="100">
        <v>126</v>
      </c>
      <c r="M322" s="590">
        <v>102.54</v>
      </c>
      <c r="N322" s="6" t="s">
        <v>717</v>
      </c>
      <c r="O322" s="99">
        <v>45309</v>
      </c>
      <c r="P322" s="33" t="str">
        <f>HYPERLINK("https://my.zakupivli.pro/remote/dispatcher/state_purchase_view/48479304", "UA-2024-01-18-012259-a")</f>
        <v>UA-2024-01-18-012259-a</v>
      </c>
      <c r="Q322" s="100">
        <v>101.925</v>
      </c>
      <c r="R322" s="100">
        <v>126</v>
      </c>
      <c r="S322" s="123">
        <v>101.925</v>
      </c>
      <c r="T322" s="99">
        <v>45324</v>
      </c>
      <c r="U322" s="100"/>
      <c r="V322" s="100"/>
    </row>
    <row r="323" spans="1:22" ht="93.6" x14ac:dyDescent="0.3">
      <c r="A323" s="100">
        <v>320</v>
      </c>
      <c r="B323" s="100" t="s">
        <v>21</v>
      </c>
      <c r="C323" s="44" t="s">
        <v>87</v>
      </c>
      <c r="D323" s="100"/>
      <c r="E323" s="100" t="s">
        <v>88</v>
      </c>
      <c r="F323" s="41" t="s">
        <v>718</v>
      </c>
      <c r="G323" s="100" t="s">
        <v>185</v>
      </c>
      <c r="H323" s="590">
        <v>8029.17</v>
      </c>
      <c r="I323" s="100">
        <v>1</v>
      </c>
      <c r="J323" s="590">
        <v>8029.17</v>
      </c>
      <c r="K323" s="590">
        <v>8029.17</v>
      </c>
      <c r="L323" s="100">
        <v>1</v>
      </c>
      <c r="M323" s="590">
        <v>8029.17</v>
      </c>
      <c r="N323" s="6" t="s">
        <v>719</v>
      </c>
      <c r="O323" s="99">
        <v>45309</v>
      </c>
      <c r="P323" s="33" t="str">
        <f>HYPERLINK("https://my.zakupivli.pro/remote/dispatcher/state_purchase_view/48484797", "UA-2024-01-18-014724-a")</f>
        <v>UA-2024-01-18-014724-a</v>
      </c>
      <c r="Q323" s="100">
        <v>7996.75</v>
      </c>
      <c r="R323" s="100">
        <v>1</v>
      </c>
      <c r="S323" s="123">
        <v>7996.75</v>
      </c>
      <c r="T323" s="99">
        <v>45328</v>
      </c>
      <c r="U323" s="100"/>
      <c r="V323" s="100"/>
    </row>
    <row r="324" spans="1:22" ht="78" x14ac:dyDescent="0.3">
      <c r="A324" s="100">
        <v>321</v>
      </c>
      <c r="B324" s="100" t="s">
        <v>21</v>
      </c>
      <c r="C324" s="44" t="s">
        <v>87</v>
      </c>
      <c r="D324" s="100"/>
      <c r="E324" s="100" t="s">
        <v>88</v>
      </c>
      <c r="F324" s="44" t="s">
        <v>720</v>
      </c>
      <c r="G324" s="100" t="s">
        <v>185</v>
      </c>
      <c r="H324" s="590"/>
      <c r="I324" s="100">
        <v>2</v>
      </c>
      <c r="J324" s="590">
        <v>2846</v>
      </c>
      <c r="K324" s="590"/>
      <c r="L324" s="100">
        <v>2</v>
      </c>
      <c r="M324" s="590">
        <v>2846</v>
      </c>
      <c r="N324" s="6" t="s">
        <v>721</v>
      </c>
      <c r="O324" s="99">
        <v>45309</v>
      </c>
      <c r="P324" s="33" t="str">
        <f>HYPERLINK("https://my.zakupivli.pro/remote/dispatcher/state_purchase_view/48486803", "UA-2024-01-18-015585-a")</f>
        <v>UA-2024-01-18-015585-a</v>
      </c>
      <c r="Q324" s="100"/>
      <c r="R324" s="100">
        <v>2</v>
      </c>
      <c r="S324" s="117">
        <v>2845</v>
      </c>
      <c r="T324" s="99">
        <v>45336</v>
      </c>
      <c r="U324" s="100"/>
      <c r="V324" s="100"/>
    </row>
    <row r="325" spans="1:22" ht="78" x14ac:dyDescent="0.3">
      <c r="A325" s="100">
        <v>322</v>
      </c>
      <c r="B325" s="100" t="s">
        <v>40</v>
      </c>
      <c r="C325" s="44" t="s">
        <v>41</v>
      </c>
      <c r="D325" s="100"/>
      <c r="E325" s="100" t="s">
        <v>88</v>
      </c>
      <c r="F325" s="44" t="s">
        <v>722</v>
      </c>
      <c r="G325" s="100" t="s">
        <v>184</v>
      </c>
      <c r="H325" s="590">
        <v>17947.93</v>
      </c>
      <c r="I325" s="100">
        <v>1</v>
      </c>
      <c r="J325" s="590">
        <v>17947.93</v>
      </c>
      <c r="K325" s="590">
        <v>17947.93</v>
      </c>
      <c r="L325" s="100">
        <v>1</v>
      </c>
      <c r="M325" s="590">
        <v>17947.93</v>
      </c>
      <c r="N325" s="6" t="s">
        <v>723</v>
      </c>
      <c r="O325" s="99">
        <v>45309</v>
      </c>
      <c r="P325" s="33" t="str">
        <f>HYPERLINK("https://my.zakupivli.pro/remote/dispatcher/state_purchase_view/48486096", "UA-2024-01-18-015306-a")</f>
        <v>UA-2024-01-18-015306-a</v>
      </c>
      <c r="Q325" s="144">
        <v>17719.197950000002</v>
      </c>
      <c r="R325" s="100">
        <v>1</v>
      </c>
      <c r="S325" s="100">
        <v>17719.197950000002</v>
      </c>
      <c r="T325" s="99">
        <v>45342</v>
      </c>
      <c r="U325" s="100"/>
      <c r="V325" s="100"/>
    </row>
    <row r="326" spans="1:22" ht="78" x14ac:dyDescent="0.3">
      <c r="A326" s="100">
        <v>323</v>
      </c>
      <c r="B326" s="100" t="s">
        <v>40</v>
      </c>
      <c r="C326" s="44" t="s">
        <v>41</v>
      </c>
      <c r="D326" s="100"/>
      <c r="E326" s="100" t="s">
        <v>88</v>
      </c>
      <c r="F326" s="44" t="s">
        <v>724</v>
      </c>
      <c r="G326" s="100" t="s">
        <v>184</v>
      </c>
      <c r="H326" s="590">
        <v>20715.400000000001</v>
      </c>
      <c r="I326" s="100">
        <v>1</v>
      </c>
      <c r="J326" s="590">
        <v>20715.400000000001</v>
      </c>
      <c r="K326" s="590">
        <v>20715.400000000001</v>
      </c>
      <c r="L326" s="100">
        <v>1</v>
      </c>
      <c r="M326" s="590">
        <v>20715.400000000001</v>
      </c>
      <c r="N326" s="6" t="s">
        <v>725</v>
      </c>
      <c r="O326" s="99">
        <v>45309</v>
      </c>
      <c r="P326" s="33" t="str">
        <f>HYPERLINK("https://my.zakupivli.pro/remote/dispatcher/state_purchase_view/48488090", "UA-2024-01-18-016148-a")</f>
        <v>UA-2024-01-18-016148-a</v>
      </c>
      <c r="Q326" s="100">
        <v>20706.904699999999</v>
      </c>
      <c r="R326" s="100">
        <v>1</v>
      </c>
      <c r="S326" s="144">
        <v>20706.904699999999</v>
      </c>
      <c r="T326" s="99">
        <v>45345</v>
      </c>
      <c r="U326" s="100"/>
      <c r="V326" s="100"/>
    </row>
    <row r="327" spans="1:22" ht="78" x14ac:dyDescent="0.3">
      <c r="A327" s="100">
        <v>324</v>
      </c>
      <c r="B327" s="100" t="s">
        <v>40</v>
      </c>
      <c r="C327" s="44" t="s">
        <v>41</v>
      </c>
      <c r="D327" s="100"/>
      <c r="E327" s="100" t="s">
        <v>88</v>
      </c>
      <c r="F327" s="44" t="s">
        <v>726</v>
      </c>
      <c r="G327" s="100" t="s">
        <v>184</v>
      </c>
      <c r="H327" s="590">
        <v>21357.49</v>
      </c>
      <c r="I327" s="100">
        <v>1</v>
      </c>
      <c r="J327" s="590">
        <v>21357.49</v>
      </c>
      <c r="K327" s="590">
        <v>21357.49</v>
      </c>
      <c r="L327" s="100">
        <v>1</v>
      </c>
      <c r="M327" s="590">
        <v>21357.49</v>
      </c>
      <c r="N327" s="6" t="s">
        <v>727</v>
      </c>
      <c r="O327" s="99">
        <v>45309</v>
      </c>
      <c r="P327" s="42" t="str">
        <f>HYPERLINK("https://my.zakupivli.pro/remote/dispatcher/state_purchase_view/48492237", "UA-2024-01-19-000255-a")</f>
        <v>UA-2024-01-19-000255-a</v>
      </c>
      <c r="Q327" s="100">
        <v>21344.765879999999</v>
      </c>
      <c r="R327" s="100">
        <v>1</v>
      </c>
      <c r="S327" s="144">
        <v>21344.765879999999</v>
      </c>
      <c r="T327" s="99">
        <v>45342</v>
      </c>
      <c r="U327" s="100"/>
      <c r="V327" s="100"/>
    </row>
    <row r="328" spans="1:22" ht="62.4" x14ac:dyDescent="0.3">
      <c r="A328" s="100">
        <v>325</v>
      </c>
      <c r="B328" s="101" t="s">
        <v>21</v>
      </c>
      <c r="C328" s="44" t="s">
        <v>732</v>
      </c>
      <c r="D328" s="100"/>
      <c r="E328" s="101" t="s">
        <v>75</v>
      </c>
      <c r="F328" s="44" t="s">
        <v>728</v>
      </c>
      <c r="G328" s="105" t="s">
        <v>186</v>
      </c>
      <c r="H328" s="590"/>
      <c r="I328" s="100">
        <v>5</v>
      </c>
      <c r="J328" s="590">
        <v>75.2</v>
      </c>
      <c r="K328" s="590"/>
      <c r="L328" s="100">
        <v>5</v>
      </c>
      <c r="M328" s="590">
        <v>75.2</v>
      </c>
      <c r="N328" s="6" t="s">
        <v>735</v>
      </c>
      <c r="O328" s="99">
        <v>45313</v>
      </c>
      <c r="P328" s="33" t="str">
        <f>HYPERLINK("https://my.zakupivli.pro/remote/dispatcher/state_purchase_view/48567018", "UA-2024-01-22-014388-a")</f>
        <v>UA-2024-01-22-014388-a</v>
      </c>
      <c r="Q328" s="100"/>
      <c r="R328" s="100">
        <v>5</v>
      </c>
      <c r="S328" s="101">
        <v>75.2</v>
      </c>
      <c r="T328" s="102">
        <v>45313</v>
      </c>
      <c r="U328" s="100"/>
      <c r="V328" s="101" t="s">
        <v>59</v>
      </c>
    </row>
    <row r="329" spans="1:22" ht="124.8" x14ac:dyDescent="0.3">
      <c r="A329" s="100">
        <v>326</v>
      </c>
      <c r="B329" s="101" t="s">
        <v>21</v>
      </c>
      <c r="C329" s="44" t="s">
        <v>36</v>
      </c>
      <c r="D329" s="100"/>
      <c r="E329" s="101" t="s">
        <v>75</v>
      </c>
      <c r="F329" s="44" t="s">
        <v>729</v>
      </c>
      <c r="G329" s="105" t="s">
        <v>185</v>
      </c>
      <c r="H329" s="590">
        <v>5.5250000000000004</v>
      </c>
      <c r="I329" s="100">
        <v>170</v>
      </c>
      <c r="J329" s="590">
        <v>939.25</v>
      </c>
      <c r="K329" s="590">
        <v>5.5250000000000004</v>
      </c>
      <c r="L329" s="101">
        <v>170</v>
      </c>
      <c r="M329" s="590">
        <v>939.25</v>
      </c>
      <c r="N329" s="6" t="s">
        <v>736</v>
      </c>
      <c r="O329" s="102">
        <v>45313</v>
      </c>
      <c r="P329" s="33" t="str">
        <f>HYPERLINK("https://my.zakupivli.pro/remote/dispatcher/state_purchase_view/48555711", "UA-2024-01-22-009491-a")</f>
        <v>UA-2024-01-22-009491-a</v>
      </c>
      <c r="Q329" s="101">
        <v>5.5250000000000004</v>
      </c>
      <c r="R329" s="101">
        <v>170</v>
      </c>
      <c r="S329" s="101">
        <v>939.25</v>
      </c>
      <c r="T329" s="102">
        <v>45313</v>
      </c>
      <c r="U329" s="100"/>
      <c r="V329" s="101" t="s">
        <v>59</v>
      </c>
    </row>
    <row r="330" spans="1:22" ht="62.4" x14ac:dyDescent="0.3">
      <c r="A330" s="101">
        <v>327</v>
      </c>
      <c r="B330" s="101" t="s">
        <v>21</v>
      </c>
      <c r="C330" s="44" t="s">
        <v>733</v>
      </c>
      <c r="D330" s="101"/>
      <c r="E330" s="101" t="s">
        <v>75</v>
      </c>
      <c r="F330" s="44" t="s">
        <v>730</v>
      </c>
      <c r="G330" s="101" t="s">
        <v>737</v>
      </c>
      <c r="H330" s="590">
        <v>0.39800000000000002</v>
      </c>
      <c r="I330" s="101">
        <v>168</v>
      </c>
      <c r="J330" s="590">
        <v>66.864000000000004</v>
      </c>
      <c r="K330" s="590">
        <v>0.39800000000000002</v>
      </c>
      <c r="L330" s="101">
        <v>168</v>
      </c>
      <c r="M330" s="590">
        <v>66.864000000000004</v>
      </c>
      <c r="N330" s="6" t="s">
        <v>738</v>
      </c>
      <c r="O330" s="102">
        <v>45313</v>
      </c>
      <c r="P330" s="33" t="str">
        <f>HYPERLINK("https://my.zakupivli.pro/remote/dispatcher/state_purchase_view/48552651", "UA-2024-01-22-008156-a")</f>
        <v>UA-2024-01-22-008156-a</v>
      </c>
      <c r="Q330" s="101">
        <v>0.39800000000000002</v>
      </c>
      <c r="R330" s="101">
        <v>168</v>
      </c>
      <c r="S330" s="101">
        <v>66.864000000000004</v>
      </c>
      <c r="T330" s="102">
        <v>45313</v>
      </c>
      <c r="U330" s="101"/>
      <c r="V330" s="101" t="s">
        <v>59</v>
      </c>
    </row>
    <row r="331" spans="1:22" ht="62.4" x14ac:dyDescent="0.3">
      <c r="A331" s="101">
        <v>328</v>
      </c>
      <c r="B331" s="101" t="s">
        <v>21</v>
      </c>
      <c r="C331" s="44" t="s">
        <v>734</v>
      </c>
      <c r="D331" s="101"/>
      <c r="E331" s="101" t="s">
        <v>75</v>
      </c>
      <c r="F331" s="44" t="s">
        <v>731</v>
      </c>
      <c r="G331" s="101" t="s">
        <v>185</v>
      </c>
      <c r="H331" s="590">
        <v>9.1739999999999995</v>
      </c>
      <c r="I331" s="101">
        <v>8</v>
      </c>
      <c r="J331" s="590">
        <v>73.391999999999996</v>
      </c>
      <c r="K331" s="590">
        <v>9.1739999999999995</v>
      </c>
      <c r="L331" s="101">
        <v>8</v>
      </c>
      <c r="M331" s="590">
        <v>73.391999999999996</v>
      </c>
      <c r="N331" s="6" t="s">
        <v>739</v>
      </c>
      <c r="O331" s="102">
        <v>45313</v>
      </c>
      <c r="P331" s="33" t="str">
        <f>HYPERLINK("https://my.zakupivli.pro/remote/dispatcher/state_purchase_view/48552028", "UA-2024-01-22-007945-a")</f>
        <v>UA-2024-01-22-007945-a</v>
      </c>
      <c r="Q331" s="101">
        <v>9.1739999999999995</v>
      </c>
      <c r="R331" s="101">
        <v>8</v>
      </c>
      <c r="S331" s="101">
        <v>73.391999999999996</v>
      </c>
      <c r="T331" s="102">
        <v>45313</v>
      </c>
      <c r="U331" s="101"/>
      <c r="V331" s="101" t="s">
        <v>59</v>
      </c>
    </row>
    <row r="332" spans="1:22" ht="62.4" x14ac:dyDescent="0.3">
      <c r="A332" s="103">
        <v>329</v>
      </c>
      <c r="B332" s="103" t="s">
        <v>40</v>
      </c>
      <c r="C332" s="41" t="s">
        <v>41</v>
      </c>
      <c r="D332" s="103"/>
      <c r="E332" s="103" t="s">
        <v>88</v>
      </c>
      <c r="F332" s="44" t="s">
        <v>740</v>
      </c>
      <c r="G332" s="103" t="s">
        <v>184</v>
      </c>
      <c r="H332" s="590">
        <v>408.37324000000001</v>
      </c>
      <c r="I332" s="103">
        <v>1</v>
      </c>
      <c r="J332" s="590">
        <v>408.37324000000001</v>
      </c>
      <c r="K332" s="590">
        <v>408.37324000000001</v>
      </c>
      <c r="L332" s="103">
        <v>1</v>
      </c>
      <c r="M332" s="590">
        <v>408.37324000000001</v>
      </c>
      <c r="N332" s="6" t="s">
        <v>741</v>
      </c>
      <c r="O332" s="104">
        <v>45314</v>
      </c>
      <c r="P332" s="42" t="str">
        <f>HYPERLINK("https://my.zakupivli.pro/remote/dispatcher/state_purchase_view/48603959", "UA-2024-01-23-013208-a")</f>
        <v>UA-2024-01-23-013208-a</v>
      </c>
      <c r="Q332" s="103">
        <v>408.37324000000001</v>
      </c>
      <c r="R332" s="103">
        <v>1</v>
      </c>
      <c r="S332" s="103">
        <v>408.37324000000001</v>
      </c>
      <c r="T332" s="104">
        <v>45314</v>
      </c>
      <c r="U332" s="103"/>
      <c r="V332" s="103" t="s">
        <v>59</v>
      </c>
    </row>
    <row r="333" spans="1:22" ht="31.2" x14ac:dyDescent="0.3">
      <c r="A333" s="103">
        <v>330</v>
      </c>
      <c r="B333" s="103" t="s">
        <v>21</v>
      </c>
      <c r="C333" s="44" t="s">
        <v>36</v>
      </c>
      <c r="D333" s="110" t="s">
        <v>58</v>
      </c>
      <c r="E333" s="103" t="s">
        <v>75</v>
      </c>
      <c r="F333" s="44" t="s">
        <v>742</v>
      </c>
      <c r="G333" s="103" t="s">
        <v>186</v>
      </c>
      <c r="I333" s="103">
        <v>134</v>
      </c>
      <c r="J333" s="590">
        <v>11125</v>
      </c>
      <c r="K333" s="590"/>
      <c r="L333" s="103">
        <v>134</v>
      </c>
      <c r="M333" s="590">
        <v>11125</v>
      </c>
      <c r="N333" s="6" t="s">
        <v>747</v>
      </c>
      <c r="O333" s="104">
        <v>45314</v>
      </c>
      <c r="P333" s="33" t="str">
        <f>HYPERLINK("https://my.zakupivli.pro/remote/dispatcher/state_purchase_view/48579121", "UA-2024-01-23-002308-a")</f>
        <v>UA-2024-01-23-002308-a</v>
      </c>
      <c r="Q333" s="103"/>
      <c r="R333" s="103">
        <v>134</v>
      </c>
      <c r="S333" s="103">
        <v>10885.87895</v>
      </c>
      <c r="T333" s="104">
        <v>45343</v>
      </c>
      <c r="U333" s="103"/>
      <c r="V333" s="103"/>
    </row>
    <row r="334" spans="1:22" ht="78" x14ac:dyDescent="0.3">
      <c r="A334" s="103">
        <v>331</v>
      </c>
      <c r="B334" s="103" t="s">
        <v>21</v>
      </c>
      <c r="C334" s="44" t="s">
        <v>36</v>
      </c>
      <c r="D334" s="110" t="s">
        <v>58</v>
      </c>
      <c r="E334" s="103" t="s">
        <v>75</v>
      </c>
      <c r="F334" s="44" t="s">
        <v>743</v>
      </c>
      <c r="G334" s="103" t="s">
        <v>186</v>
      </c>
      <c r="H334" s="590"/>
      <c r="I334" s="103">
        <v>9</v>
      </c>
      <c r="J334" s="590">
        <v>1481.752</v>
      </c>
      <c r="K334" s="590"/>
      <c r="L334" s="103">
        <v>9</v>
      </c>
      <c r="M334" s="590">
        <v>1481.752</v>
      </c>
      <c r="N334" s="6" t="s">
        <v>747</v>
      </c>
      <c r="O334" s="104">
        <v>45314</v>
      </c>
      <c r="P334" s="33" t="str">
        <f>HYPERLINK("https://my.zakupivli.pro/remote/dispatcher/state_purchase_view/48579121", "UA-2024-01-23-002308-a")</f>
        <v>UA-2024-01-23-002308-a</v>
      </c>
      <c r="Q334" s="103"/>
      <c r="R334" s="103"/>
      <c r="S334" s="103"/>
      <c r="T334" s="104"/>
      <c r="U334" s="144" t="s">
        <v>93</v>
      </c>
      <c r="V334" s="103"/>
    </row>
    <row r="335" spans="1:22" ht="31.2" x14ac:dyDescent="0.3">
      <c r="A335" s="103">
        <v>332</v>
      </c>
      <c r="B335" s="103" t="s">
        <v>21</v>
      </c>
      <c r="C335" s="44" t="s">
        <v>36</v>
      </c>
      <c r="D335" s="110" t="s">
        <v>58</v>
      </c>
      <c r="E335" s="446" t="s">
        <v>20</v>
      </c>
      <c r="F335" s="44" t="s">
        <v>744</v>
      </c>
      <c r="G335" s="103" t="s">
        <v>186</v>
      </c>
      <c r="H335" s="590"/>
      <c r="I335" s="103">
        <v>2</v>
      </c>
      <c r="J335" s="590">
        <v>14787.21666</v>
      </c>
      <c r="K335" s="590"/>
      <c r="L335" s="103">
        <v>2</v>
      </c>
      <c r="M335" s="590">
        <v>14787.21666</v>
      </c>
      <c r="N335" s="6" t="s">
        <v>747</v>
      </c>
      <c r="O335" s="104">
        <v>45314</v>
      </c>
      <c r="P335" s="33" t="str">
        <f>HYPERLINK("https://my.zakupivli.pro/remote/dispatcher/state_purchase_view/48579121", "UA-2024-01-23-002308-a")</f>
        <v>UA-2024-01-23-002308-a</v>
      </c>
      <c r="Q335" s="103"/>
      <c r="R335" s="103">
        <v>2</v>
      </c>
      <c r="S335" s="103">
        <v>10904.4</v>
      </c>
      <c r="T335" s="104">
        <v>45343</v>
      </c>
      <c r="U335" s="103"/>
      <c r="V335" s="103"/>
    </row>
    <row r="336" spans="1:22" ht="31.2" x14ac:dyDescent="0.3">
      <c r="A336" s="103">
        <v>333</v>
      </c>
      <c r="B336" s="103" t="s">
        <v>21</v>
      </c>
      <c r="C336" s="44" t="s">
        <v>36</v>
      </c>
      <c r="D336" s="110" t="s">
        <v>58</v>
      </c>
      <c r="E336" s="103" t="s">
        <v>75</v>
      </c>
      <c r="F336" s="44" t="s">
        <v>745</v>
      </c>
      <c r="G336" s="103" t="s">
        <v>186</v>
      </c>
      <c r="H336" s="590"/>
      <c r="I336" s="103">
        <v>2</v>
      </c>
      <c r="J336" s="590">
        <v>267.56599999999997</v>
      </c>
      <c r="K336" s="590"/>
      <c r="L336" s="103">
        <v>2</v>
      </c>
      <c r="M336" s="590">
        <v>267.56599999999997</v>
      </c>
      <c r="N336" s="6" t="s">
        <v>747</v>
      </c>
      <c r="O336" s="104">
        <v>45314</v>
      </c>
      <c r="P336" s="33" t="str">
        <f>HYPERLINK("https://my.zakupivli.pro/remote/dispatcher/state_purchase_view/48579121", "UA-2024-01-23-002308-a")</f>
        <v>UA-2024-01-23-002308-a</v>
      </c>
      <c r="Q336" s="103"/>
      <c r="R336" s="103">
        <v>2</v>
      </c>
      <c r="S336" s="103">
        <v>243.166</v>
      </c>
      <c r="T336" s="104">
        <v>45343</v>
      </c>
      <c r="U336" s="103"/>
      <c r="V336" s="103"/>
    </row>
    <row r="337" spans="1:22" ht="31.2" x14ac:dyDescent="0.3">
      <c r="A337" s="103">
        <v>334</v>
      </c>
      <c r="B337" s="103" t="s">
        <v>21</v>
      </c>
      <c r="C337" s="44" t="s">
        <v>36</v>
      </c>
      <c r="D337" s="110" t="s">
        <v>58</v>
      </c>
      <c r="E337" s="103" t="s">
        <v>75</v>
      </c>
      <c r="F337" s="44" t="s">
        <v>746</v>
      </c>
      <c r="G337" s="103" t="s">
        <v>186</v>
      </c>
      <c r="H337" s="590"/>
      <c r="I337" s="103">
        <v>3</v>
      </c>
      <c r="J337" s="590">
        <v>3913.74</v>
      </c>
      <c r="K337" s="590"/>
      <c r="L337" s="103">
        <v>3</v>
      </c>
      <c r="M337" s="590">
        <v>3913.74</v>
      </c>
      <c r="N337" s="6" t="s">
        <v>747</v>
      </c>
      <c r="O337" s="104">
        <v>45314</v>
      </c>
      <c r="P337" s="33" t="str">
        <f>HYPERLINK("https://my.zakupivli.pro/remote/dispatcher/state_purchase_view/48579121", "UA-2024-01-23-002308-a")</f>
        <v>UA-2024-01-23-002308-a</v>
      </c>
      <c r="Q337" s="103"/>
      <c r="R337" s="103">
        <v>3</v>
      </c>
      <c r="S337" s="103">
        <v>3663.4537999999998</v>
      </c>
      <c r="T337" s="104">
        <v>45343</v>
      </c>
      <c r="U337" s="103"/>
      <c r="V337" s="103"/>
    </row>
    <row r="338" spans="1:22" ht="62.4" x14ac:dyDescent="0.3">
      <c r="A338" s="106">
        <v>335</v>
      </c>
      <c r="B338" s="106" t="s">
        <v>40</v>
      </c>
      <c r="C338" s="44" t="s">
        <v>73</v>
      </c>
      <c r="D338" s="106"/>
      <c r="E338" s="106" t="s">
        <v>75</v>
      </c>
      <c r="F338" s="44" t="s">
        <v>748</v>
      </c>
      <c r="G338" s="106" t="s">
        <v>184</v>
      </c>
      <c r="H338" s="590">
        <v>315</v>
      </c>
      <c r="I338" s="106">
        <v>1</v>
      </c>
      <c r="J338" s="590">
        <v>315</v>
      </c>
      <c r="K338" s="590">
        <v>315</v>
      </c>
      <c r="L338" s="106">
        <v>1</v>
      </c>
      <c r="M338" s="590">
        <v>315</v>
      </c>
      <c r="N338" s="6" t="s">
        <v>749</v>
      </c>
      <c r="O338" s="107">
        <v>45315</v>
      </c>
      <c r="P338" s="33" t="str">
        <f>HYPERLINK("https://my.zakupivli.pro/remote/dispatcher/state_purchase_view/48628967", "UA-2024-01-24-005968-a")</f>
        <v>UA-2024-01-24-005968-a</v>
      </c>
      <c r="Q338" s="87">
        <v>315</v>
      </c>
      <c r="R338" s="106">
        <v>1</v>
      </c>
      <c r="S338" s="87">
        <v>315</v>
      </c>
      <c r="T338" s="107">
        <v>45315</v>
      </c>
      <c r="U338" s="106"/>
      <c r="V338" s="106" t="s">
        <v>59</v>
      </c>
    </row>
    <row r="339" spans="1:22" ht="43.2" x14ac:dyDescent="0.3">
      <c r="A339" s="108">
        <v>336</v>
      </c>
      <c r="B339" s="108" t="s">
        <v>21</v>
      </c>
      <c r="C339" s="44" t="s">
        <v>30</v>
      </c>
      <c r="D339" s="110" t="s">
        <v>58</v>
      </c>
      <c r="E339" s="108" t="s">
        <v>75</v>
      </c>
      <c r="F339" s="44" t="s">
        <v>750</v>
      </c>
      <c r="G339" s="108" t="s">
        <v>186</v>
      </c>
      <c r="H339" s="590"/>
      <c r="I339" s="108">
        <v>106</v>
      </c>
      <c r="J339" s="590">
        <v>5583.3329999999996</v>
      </c>
      <c r="K339" s="590"/>
      <c r="L339" s="108">
        <v>106</v>
      </c>
      <c r="M339" s="590">
        <v>5583.3329999999996</v>
      </c>
      <c r="N339" s="6" t="s">
        <v>753</v>
      </c>
      <c r="O339" s="109">
        <v>45315</v>
      </c>
      <c r="P339" s="33" t="str">
        <f>HYPERLINK("https://my.zakupivli.pro/remote/dispatcher/state_purchase_view/48638355", "UA-2024-01-24-010255-a")</f>
        <v>UA-2024-01-24-010255-a</v>
      </c>
      <c r="Q339" s="108"/>
      <c r="R339" s="108">
        <v>106</v>
      </c>
      <c r="S339" s="108">
        <v>5539.33025</v>
      </c>
      <c r="T339" s="109">
        <v>45336</v>
      </c>
      <c r="U339" s="108"/>
      <c r="V339" s="108"/>
    </row>
    <row r="340" spans="1:22" ht="43.2" x14ac:dyDescent="0.3">
      <c r="A340" s="108">
        <v>337</v>
      </c>
      <c r="B340" s="108" t="s">
        <v>21</v>
      </c>
      <c r="C340" s="44" t="s">
        <v>30</v>
      </c>
      <c r="D340" s="110" t="s">
        <v>58</v>
      </c>
      <c r="E340" s="108" t="s">
        <v>75</v>
      </c>
      <c r="F340" s="44" t="s">
        <v>751</v>
      </c>
      <c r="G340" s="108" t="s">
        <v>186</v>
      </c>
      <c r="H340" s="590"/>
      <c r="I340" s="108">
        <v>92</v>
      </c>
      <c r="J340" s="590">
        <v>779.19165799999996</v>
      </c>
      <c r="K340" s="590"/>
      <c r="L340" s="108">
        <v>92</v>
      </c>
      <c r="M340" s="590">
        <v>779.19165799999996</v>
      </c>
      <c r="N340" s="6" t="s">
        <v>754</v>
      </c>
      <c r="O340" s="109">
        <v>45315</v>
      </c>
      <c r="P340" s="33" t="str">
        <f>HYPERLINK("https://my.zakupivli.pro/remote/dispatcher/state_purchase_view/48638355", "UA-2024-01-24-010255-a")</f>
        <v>UA-2024-01-24-010255-a</v>
      </c>
      <c r="Q340" s="108"/>
      <c r="R340" s="108">
        <v>92</v>
      </c>
      <c r="S340" s="108">
        <v>757.47540000000004</v>
      </c>
      <c r="T340" s="109">
        <v>45329</v>
      </c>
      <c r="U340" s="108"/>
      <c r="V340" s="108"/>
    </row>
    <row r="341" spans="1:22" ht="43.2" x14ac:dyDescent="0.3">
      <c r="A341" s="108">
        <v>338</v>
      </c>
      <c r="B341" s="108" t="s">
        <v>21</v>
      </c>
      <c r="C341" s="44" t="s">
        <v>30</v>
      </c>
      <c r="D341" s="110" t="s">
        <v>58</v>
      </c>
      <c r="E341" s="108" t="s">
        <v>75</v>
      </c>
      <c r="F341" s="44" t="s">
        <v>752</v>
      </c>
      <c r="G341" s="108" t="s">
        <v>186</v>
      </c>
      <c r="H341" s="590"/>
      <c r="I341" s="108">
        <v>38</v>
      </c>
      <c r="J341" s="590">
        <v>4833.3329999999996</v>
      </c>
      <c r="K341" s="590"/>
      <c r="L341" s="108">
        <v>38</v>
      </c>
      <c r="M341" s="590">
        <v>4833.3329999999996</v>
      </c>
      <c r="N341" s="6" t="s">
        <v>755</v>
      </c>
      <c r="O341" s="109">
        <v>45315</v>
      </c>
      <c r="P341" s="33" t="str">
        <f>HYPERLINK("https://my.zakupivli.pro/remote/dispatcher/state_purchase_view/48638355", "UA-2024-01-24-010255-a")</f>
        <v>UA-2024-01-24-010255-a</v>
      </c>
      <c r="Q341" s="108"/>
      <c r="R341" s="108">
        <v>38</v>
      </c>
      <c r="S341" s="108">
        <v>4636.3738999999996</v>
      </c>
      <c r="T341" s="109">
        <v>45336</v>
      </c>
      <c r="U341" s="108"/>
      <c r="V341" s="108"/>
    </row>
    <row r="342" spans="1:22" ht="43.2" x14ac:dyDescent="0.3">
      <c r="A342" s="108">
        <v>339</v>
      </c>
      <c r="B342" s="108" t="s">
        <v>21</v>
      </c>
      <c r="C342" s="44" t="s">
        <v>30</v>
      </c>
      <c r="D342" s="110" t="s">
        <v>58</v>
      </c>
      <c r="E342" s="108" t="s">
        <v>75</v>
      </c>
      <c r="F342" s="44" t="s">
        <v>756</v>
      </c>
      <c r="G342" s="108" t="s">
        <v>186</v>
      </c>
      <c r="H342" s="590"/>
      <c r="I342" s="108">
        <v>24</v>
      </c>
      <c r="J342" s="590">
        <v>1300</v>
      </c>
      <c r="K342" s="590"/>
      <c r="L342" s="108">
        <v>24</v>
      </c>
      <c r="M342" s="590">
        <v>1300</v>
      </c>
      <c r="N342" s="6" t="s">
        <v>757</v>
      </c>
      <c r="O342" s="109">
        <v>45315</v>
      </c>
      <c r="P342" s="33" t="str">
        <f>HYPERLINK("https://my.zakupivli.pro/remote/dispatcher/state_purchase_view/48637783", "UA-2024-01-24-009975-a")</f>
        <v>UA-2024-01-24-009975-a</v>
      </c>
      <c r="Q342" s="108"/>
      <c r="R342" s="108">
        <v>24</v>
      </c>
      <c r="S342" s="117">
        <v>776</v>
      </c>
      <c r="T342" s="109">
        <v>45336</v>
      </c>
      <c r="U342" s="108"/>
      <c r="V342" s="108"/>
    </row>
    <row r="343" spans="1:22" ht="46.8" x14ac:dyDescent="0.3">
      <c r="A343" s="111">
        <v>340</v>
      </c>
      <c r="B343" s="111" t="s">
        <v>21</v>
      </c>
      <c r="C343" s="41" t="s">
        <v>760</v>
      </c>
      <c r="D343" s="111" t="s">
        <v>58</v>
      </c>
      <c r="E343" s="111" t="s">
        <v>758</v>
      </c>
      <c r="F343" s="41" t="s">
        <v>759</v>
      </c>
      <c r="G343" s="111" t="s">
        <v>187</v>
      </c>
      <c r="H343" s="590"/>
      <c r="I343" s="111">
        <v>979</v>
      </c>
      <c r="J343" s="590">
        <v>3917.2</v>
      </c>
      <c r="K343" s="590"/>
      <c r="L343" s="111">
        <v>979</v>
      </c>
      <c r="M343" s="590">
        <v>3917.2</v>
      </c>
      <c r="N343" s="6" t="s">
        <v>761</v>
      </c>
      <c r="O343" s="112">
        <v>45316</v>
      </c>
      <c r="P343" s="42" t="str">
        <f>HYPERLINK("https://my.zakupivli.pro/remote/dispatcher/state_purchase_view/48664390", "UA-2024-01-25-003776-a")</f>
        <v>UA-2024-01-25-003776-a</v>
      </c>
      <c r="Q343" s="111"/>
      <c r="R343" s="111">
        <v>979</v>
      </c>
      <c r="S343" s="111">
        <v>2120.3854999999999</v>
      </c>
      <c r="T343" s="112">
        <v>45336</v>
      </c>
      <c r="U343" s="111"/>
      <c r="V343" s="111"/>
    </row>
    <row r="344" spans="1:22" ht="93.6" x14ac:dyDescent="0.3">
      <c r="A344" s="111">
        <v>341</v>
      </c>
      <c r="B344" s="111" t="s">
        <v>40</v>
      </c>
      <c r="C344" s="44" t="s">
        <v>41</v>
      </c>
      <c r="D344" s="111"/>
      <c r="E344" s="111" t="s">
        <v>88</v>
      </c>
      <c r="F344" s="44" t="s">
        <v>762</v>
      </c>
      <c r="G344" s="111" t="s">
        <v>184</v>
      </c>
      <c r="H344" s="590">
        <v>310.57474999999999</v>
      </c>
      <c r="I344" s="111">
        <v>1</v>
      </c>
      <c r="J344" s="590">
        <v>310.57474999999999</v>
      </c>
      <c r="K344" s="590">
        <v>310.57474999999999</v>
      </c>
      <c r="L344" s="111">
        <v>1</v>
      </c>
      <c r="M344" s="590">
        <v>310.57474999999999</v>
      </c>
      <c r="N344" s="6" t="s">
        <v>769</v>
      </c>
      <c r="O344" s="112">
        <v>45316</v>
      </c>
      <c r="P344" s="33" t="str">
        <f>HYPERLINK("https://my.zakupivli.pro/remote/dispatcher/state_purchase_view/48688184", "UA-2024-01-25-014181-a")</f>
        <v>UA-2024-01-25-014181-a</v>
      </c>
      <c r="Q344" s="111">
        <v>310.57474999999999</v>
      </c>
      <c r="R344" s="111">
        <v>1</v>
      </c>
      <c r="S344" s="111">
        <v>310.57474999999999</v>
      </c>
      <c r="T344" s="112">
        <v>45316</v>
      </c>
      <c r="U344" s="111"/>
      <c r="V344" s="111" t="s">
        <v>59</v>
      </c>
    </row>
    <row r="345" spans="1:22" ht="93.6" x14ac:dyDescent="0.3">
      <c r="A345" s="111">
        <v>342</v>
      </c>
      <c r="B345" s="111" t="s">
        <v>40</v>
      </c>
      <c r="C345" s="44" t="s">
        <v>41</v>
      </c>
      <c r="D345" s="111"/>
      <c r="E345" s="111" t="s">
        <v>88</v>
      </c>
      <c r="F345" s="44" t="s">
        <v>763</v>
      </c>
      <c r="G345" s="111" t="s">
        <v>184</v>
      </c>
      <c r="H345" s="590">
        <v>234.87541999999999</v>
      </c>
      <c r="I345" s="111">
        <v>1</v>
      </c>
      <c r="J345" s="590">
        <v>234.87541999999999</v>
      </c>
      <c r="K345" s="590">
        <v>234.87541999999999</v>
      </c>
      <c r="L345" s="111">
        <v>1</v>
      </c>
      <c r="M345" s="590">
        <v>234.87541999999999</v>
      </c>
      <c r="N345" s="6" t="s">
        <v>770</v>
      </c>
      <c r="O345" s="112">
        <v>45316</v>
      </c>
      <c r="P345" s="33" t="str">
        <f>HYPERLINK("https://my.zakupivli.pro/remote/dispatcher/state_purchase_view/48687397", "UA-2024-01-25-013828-a")</f>
        <v>UA-2024-01-25-013828-a</v>
      </c>
      <c r="Q345" s="111">
        <v>234.87541999999999</v>
      </c>
      <c r="R345" s="111">
        <v>1</v>
      </c>
      <c r="S345" s="111">
        <v>234.87541999999999</v>
      </c>
      <c r="T345" s="112">
        <v>45316</v>
      </c>
      <c r="U345" s="111"/>
      <c r="V345" s="111" t="s">
        <v>59</v>
      </c>
    </row>
    <row r="346" spans="1:22" ht="62.4" x14ac:dyDescent="0.3">
      <c r="A346" s="111">
        <v>343</v>
      </c>
      <c r="B346" s="111" t="s">
        <v>40</v>
      </c>
      <c r="C346" s="44" t="s">
        <v>41</v>
      </c>
      <c r="D346" s="111"/>
      <c r="E346" s="111" t="s">
        <v>88</v>
      </c>
      <c r="F346" s="44" t="s">
        <v>764</v>
      </c>
      <c r="G346" s="111" t="s">
        <v>184</v>
      </c>
      <c r="H346" s="590">
        <v>740.63445000000002</v>
      </c>
      <c r="I346" s="111">
        <v>1</v>
      </c>
      <c r="J346" s="590">
        <v>740.63445000000002</v>
      </c>
      <c r="K346" s="590">
        <v>740.63445000000002</v>
      </c>
      <c r="L346" s="111">
        <v>1</v>
      </c>
      <c r="M346" s="590">
        <v>740.63445000000002</v>
      </c>
      <c r="N346" s="6" t="s">
        <v>771</v>
      </c>
      <c r="O346" s="112">
        <v>45316</v>
      </c>
      <c r="P346" s="33" t="str">
        <f>HYPERLINK("https://my.zakupivli.pro/remote/dispatcher/state_purchase_view/48686800", "UA-2024-01-25-013604-a")</f>
        <v>UA-2024-01-25-013604-a</v>
      </c>
      <c r="Q346" s="111">
        <v>740.63445000000002</v>
      </c>
      <c r="R346" s="111">
        <v>1</v>
      </c>
      <c r="S346" s="111">
        <v>740.63445000000002</v>
      </c>
      <c r="T346" s="112">
        <v>45316</v>
      </c>
      <c r="U346" s="111"/>
      <c r="V346" s="111" t="s">
        <v>59</v>
      </c>
    </row>
    <row r="347" spans="1:22" ht="93.6" x14ac:dyDescent="0.3">
      <c r="A347" s="111">
        <v>344</v>
      </c>
      <c r="B347" s="111" t="s">
        <v>40</v>
      </c>
      <c r="C347" s="44" t="s">
        <v>41</v>
      </c>
      <c r="D347" s="111"/>
      <c r="E347" s="111" t="s">
        <v>88</v>
      </c>
      <c r="F347" s="44" t="s">
        <v>765</v>
      </c>
      <c r="G347" s="111" t="s">
        <v>184</v>
      </c>
      <c r="H347" s="590">
        <v>107.49384000000001</v>
      </c>
      <c r="I347" s="111">
        <v>1</v>
      </c>
      <c r="J347" s="590">
        <v>107.49384000000001</v>
      </c>
      <c r="K347" s="590">
        <v>107.49384000000001</v>
      </c>
      <c r="L347" s="111">
        <v>1</v>
      </c>
      <c r="M347" s="590">
        <v>107.49384000000001</v>
      </c>
      <c r="N347" s="6" t="s">
        <v>772</v>
      </c>
      <c r="O347" s="112">
        <v>45316</v>
      </c>
      <c r="P347" s="33" t="str">
        <f>HYPERLINK("https://my.zakupivli.pro/remote/dispatcher/state_purchase_view/48686589", "UA-2024-01-25-013506-a")</f>
        <v>UA-2024-01-25-013506-a</v>
      </c>
      <c r="Q347" s="111">
        <v>107.49384000000001</v>
      </c>
      <c r="R347" s="111">
        <v>1</v>
      </c>
      <c r="S347" s="111">
        <v>107.49384000000001</v>
      </c>
      <c r="T347" s="112">
        <v>45316</v>
      </c>
      <c r="U347" s="111"/>
      <c r="V347" s="111" t="s">
        <v>59</v>
      </c>
    </row>
    <row r="348" spans="1:22" ht="62.4" x14ac:dyDescent="0.3">
      <c r="A348" s="111">
        <v>345</v>
      </c>
      <c r="B348" s="111" t="s">
        <v>40</v>
      </c>
      <c r="C348" s="44" t="s">
        <v>41</v>
      </c>
      <c r="D348" s="111"/>
      <c r="E348" s="111" t="s">
        <v>88</v>
      </c>
      <c r="F348" s="44" t="s">
        <v>766</v>
      </c>
      <c r="G348" s="111" t="s">
        <v>184</v>
      </c>
      <c r="H348" s="590">
        <v>282.64605</v>
      </c>
      <c r="I348" s="111">
        <v>1</v>
      </c>
      <c r="J348" s="590">
        <v>282.64605</v>
      </c>
      <c r="K348" s="590">
        <v>282.64605</v>
      </c>
      <c r="L348" s="111">
        <v>1</v>
      </c>
      <c r="M348" s="590">
        <v>282.64605</v>
      </c>
      <c r="N348" s="6" t="s">
        <v>773</v>
      </c>
      <c r="O348" s="112">
        <v>45316</v>
      </c>
      <c r="P348" s="33" t="str">
        <f>HYPERLINK("https://my.zakupivli.pro/remote/dispatcher/state_purchase_view/48686004", "UA-2024-01-25-013302-a")</f>
        <v>UA-2024-01-25-013302-a</v>
      </c>
      <c r="Q348" s="111">
        <v>282.64605</v>
      </c>
      <c r="R348" s="111">
        <v>1</v>
      </c>
      <c r="S348" s="111">
        <v>282.64605</v>
      </c>
      <c r="T348" s="112">
        <v>45316</v>
      </c>
      <c r="U348" s="111"/>
      <c r="V348" s="111" t="s">
        <v>59</v>
      </c>
    </row>
    <row r="349" spans="1:22" ht="93.6" x14ac:dyDescent="0.3">
      <c r="A349" s="111">
        <v>346</v>
      </c>
      <c r="B349" s="111" t="s">
        <v>40</v>
      </c>
      <c r="C349" s="44" t="s">
        <v>41</v>
      </c>
      <c r="D349" s="111"/>
      <c r="E349" s="111" t="s">
        <v>88</v>
      </c>
      <c r="F349" s="44" t="s">
        <v>767</v>
      </c>
      <c r="G349" s="111" t="s">
        <v>184</v>
      </c>
      <c r="H349" s="590">
        <v>923.80998</v>
      </c>
      <c r="I349" s="111">
        <v>1</v>
      </c>
      <c r="J349" s="590">
        <v>923.80998</v>
      </c>
      <c r="K349" s="590">
        <v>923.80998</v>
      </c>
      <c r="L349" s="111">
        <v>1</v>
      </c>
      <c r="M349" s="590">
        <v>923.80998</v>
      </c>
      <c r="N349" s="6" t="s">
        <v>774</v>
      </c>
      <c r="O349" s="112">
        <v>45316</v>
      </c>
      <c r="P349" s="33" t="str">
        <f>HYPERLINK("https://my.zakupivli.pro/remote/dispatcher/state_purchase_view/48685781", "UA-2024-01-25-013186-a")</f>
        <v>UA-2024-01-25-013186-a</v>
      </c>
      <c r="Q349" s="111">
        <v>923.80998</v>
      </c>
      <c r="R349" s="111">
        <v>1</v>
      </c>
      <c r="S349" s="111">
        <v>923.80998</v>
      </c>
      <c r="T349" s="112">
        <v>45316</v>
      </c>
      <c r="U349" s="111"/>
      <c r="V349" s="111" t="s">
        <v>59</v>
      </c>
    </row>
    <row r="350" spans="1:22" ht="62.4" x14ac:dyDescent="0.3">
      <c r="A350" s="111">
        <v>347</v>
      </c>
      <c r="B350" s="111" t="s">
        <v>40</v>
      </c>
      <c r="C350" s="44" t="s">
        <v>41</v>
      </c>
      <c r="D350" s="111"/>
      <c r="E350" s="111" t="s">
        <v>88</v>
      </c>
      <c r="F350" s="44" t="s">
        <v>768</v>
      </c>
      <c r="G350" s="111" t="s">
        <v>184</v>
      </c>
      <c r="H350" s="590">
        <v>179.18911</v>
      </c>
      <c r="I350" s="111">
        <v>1</v>
      </c>
      <c r="J350" s="590">
        <v>179.18911</v>
      </c>
      <c r="K350" s="590">
        <v>179.18911</v>
      </c>
      <c r="L350" s="111">
        <v>1</v>
      </c>
      <c r="M350" s="590">
        <v>179.18911</v>
      </c>
      <c r="N350" s="6" t="s">
        <v>775</v>
      </c>
      <c r="O350" s="112">
        <v>45316</v>
      </c>
      <c r="P350" s="33" t="str">
        <f>HYPERLINK("https://my.zakupivli.pro/remote/dispatcher/state_purchase_view/48685400", "UA-2024-01-25-012929-a")</f>
        <v>UA-2024-01-25-012929-a</v>
      </c>
      <c r="Q350" s="111">
        <v>179.18911</v>
      </c>
      <c r="R350" s="111">
        <v>1</v>
      </c>
      <c r="S350" s="111">
        <v>179.18911</v>
      </c>
      <c r="T350" s="112">
        <v>45316</v>
      </c>
      <c r="U350" s="111"/>
      <c r="V350" s="111" t="s">
        <v>59</v>
      </c>
    </row>
    <row r="351" spans="1:22" ht="62.4" x14ac:dyDescent="0.3">
      <c r="A351" s="113">
        <v>348</v>
      </c>
      <c r="B351" s="113" t="s">
        <v>21</v>
      </c>
      <c r="C351" s="44" t="s">
        <v>32</v>
      </c>
      <c r="D351" s="113"/>
      <c r="E351" s="113" t="s">
        <v>75</v>
      </c>
      <c r="F351" s="44" t="s">
        <v>776</v>
      </c>
      <c r="G351" s="113" t="s">
        <v>21</v>
      </c>
      <c r="H351" s="590">
        <v>36</v>
      </c>
      <c r="I351" s="113">
        <v>2</v>
      </c>
      <c r="J351" s="590">
        <v>72</v>
      </c>
      <c r="K351" s="590">
        <v>36</v>
      </c>
      <c r="L351" s="113">
        <v>2</v>
      </c>
      <c r="M351" s="590">
        <v>72</v>
      </c>
      <c r="N351" s="6" t="s">
        <v>777</v>
      </c>
      <c r="O351" s="114">
        <v>45320</v>
      </c>
      <c r="P351" s="33" t="str">
        <f>HYPERLINK("https://my.zakupivli.pro/remote/dispatcher/state_purchase_view/48742399", "UA-2024-01-29-003400-a")</f>
        <v>UA-2024-01-29-003400-a</v>
      </c>
      <c r="Q351" s="117">
        <v>36</v>
      </c>
      <c r="R351" s="113">
        <v>2</v>
      </c>
      <c r="S351" s="117">
        <v>72</v>
      </c>
      <c r="T351" s="114">
        <v>45320</v>
      </c>
      <c r="U351" s="113"/>
      <c r="V351" s="113" t="s">
        <v>59</v>
      </c>
    </row>
    <row r="352" spans="1:22" ht="62.4" x14ac:dyDescent="0.3">
      <c r="A352" s="115">
        <v>349</v>
      </c>
      <c r="B352" s="115" t="s">
        <v>40</v>
      </c>
      <c r="C352" s="44" t="s">
        <v>41</v>
      </c>
      <c r="D352" s="115"/>
      <c r="E352" s="446" t="s">
        <v>20</v>
      </c>
      <c r="F352" s="44" t="s">
        <v>778</v>
      </c>
      <c r="G352" s="115" t="s">
        <v>184</v>
      </c>
      <c r="H352" s="590">
        <v>303.98403999999999</v>
      </c>
      <c r="I352" s="115">
        <v>1</v>
      </c>
      <c r="J352" s="590">
        <v>303.98403999999999</v>
      </c>
      <c r="K352" s="590">
        <v>303.98403999999999</v>
      </c>
      <c r="L352" s="115">
        <v>1</v>
      </c>
      <c r="M352" s="590">
        <v>303.98403999999999</v>
      </c>
      <c r="N352" s="6" t="s">
        <v>779</v>
      </c>
      <c r="O352" s="116">
        <v>45322</v>
      </c>
      <c r="P352" s="33" t="str">
        <f>HYPERLINK("https://my.zakupivli.pro/remote/dispatcher/state_purchase_view/48819624", "UA-2024-01-31-005075-a")</f>
        <v>UA-2024-01-31-005075-a</v>
      </c>
      <c r="Q352" s="115">
        <v>303.98403999999999</v>
      </c>
      <c r="R352" s="115">
        <v>1</v>
      </c>
      <c r="S352" s="115">
        <v>303.98403999999999</v>
      </c>
      <c r="T352" s="116">
        <v>45322</v>
      </c>
      <c r="U352" s="115"/>
      <c r="V352" s="115" t="s">
        <v>59</v>
      </c>
    </row>
    <row r="353" spans="1:22" ht="62.4" x14ac:dyDescent="0.3">
      <c r="A353" s="115">
        <v>350</v>
      </c>
      <c r="B353" s="115" t="s">
        <v>40</v>
      </c>
      <c r="C353" s="44" t="s">
        <v>41</v>
      </c>
      <c r="D353" s="115"/>
      <c r="E353" s="115" t="s">
        <v>88</v>
      </c>
      <c r="F353" s="44" t="s">
        <v>780</v>
      </c>
      <c r="G353" s="115" t="s">
        <v>184</v>
      </c>
      <c r="H353" s="590">
        <v>382.27184999999997</v>
      </c>
      <c r="I353" s="115">
        <v>1</v>
      </c>
      <c r="J353" s="590">
        <v>382.27184999999997</v>
      </c>
      <c r="K353" s="590">
        <v>382.27184999999997</v>
      </c>
      <c r="L353" s="115">
        <v>1</v>
      </c>
      <c r="M353" s="590">
        <v>382.27184999999997</v>
      </c>
      <c r="N353" s="6" t="s">
        <v>781</v>
      </c>
      <c r="O353" s="116">
        <v>45322</v>
      </c>
      <c r="P353" s="33" t="str">
        <f>HYPERLINK("https://my.zakupivli.pro/remote/dispatcher/state_purchase_view/48824211", "UA-2024-01-31-007241-a")</f>
        <v>UA-2024-01-31-007241-a</v>
      </c>
      <c r="Q353" s="115">
        <v>382.27184999999997</v>
      </c>
      <c r="R353" s="115">
        <v>1</v>
      </c>
      <c r="S353" s="115">
        <v>382.27184999999997</v>
      </c>
      <c r="T353" s="116">
        <v>45322</v>
      </c>
      <c r="U353" s="115"/>
      <c r="V353" s="115" t="s">
        <v>59</v>
      </c>
    </row>
    <row r="354" spans="1:22" ht="93.6" x14ac:dyDescent="0.3">
      <c r="A354" s="115">
        <v>351</v>
      </c>
      <c r="B354" s="115" t="s">
        <v>40</v>
      </c>
      <c r="C354" s="44" t="s">
        <v>41</v>
      </c>
      <c r="D354" s="115"/>
      <c r="E354" s="115" t="s">
        <v>88</v>
      </c>
      <c r="F354" s="44" t="s">
        <v>782</v>
      </c>
      <c r="G354" s="115" t="s">
        <v>184</v>
      </c>
      <c r="H354" s="590">
        <v>282.87943000000001</v>
      </c>
      <c r="I354" s="115">
        <v>1</v>
      </c>
      <c r="J354" s="590">
        <v>282.87943000000001</v>
      </c>
      <c r="K354" s="590">
        <v>282.87943000000001</v>
      </c>
      <c r="L354" s="115">
        <v>1</v>
      </c>
      <c r="M354" s="590">
        <v>282.87943000000001</v>
      </c>
      <c r="N354" s="6" t="s">
        <v>783</v>
      </c>
      <c r="O354" s="116">
        <v>45322</v>
      </c>
      <c r="P354" s="33" t="str">
        <f>HYPERLINK("https://my.zakupivli.pro/remote/dispatcher/state_purchase_view/48824354", "UA-2024-01-31-007341-a")</f>
        <v>UA-2024-01-31-007341-a</v>
      </c>
      <c r="Q354" s="115">
        <v>282.87943000000001</v>
      </c>
      <c r="R354" s="115">
        <v>1</v>
      </c>
      <c r="S354" s="115">
        <v>282.87943000000001</v>
      </c>
      <c r="T354" s="116">
        <v>45322</v>
      </c>
      <c r="U354" s="115"/>
      <c r="V354" s="115" t="s">
        <v>59</v>
      </c>
    </row>
    <row r="355" spans="1:22" ht="62.4" x14ac:dyDescent="0.3">
      <c r="A355" s="115">
        <v>352</v>
      </c>
      <c r="B355" s="115" t="s">
        <v>40</v>
      </c>
      <c r="C355" s="44" t="s">
        <v>41</v>
      </c>
      <c r="D355" s="115"/>
      <c r="E355" s="115" t="s">
        <v>88</v>
      </c>
      <c r="F355" s="44" t="s">
        <v>784</v>
      </c>
      <c r="G355" s="115" t="s">
        <v>184</v>
      </c>
      <c r="H355" s="590">
        <v>543.99990000000003</v>
      </c>
      <c r="I355" s="115">
        <v>1</v>
      </c>
      <c r="J355" s="590">
        <v>543.99990000000003</v>
      </c>
      <c r="K355" s="590">
        <v>543.99990000000003</v>
      </c>
      <c r="L355" s="115">
        <v>1</v>
      </c>
      <c r="M355" s="590">
        <v>543.99990000000003</v>
      </c>
      <c r="N355" s="6" t="s">
        <v>786</v>
      </c>
      <c r="O355" s="116">
        <v>45322</v>
      </c>
      <c r="P355" s="120" t="str">
        <f>HYPERLINK("https://my.zakupivli.pro/remote/dispatcher/state_purchase_view/48825205", "UA-2024-01-31-007708-a")</f>
        <v>UA-2024-01-31-007708-a</v>
      </c>
      <c r="Q355" s="115">
        <v>543.99990000000003</v>
      </c>
      <c r="R355" s="115">
        <v>1</v>
      </c>
      <c r="S355" s="115">
        <v>543.99990000000003</v>
      </c>
      <c r="T355" s="116">
        <v>45322</v>
      </c>
      <c r="U355" s="115"/>
      <c r="V355" s="115" t="s">
        <v>59</v>
      </c>
    </row>
    <row r="356" spans="1:22" ht="93.6" x14ac:dyDescent="0.3">
      <c r="A356" s="115">
        <v>353</v>
      </c>
      <c r="B356" s="115" t="s">
        <v>40</v>
      </c>
      <c r="C356" s="44" t="s">
        <v>41</v>
      </c>
      <c r="D356" s="115"/>
      <c r="E356" s="115" t="s">
        <v>88</v>
      </c>
      <c r="F356" s="44" t="s">
        <v>785</v>
      </c>
      <c r="G356" s="115" t="s">
        <v>184</v>
      </c>
      <c r="H356" s="590">
        <v>277.44</v>
      </c>
      <c r="I356" s="115">
        <v>1</v>
      </c>
      <c r="J356" s="590">
        <v>277.44</v>
      </c>
      <c r="K356" s="590">
        <v>277.44</v>
      </c>
      <c r="L356" s="115">
        <v>1</v>
      </c>
      <c r="M356" s="590">
        <v>277.44</v>
      </c>
      <c r="N356" s="6" t="s">
        <v>787</v>
      </c>
      <c r="O356" s="116">
        <v>45322</v>
      </c>
      <c r="P356" s="120" t="str">
        <f>HYPERLINK("https://my.zakupivli.pro/remote/dispatcher/state_purchase_view/48825190", "UA-2024-01-31-007699-a")</f>
        <v>UA-2024-01-31-007699-a</v>
      </c>
      <c r="Q356" s="117">
        <v>277.44</v>
      </c>
      <c r="R356" s="115">
        <v>1</v>
      </c>
      <c r="S356" s="117">
        <v>277.44</v>
      </c>
      <c r="T356" s="116">
        <v>45322</v>
      </c>
      <c r="U356" s="115"/>
      <c r="V356" s="115" t="s">
        <v>59</v>
      </c>
    </row>
    <row r="357" spans="1:22" ht="93.6" x14ac:dyDescent="0.3">
      <c r="A357" s="115">
        <v>354</v>
      </c>
      <c r="B357" s="115" t="s">
        <v>40</v>
      </c>
      <c r="C357" s="44" t="s">
        <v>41</v>
      </c>
      <c r="D357" s="115"/>
      <c r="E357" s="115" t="s">
        <v>88</v>
      </c>
      <c r="F357" s="44" t="s">
        <v>788</v>
      </c>
      <c r="G357" s="115" t="s">
        <v>184</v>
      </c>
      <c r="H357" s="590">
        <v>103.532</v>
      </c>
      <c r="I357" s="115">
        <v>1</v>
      </c>
      <c r="J357" s="590">
        <v>103.532</v>
      </c>
      <c r="K357" s="590">
        <v>103.532</v>
      </c>
      <c r="L357" s="115">
        <v>1</v>
      </c>
      <c r="M357" s="590">
        <v>103.532</v>
      </c>
      <c r="N357" s="6" t="s">
        <v>790</v>
      </c>
      <c r="O357" s="116">
        <v>45322</v>
      </c>
      <c r="P357" s="33" t="str">
        <f>HYPERLINK("https://my.zakupivli.pro/remote/dispatcher/state_purchase_view/48826096", "UA-2024-01-31-008115-a")</f>
        <v>UA-2024-01-31-008115-a</v>
      </c>
      <c r="Q357" s="115">
        <v>103.532</v>
      </c>
      <c r="R357" s="115">
        <v>1</v>
      </c>
      <c r="S357" s="115">
        <v>103.532</v>
      </c>
      <c r="T357" s="116">
        <v>45322</v>
      </c>
      <c r="U357" s="115"/>
      <c r="V357" s="115" t="s">
        <v>59</v>
      </c>
    </row>
    <row r="358" spans="1:22" ht="93.6" x14ac:dyDescent="0.3">
      <c r="A358" s="115">
        <v>355</v>
      </c>
      <c r="B358" s="115" t="s">
        <v>40</v>
      </c>
      <c r="C358" s="44" t="s">
        <v>41</v>
      </c>
      <c r="D358" s="115"/>
      <c r="E358" s="115" t="s">
        <v>88</v>
      </c>
      <c r="F358" s="44" t="s">
        <v>789</v>
      </c>
      <c r="G358" s="115" t="s">
        <v>184</v>
      </c>
      <c r="H358" s="590">
        <v>242.90186</v>
      </c>
      <c r="I358" s="115">
        <v>1</v>
      </c>
      <c r="J358" s="590">
        <v>242.90186</v>
      </c>
      <c r="K358" s="590">
        <v>242.90186</v>
      </c>
      <c r="L358" s="115">
        <v>1</v>
      </c>
      <c r="M358" s="590">
        <v>242.90186</v>
      </c>
      <c r="N358" s="6" t="s">
        <v>791</v>
      </c>
      <c r="O358" s="116">
        <v>45322</v>
      </c>
      <c r="P358" s="33" t="str">
        <f>HYPERLINK("https://my.zakupivli.pro/remote/dispatcher/state_purchase_view/48825340", "UA-2024-01-31-007748-a")</f>
        <v>UA-2024-01-31-007748-a</v>
      </c>
      <c r="Q358" s="115">
        <v>242.90186</v>
      </c>
      <c r="R358" s="115">
        <v>1</v>
      </c>
      <c r="S358" s="115">
        <v>242.90186</v>
      </c>
      <c r="T358" s="116">
        <v>45322</v>
      </c>
      <c r="U358" s="115"/>
      <c r="V358" s="115" t="s">
        <v>59</v>
      </c>
    </row>
    <row r="359" spans="1:22" ht="93.6" x14ac:dyDescent="0.3">
      <c r="A359" s="115">
        <v>356</v>
      </c>
      <c r="B359" s="115" t="s">
        <v>40</v>
      </c>
      <c r="C359" s="44" t="s">
        <v>41</v>
      </c>
      <c r="D359" s="115"/>
      <c r="E359" s="115" t="s">
        <v>88</v>
      </c>
      <c r="F359" s="44" t="s">
        <v>792</v>
      </c>
      <c r="G359" s="115" t="s">
        <v>184</v>
      </c>
      <c r="H359" s="590">
        <v>565.44399999999996</v>
      </c>
      <c r="I359" s="115">
        <v>1</v>
      </c>
      <c r="J359" s="590">
        <v>565.44399999999996</v>
      </c>
      <c r="K359" s="590">
        <v>565.44399999999996</v>
      </c>
      <c r="L359" s="115">
        <v>1</v>
      </c>
      <c r="M359" s="590">
        <v>565.44399999999996</v>
      </c>
      <c r="N359" s="6" t="s">
        <v>793</v>
      </c>
      <c r="O359" s="116">
        <v>45322</v>
      </c>
      <c r="P359" s="33" t="str">
        <f>HYPERLINK("https://my.zakupivli.pro/remote/dispatcher/state_purchase_view/48826700", "UA-2024-01-31-008354-a")</f>
        <v>UA-2024-01-31-008354-a</v>
      </c>
      <c r="Q359" s="115">
        <v>565.44399999999996</v>
      </c>
      <c r="R359" s="115">
        <v>1</v>
      </c>
      <c r="S359" s="115">
        <v>565.44399999999996</v>
      </c>
      <c r="T359" s="116">
        <v>45322</v>
      </c>
      <c r="U359" s="115"/>
      <c r="V359" s="115" t="s">
        <v>59</v>
      </c>
    </row>
    <row r="360" spans="1:22" ht="78" x14ac:dyDescent="0.3">
      <c r="A360" s="115">
        <v>357</v>
      </c>
      <c r="B360" s="115" t="s">
        <v>21</v>
      </c>
      <c r="C360" s="44" t="s">
        <v>734</v>
      </c>
      <c r="D360" s="115" t="s">
        <v>58</v>
      </c>
      <c r="E360" s="115" t="s">
        <v>75</v>
      </c>
      <c r="F360" s="44" t="s">
        <v>794</v>
      </c>
      <c r="G360" s="115" t="s">
        <v>186</v>
      </c>
      <c r="H360" s="590"/>
      <c r="I360" s="115">
        <v>3</v>
      </c>
      <c r="J360" s="590">
        <v>200</v>
      </c>
      <c r="K360" s="590"/>
      <c r="L360" s="115">
        <v>3</v>
      </c>
      <c r="M360" s="590">
        <v>200</v>
      </c>
      <c r="N360" s="6" t="s">
        <v>796</v>
      </c>
      <c r="O360" s="116">
        <v>45322</v>
      </c>
      <c r="P360" s="33" t="str">
        <f>HYPERLINK("https://my.zakupivli.pro/remote/dispatcher/state_purchase_view/48832012", "UA-2024-01-31-010710-a")</f>
        <v>UA-2024-01-31-010710-a</v>
      </c>
      <c r="Q360" s="115"/>
      <c r="R360" s="115">
        <v>3</v>
      </c>
      <c r="S360" s="115">
        <v>169.96600000000001</v>
      </c>
      <c r="T360" s="116">
        <v>45341</v>
      </c>
      <c r="U360" s="115"/>
      <c r="V360" s="115"/>
    </row>
    <row r="361" spans="1:22" ht="78" x14ac:dyDescent="0.3">
      <c r="A361" s="115">
        <v>358</v>
      </c>
      <c r="B361" s="115" t="s">
        <v>21</v>
      </c>
      <c r="C361" s="44" t="s">
        <v>734</v>
      </c>
      <c r="D361" s="115" t="s">
        <v>58</v>
      </c>
      <c r="E361" s="115" t="s">
        <v>75</v>
      </c>
      <c r="F361" s="44" t="s">
        <v>795</v>
      </c>
      <c r="G361" s="115" t="s">
        <v>186</v>
      </c>
      <c r="H361" s="590"/>
      <c r="I361" s="115">
        <v>15</v>
      </c>
      <c r="J361" s="590">
        <v>350</v>
      </c>
      <c r="K361" s="590"/>
      <c r="L361" s="115">
        <v>15</v>
      </c>
      <c r="M361" s="590">
        <v>350</v>
      </c>
      <c r="N361" s="6" t="s">
        <v>796</v>
      </c>
      <c r="O361" s="116">
        <v>45322</v>
      </c>
      <c r="P361" s="33" t="str">
        <f>HYPERLINK("https://my.zakupivli.pro/remote/dispatcher/state_purchase_view/48832012", "UA-2024-01-31-010710-a")</f>
        <v>UA-2024-01-31-010710-a</v>
      </c>
      <c r="Q361" s="115"/>
      <c r="R361" s="115">
        <v>15</v>
      </c>
      <c r="S361" s="115">
        <v>298.35000000000002</v>
      </c>
      <c r="T361" s="134">
        <v>45341</v>
      </c>
      <c r="U361" s="115"/>
      <c r="V361" s="115"/>
    </row>
    <row r="362" spans="1:22" ht="62.4" x14ac:dyDescent="0.3">
      <c r="A362" s="115">
        <v>359</v>
      </c>
      <c r="B362" s="118" t="s">
        <v>40</v>
      </c>
      <c r="C362" s="44" t="s">
        <v>517</v>
      </c>
      <c r="D362" s="115"/>
      <c r="E362" s="118" t="s">
        <v>75</v>
      </c>
      <c r="F362" s="41" t="s">
        <v>797</v>
      </c>
      <c r="G362" s="118" t="s">
        <v>184</v>
      </c>
      <c r="H362" s="590">
        <v>163.86313000000001</v>
      </c>
      <c r="I362" s="115">
        <v>1</v>
      </c>
      <c r="J362" s="590">
        <v>163.86313000000001</v>
      </c>
      <c r="K362" s="590">
        <v>163.86313000000001</v>
      </c>
      <c r="L362" s="118">
        <v>1</v>
      </c>
      <c r="M362" s="590">
        <v>163.86313000000001</v>
      </c>
      <c r="N362" s="6" t="s">
        <v>798</v>
      </c>
      <c r="O362" s="116">
        <v>45323</v>
      </c>
      <c r="P362" s="42" t="str">
        <f>HYPERLINK("https://my.zakupivli.pro/remote/dispatcher/state_purchase_view/48865177", "UA-2024-02-01-010457-a")</f>
        <v>UA-2024-02-01-010457-a</v>
      </c>
      <c r="Q362" s="118">
        <v>163.86313000000001</v>
      </c>
      <c r="R362" s="118">
        <v>1</v>
      </c>
      <c r="S362" s="118">
        <v>163.86313000000001</v>
      </c>
      <c r="T362" s="119">
        <v>45323</v>
      </c>
      <c r="U362" s="115"/>
      <c r="V362" s="118" t="s">
        <v>59</v>
      </c>
    </row>
    <row r="363" spans="1:22" ht="46.8" x14ac:dyDescent="0.3">
      <c r="A363" s="118">
        <v>360</v>
      </c>
      <c r="B363" s="118" t="s">
        <v>21</v>
      </c>
      <c r="C363" s="41" t="s">
        <v>300</v>
      </c>
      <c r="D363" s="118" t="s">
        <v>58</v>
      </c>
      <c r="E363" s="118" t="s">
        <v>758</v>
      </c>
      <c r="F363" s="44" t="s">
        <v>799</v>
      </c>
      <c r="G363" s="118" t="s">
        <v>186</v>
      </c>
      <c r="H363" s="590"/>
      <c r="I363" s="118">
        <v>6</v>
      </c>
      <c r="J363" s="590">
        <v>787.91250000000002</v>
      </c>
      <c r="K363" s="590"/>
      <c r="L363" s="118">
        <v>6</v>
      </c>
      <c r="M363" s="590">
        <v>787.91250000000002</v>
      </c>
      <c r="N363" s="6" t="s">
        <v>800</v>
      </c>
      <c r="O363" s="119">
        <v>45323</v>
      </c>
      <c r="P363" s="33" t="str">
        <f>HYPERLINK("https://my.zakupivli.pro/remote/dispatcher/state_purchase_view/48871901", "UA-2024-02-01-013304-a")</f>
        <v>UA-2024-02-01-013304-a</v>
      </c>
      <c r="Q363" s="118"/>
      <c r="R363" s="118">
        <v>6</v>
      </c>
      <c r="S363" s="118">
        <v>693.85569999999996</v>
      </c>
      <c r="T363" s="119">
        <v>45342</v>
      </c>
      <c r="U363" s="118"/>
      <c r="V363" s="118"/>
    </row>
    <row r="364" spans="1:22" ht="31.2" x14ac:dyDescent="0.3">
      <c r="A364" s="118">
        <v>361</v>
      </c>
      <c r="B364" s="118" t="s">
        <v>21</v>
      </c>
      <c r="C364" s="44" t="s">
        <v>804</v>
      </c>
      <c r="D364" s="118" t="s">
        <v>58</v>
      </c>
      <c r="E364" s="118" t="s">
        <v>75</v>
      </c>
      <c r="F364" s="44" t="s">
        <v>801</v>
      </c>
      <c r="G364" s="118" t="s">
        <v>186</v>
      </c>
      <c r="H364" s="590">
        <v>135.83332999999999</v>
      </c>
      <c r="I364" s="118">
        <v>1</v>
      </c>
      <c r="J364" s="590">
        <v>135.83332999999999</v>
      </c>
      <c r="K364" s="590">
        <v>135.83332999999999</v>
      </c>
      <c r="L364" s="118">
        <v>1</v>
      </c>
      <c r="M364" s="590">
        <v>135.83332999999999</v>
      </c>
      <c r="N364" s="6" t="s">
        <v>803</v>
      </c>
      <c r="O364" s="119">
        <v>45323</v>
      </c>
      <c r="P364" s="33" t="str">
        <f>HYPERLINK("https://my.zakupivli.pro/remote/dispatcher/state_purchase_view/48872463", "UA-2024-02-01-013588-a")</f>
        <v>UA-2024-02-01-013588-a</v>
      </c>
      <c r="Q364" s="144">
        <v>135.83000000000001</v>
      </c>
      <c r="R364" s="118">
        <v>1</v>
      </c>
      <c r="S364" s="118">
        <v>135.83000000000001</v>
      </c>
      <c r="T364" s="119">
        <v>45337</v>
      </c>
      <c r="U364" s="118"/>
      <c r="V364" s="118"/>
    </row>
    <row r="365" spans="1:22" ht="78" x14ac:dyDescent="0.3">
      <c r="A365" s="118">
        <v>362</v>
      </c>
      <c r="B365" s="118" t="s">
        <v>21</v>
      </c>
      <c r="C365" s="44" t="s">
        <v>804</v>
      </c>
      <c r="D365" s="118" t="s">
        <v>58</v>
      </c>
      <c r="E365" s="118" t="s">
        <v>75</v>
      </c>
      <c r="F365" s="44" t="s">
        <v>802</v>
      </c>
      <c r="G365" s="118" t="s">
        <v>186</v>
      </c>
      <c r="H365" s="590"/>
      <c r="I365" s="118">
        <v>9</v>
      </c>
      <c r="J365" s="590">
        <v>160.80065999999999</v>
      </c>
      <c r="K365" s="590"/>
      <c r="L365" s="118">
        <v>9</v>
      </c>
      <c r="M365" s="590">
        <v>160.80065999999999</v>
      </c>
      <c r="N365" s="6" t="s">
        <v>803</v>
      </c>
      <c r="O365" s="119">
        <v>45323</v>
      </c>
      <c r="P365" s="33" t="str">
        <f>HYPERLINK("https://my.zakupivli.pro/remote/dispatcher/state_purchase_view/48872463", "UA-2024-02-01-013588-a")</f>
        <v>UA-2024-02-01-013588-a</v>
      </c>
      <c r="Q365" s="118"/>
      <c r="R365" s="118"/>
      <c r="S365" s="118"/>
      <c r="T365" s="119"/>
      <c r="U365" s="144" t="s">
        <v>93</v>
      </c>
      <c r="V365" s="118"/>
    </row>
    <row r="366" spans="1:22" ht="62.4" x14ac:dyDescent="0.3">
      <c r="A366" s="118">
        <v>363</v>
      </c>
      <c r="B366" s="118" t="s">
        <v>21</v>
      </c>
      <c r="C366" s="520" t="s">
        <v>405</v>
      </c>
      <c r="D366" s="118" t="s">
        <v>58</v>
      </c>
      <c r="E366" s="118" t="s">
        <v>75</v>
      </c>
      <c r="F366" s="44" t="s">
        <v>806</v>
      </c>
      <c r="G366" s="118" t="s">
        <v>186</v>
      </c>
      <c r="H366" s="590"/>
      <c r="I366" s="118">
        <v>68</v>
      </c>
      <c r="J366" s="590">
        <v>4341.6660000000002</v>
      </c>
      <c r="K366" s="590"/>
      <c r="L366" s="118">
        <v>68</v>
      </c>
      <c r="M366" s="590">
        <v>4341.6660000000002</v>
      </c>
      <c r="N366" s="6" t="s">
        <v>805</v>
      </c>
      <c r="O366" s="119">
        <v>45323</v>
      </c>
      <c r="P366" s="33" t="str">
        <f>HYPERLINK("https://my.zakupivli.pro/remote/dispatcher/state_purchase_view/48872774", "UA-2024-02-01-013687-a")</f>
        <v>UA-2024-02-01-013687-a</v>
      </c>
      <c r="Q366" s="118"/>
      <c r="R366" s="118">
        <v>68</v>
      </c>
      <c r="S366" s="118">
        <v>4305.6054999999997</v>
      </c>
      <c r="T366" s="119">
        <v>45343</v>
      </c>
      <c r="U366" s="118"/>
      <c r="V366" s="118"/>
    </row>
    <row r="367" spans="1:22" ht="187.2" x14ac:dyDescent="0.3">
      <c r="A367" s="118">
        <v>364</v>
      </c>
      <c r="B367" s="122" t="s">
        <v>40</v>
      </c>
      <c r="C367" s="44" t="s">
        <v>41</v>
      </c>
      <c r="D367" s="122" t="s">
        <v>58</v>
      </c>
      <c r="E367" s="122" t="s">
        <v>88</v>
      </c>
      <c r="F367" s="44" t="s">
        <v>807</v>
      </c>
      <c r="G367" s="122" t="s">
        <v>184</v>
      </c>
      <c r="H367" s="590">
        <v>2583.86</v>
      </c>
      <c r="I367" s="118">
        <v>1</v>
      </c>
      <c r="J367" s="590">
        <v>2583.86</v>
      </c>
      <c r="K367" s="590">
        <v>2583.86</v>
      </c>
      <c r="L367" s="122">
        <v>1</v>
      </c>
      <c r="M367" s="590">
        <v>2583.86</v>
      </c>
      <c r="N367" s="6" t="s">
        <v>808</v>
      </c>
      <c r="O367" s="119">
        <v>45324</v>
      </c>
      <c r="P367" s="33" t="str">
        <f>HYPERLINK("https://my.zakupivli.pro/remote/dispatcher/state_purchase_view/48907510", "UA-2024-02-02-013046-a")</f>
        <v>UA-2024-02-02-013046-a</v>
      </c>
      <c r="Q367" s="122">
        <v>2567.0527400000001</v>
      </c>
      <c r="R367" s="122">
        <v>1</v>
      </c>
      <c r="S367" s="189">
        <v>2567.0527400000001</v>
      </c>
      <c r="T367" s="119">
        <v>45359</v>
      </c>
      <c r="U367" s="118"/>
      <c r="V367" s="118"/>
    </row>
    <row r="368" spans="1:22" ht="187.2" x14ac:dyDescent="0.3">
      <c r="A368" s="122">
        <v>365</v>
      </c>
      <c r="B368" s="122" t="s">
        <v>40</v>
      </c>
      <c r="C368" s="44" t="s">
        <v>41</v>
      </c>
      <c r="D368" s="122" t="s">
        <v>58</v>
      </c>
      <c r="E368" s="122" t="s">
        <v>88</v>
      </c>
      <c r="F368" s="44" t="s">
        <v>809</v>
      </c>
      <c r="G368" s="122" t="s">
        <v>184</v>
      </c>
      <c r="H368" s="590">
        <v>1958.6</v>
      </c>
      <c r="I368" s="122">
        <v>1</v>
      </c>
      <c r="J368" s="590">
        <v>1958.6</v>
      </c>
      <c r="K368" s="590">
        <v>1958.6</v>
      </c>
      <c r="L368" s="122">
        <v>1</v>
      </c>
      <c r="M368" s="590">
        <v>1958.6</v>
      </c>
      <c r="N368" s="6" t="s">
        <v>808</v>
      </c>
      <c r="O368" s="121">
        <v>45324</v>
      </c>
      <c r="P368" s="33" t="str">
        <f>HYPERLINK("https://my.zakupivli.pro/remote/dispatcher/state_purchase_view/48907510", "UA-2024-02-02-013046-a")</f>
        <v>UA-2024-02-02-013046-a</v>
      </c>
      <c r="Q368" s="122">
        <v>1931.6126200000001</v>
      </c>
      <c r="R368" s="122">
        <v>1</v>
      </c>
      <c r="S368" s="189">
        <v>1931.6126200000001</v>
      </c>
      <c r="T368" s="188">
        <v>45359</v>
      </c>
      <c r="U368" s="122"/>
      <c r="V368" s="122"/>
    </row>
    <row r="369" spans="1:22" ht="140.4" x14ac:dyDescent="0.3">
      <c r="A369" s="122">
        <v>366</v>
      </c>
      <c r="B369" s="122" t="s">
        <v>40</v>
      </c>
      <c r="C369" s="44" t="s">
        <v>41</v>
      </c>
      <c r="D369" s="122" t="s">
        <v>58</v>
      </c>
      <c r="E369" s="122" t="s">
        <v>88</v>
      </c>
      <c r="F369" s="44" t="s">
        <v>810</v>
      </c>
      <c r="G369" s="122" t="s">
        <v>184</v>
      </c>
      <c r="H369" s="590">
        <v>4673.54</v>
      </c>
      <c r="I369" s="122">
        <v>1</v>
      </c>
      <c r="J369" s="590">
        <v>4673.54</v>
      </c>
      <c r="K369" s="590">
        <v>4673.54</v>
      </c>
      <c r="L369" s="122">
        <v>1</v>
      </c>
      <c r="M369" s="590">
        <v>4673.54</v>
      </c>
      <c r="N369" s="6" t="s">
        <v>811</v>
      </c>
      <c r="O369" s="121">
        <v>45324</v>
      </c>
      <c r="P369" s="33" t="str">
        <f>HYPERLINK("https://my.zakupivli.pro/remote/dispatcher/state_purchase_view/48907505", "UA-2024-02-02-013037-a")</f>
        <v>UA-2024-02-02-013037-a</v>
      </c>
      <c r="Q369" s="122">
        <v>4671.54817</v>
      </c>
      <c r="R369" s="122">
        <v>1</v>
      </c>
      <c r="S369" s="144">
        <v>4671.54817</v>
      </c>
      <c r="T369" s="121">
        <v>45345</v>
      </c>
      <c r="U369" s="122"/>
      <c r="V369" s="122"/>
    </row>
    <row r="370" spans="1:22" ht="109.2" x14ac:dyDescent="0.3">
      <c r="A370" s="122">
        <v>367</v>
      </c>
      <c r="B370" s="122" t="s">
        <v>40</v>
      </c>
      <c r="C370" s="44" t="s">
        <v>41</v>
      </c>
      <c r="D370" s="122" t="s">
        <v>58</v>
      </c>
      <c r="E370" s="122" t="s">
        <v>88</v>
      </c>
      <c r="F370" s="44" t="s">
        <v>812</v>
      </c>
      <c r="G370" s="122" t="s">
        <v>184</v>
      </c>
      <c r="H370" s="590">
        <v>1456.78683</v>
      </c>
      <c r="I370" s="122">
        <v>1</v>
      </c>
      <c r="J370" s="590">
        <v>1456.78683</v>
      </c>
      <c r="K370" s="590">
        <v>1456.78683</v>
      </c>
      <c r="L370" s="122">
        <v>1</v>
      </c>
      <c r="M370" s="590">
        <v>1456.78683</v>
      </c>
      <c r="N370" s="6" t="s">
        <v>813</v>
      </c>
      <c r="O370" s="121">
        <v>45324</v>
      </c>
      <c r="P370" s="42" t="str">
        <f>HYPERLINK("https://my.zakupivli.pro/remote/dispatcher/state_purchase_view/48907317", "UA-2024-02-02-012973-a")</f>
        <v>UA-2024-02-02-012973-a</v>
      </c>
      <c r="Q370" s="122">
        <v>1351.3407400000001</v>
      </c>
      <c r="R370" s="122">
        <v>1</v>
      </c>
      <c r="S370" s="144">
        <v>1351.3407400000001</v>
      </c>
      <c r="T370" s="121">
        <v>45341</v>
      </c>
      <c r="U370" s="122"/>
      <c r="V370" s="122"/>
    </row>
    <row r="371" spans="1:22" ht="140.4" x14ac:dyDescent="0.3">
      <c r="A371" s="122">
        <v>368</v>
      </c>
      <c r="B371" s="122" t="s">
        <v>40</v>
      </c>
      <c r="C371" s="44" t="s">
        <v>41</v>
      </c>
      <c r="D371" s="122" t="s">
        <v>58</v>
      </c>
      <c r="E371" s="122" t="s">
        <v>88</v>
      </c>
      <c r="F371" s="44" t="s">
        <v>814</v>
      </c>
      <c r="G371" s="122" t="s">
        <v>184</v>
      </c>
      <c r="H371" s="590">
        <v>2280.23</v>
      </c>
      <c r="I371" s="122">
        <v>1</v>
      </c>
      <c r="J371" s="590">
        <v>2280.23</v>
      </c>
      <c r="K371" s="590">
        <v>2280.23</v>
      </c>
      <c r="L371" s="122">
        <v>1</v>
      </c>
      <c r="M371" s="590">
        <v>2280.23</v>
      </c>
      <c r="N371" s="6" t="s">
        <v>815</v>
      </c>
      <c r="O371" s="121">
        <v>45324</v>
      </c>
      <c r="P371" s="33" t="str">
        <f>HYPERLINK("https://my.zakupivli.pro/remote/dispatcher/state_purchase_view/48907249", "UA-2024-02-02-012931-a")</f>
        <v>UA-2024-02-02-012931-a</v>
      </c>
      <c r="Q371" s="122">
        <v>2208.3333299999999</v>
      </c>
      <c r="R371" s="122">
        <v>1</v>
      </c>
      <c r="S371" s="189">
        <v>2208.3333299999999</v>
      </c>
      <c r="T371" s="121">
        <v>45358</v>
      </c>
      <c r="U371" s="122"/>
      <c r="V371" s="122"/>
    </row>
    <row r="372" spans="1:22" ht="234" x14ac:dyDescent="0.3">
      <c r="A372" s="122">
        <v>369</v>
      </c>
      <c r="B372" s="122" t="s">
        <v>40</v>
      </c>
      <c r="C372" s="44" t="s">
        <v>41</v>
      </c>
      <c r="D372" s="122" t="s">
        <v>58</v>
      </c>
      <c r="E372" s="122" t="s">
        <v>88</v>
      </c>
      <c r="F372" s="44" t="s">
        <v>816</v>
      </c>
      <c r="G372" s="122" t="s">
        <v>184</v>
      </c>
      <c r="H372" s="590">
        <v>1505.6904</v>
      </c>
      <c r="I372" s="122">
        <v>1</v>
      </c>
      <c r="J372" s="590">
        <v>1505.6904</v>
      </c>
      <c r="K372" s="590">
        <v>1505.6904</v>
      </c>
      <c r="L372" s="122">
        <v>1</v>
      </c>
      <c r="M372" s="590">
        <v>1505.6904</v>
      </c>
      <c r="N372" s="6" t="s">
        <v>820</v>
      </c>
      <c r="O372" s="121">
        <v>45324</v>
      </c>
      <c r="P372" s="33" t="str">
        <f>HYPERLINK("https://my.zakupivli.pro/remote/dispatcher/state_purchase_view/48906477", "UA-2024-02-02-012574-a")</f>
        <v>UA-2024-02-02-012574-a</v>
      </c>
      <c r="Q372" s="122">
        <v>1505.5498399999999</v>
      </c>
      <c r="R372" s="122">
        <v>1</v>
      </c>
      <c r="S372" s="144">
        <v>1505.5498399999999</v>
      </c>
      <c r="T372" s="121">
        <v>45345</v>
      </c>
      <c r="U372" s="122"/>
      <c r="V372" s="122"/>
    </row>
    <row r="373" spans="1:22" ht="234" x14ac:dyDescent="0.3">
      <c r="A373" s="122">
        <v>370</v>
      </c>
      <c r="B373" s="122" t="s">
        <v>40</v>
      </c>
      <c r="C373" s="44" t="s">
        <v>41</v>
      </c>
      <c r="D373" s="122" t="s">
        <v>58</v>
      </c>
      <c r="E373" s="122" t="s">
        <v>88</v>
      </c>
      <c r="F373" s="44" t="s">
        <v>817</v>
      </c>
      <c r="G373" s="122" t="s">
        <v>184</v>
      </c>
      <c r="H373" s="590">
        <v>3363.5384899999999</v>
      </c>
      <c r="I373" s="122">
        <v>1</v>
      </c>
      <c r="J373" s="590">
        <v>3363.5384899999999</v>
      </c>
      <c r="K373" s="590">
        <v>3363.5384899999999</v>
      </c>
      <c r="L373" s="122">
        <v>1</v>
      </c>
      <c r="M373" s="590">
        <v>3363.5384899999999</v>
      </c>
      <c r="N373" s="6" t="s">
        <v>820</v>
      </c>
      <c r="O373" s="121">
        <v>45324</v>
      </c>
      <c r="P373" s="33" t="str">
        <f>HYPERLINK("https://my.zakupivli.pro/remote/dispatcher/state_purchase_view/48906477", "UA-2024-02-02-012574-a")</f>
        <v>UA-2024-02-02-012574-a</v>
      </c>
      <c r="Q373" s="122">
        <v>3363.5246499999998</v>
      </c>
      <c r="R373" s="122">
        <v>1</v>
      </c>
      <c r="S373" s="144">
        <v>3363.5246499999998</v>
      </c>
      <c r="T373" s="145">
        <v>45345</v>
      </c>
      <c r="U373" s="122"/>
      <c r="V373" s="122"/>
    </row>
    <row r="374" spans="1:22" ht="234" x14ac:dyDescent="0.3">
      <c r="A374" s="122">
        <v>371</v>
      </c>
      <c r="B374" s="122" t="s">
        <v>40</v>
      </c>
      <c r="C374" s="44" t="s">
        <v>41</v>
      </c>
      <c r="D374" s="122" t="s">
        <v>58</v>
      </c>
      <c r="E374" s="122" t="s">
        <v>88</v>
      </c>
      <c r="F374" s="44" t="s">
        <v>818</v>
      </c>
      <c r="G374" s="122" t="s">
        <v>184</v>
      </c>
      <c r="H374" s="590">
        <v>3330.2784900000001</v>
      </c>
      <c r="I374" s="122">
        <v>1</v>
      </c>
      <c r="J374" s="590">
        <v>3330.2784900000001</v>
      </c>
      <c r="K374" s="590">
        <v>3330.2784900000001</v>
      </c>
      <c r="L374" s="122">
        <v>1</v>
      </c>
      <c r="M374" s="590">
        <v>3330.2784900000001</v>
      </c>
      <c r="N374" s="6" t="s">
        <v>820</v>
      </c>
      <c r="O374" s="121">
        <v>45324</v>
      </c>
      <c r="P374" s="33" t="str">
        <f>HYPERLINK("https://my.zakupivli.pro/remote/dispatcher/state_purchase_view/48906477", "UA-2024-02-02-012574-a")</f>
        <v>UA-2024-02-02-012574-a</v>
      </c>
      <c r="Q374" s="122">
        <v>3330.23414</v>
      </c>
      <c r="R374" s="122">
        <v>1</v>
      </c>
      <c r="S374" s="144">
        <v>3330.23414</v>
      </c>
      <c r="T374" s="145">
        <v>45345</v>
      </c>
      <c r="U374" s="122"/>
      <c r="V374" s="122"/>
    </row>
    <row r="375" spans="1:22" ht="234" x14ac:dyDescent="0.3">
      <c r="A375" s="122">
        <v>372</v>
      </c>
      <c r="B375" s="122" t="s">
        <v>40</v>
      </c>
      <c r="C375" s="44" t="s">
        <v>41</v>
      </c>
      <c r="D375" s="122" t="s">
        <v>58</v>
      </c>
      <c r="E375" s="122" t="s">
        <v>88</v>
      </c>
      <c r="F375" s="44" t="s">
        <v>819</v>
      </c>
      <c r="G375" s="122" t="s">
        <v>184</v>
      </c>
      <c r="H375" s="590">
        <v>2156.20631</v>
      </c>
      <c r="I375" s="122">
        <v>1</v>
      </c>
      <c r="J375" s="590">
        <v>2156.20631</v>
      </c>
      <c r="K375" s="590">
        <v>2156.20631</v>
      </c>
      <c r="L375" s="122">
        <v>1</v>
      </c>
      <c r="M375" s="590">
        <v>2156.20631</v>
      </c>
      <c r="N375" s="6" t="s">
        <v>820</v>
      </c>
      <c r="O375" s="121">
        <v>45324</v>
      </c>
      <c r="P375" s="33" t="str">
        <f>HYPERLINK("https://my.zakupivli.pro/remote/dispatcher/state_purchase_view/48906477", "UA-2024-02-02-012574-a")</f>
        <v>UA-2024-02-02-012574-a</v>
      </c>
      <c r="Q375" s="122">
        <v>2156.0509999999999</v>
      </c>
      <c r="R375" s="122">
        <v>1</v>
      </c>
      <c r="S375" s="144">
        <v>2156.0509999999999</v>
      </c>
      <c r="T375" s="145">
        <v>45345</v>
      </c>
      <c r="U375" s="122"/>
      <c r="V375" s="122"/>
    </row>
    <row r="376" spans="1:22" ht="140.4" x14ac:dyDescent="0.3">
      <c r="A376" s="122">
        <v>373</v>
      </c>
      <c r="B376" s="122" t="s">
        <v>40</v>
      </c>
      <c r="C376" s="44" t="s">
        <v>41</v>
      </c>
      <c r="D376" s="122" t="s">
        <v>58</v>
      </c>
      <c r="E376" s="122" t="s">
        <v>88</v>
      </c>
      <c r="F376" s="44" t="s">
        <v>821</v>
      </c>
      <c r="G376" s="122" t="s">
        <v>184</v>
      </c>
      <c r="H376" s="590">
        <v>5482.5</v>
      </c>
      <c r="I376" s="122">
        <v>1</v>
      </c>
      <c r="J376" s="590">
        <v>5482.5</v>
      </c>
      <c r="K376" s="590">
        <v>5482.5</v>
      </c>
      <c r="L376" s="122">
        <v>1</v>
      </c>
      <c r="M376" s="590">
        <v>5482.5</v>
      </c>
      <c r="N376" s="6" t="s">
        <v>822</v>
      </c>
      <c r="O376" s="121">
        <v>45324</v>
      </c>
      <c r="P376" s="42" t="str">
        <f>HYPERLINK("https://my.zakupivli.pro/remote/dispatcher/state_purchase_view/48906433", "UA-2024-02-02-012545-a")</f>
        <v>UA-2024-02-02-012545-a</v>
      </c>
      <c r="Q376" s="122">
        <v>5395.5066699999998</v>
      </c>
      <c r="R376" s="122">
        <v>1</v>
      </c>
      <c r="S376" s="189">
        <v>5395.5066699999998</v>
      </c>
      <c r="T376" s="121">
        <v>45358</v>
      </c>
      <c r="U376" s="122"/>
      <c r="V376" s="122"/>
    </row>
    <row r="377" spans="1:22" ht="218.4" x14ac:dyDescent="0.3">
      <c r="A377" s="122">
        <v>374</v>
      </c>
      <c r="B377" s="122" t="s">
        <v>40</v>
      </c>
      <c r="C377" s="44" t="s">
        <v>41</v>
      </c>
      <c r="D377" s="122" t="s">
        <v>58</v>
      </c>
      <c r="E377" s="122" t="s">
        <v>88</v>
      </c>
      <c r="F377" s="44" t="s">
        <v>823</v>
      </c>
      <c r="G377" s="122" t="s">
        <v>184</v>
      </c>
      <c r="H377" s="590">
        <v>2525.36</v>
      </c>
      <c r="I377" s="122">
        <v>1</v>
      </c>
      <c r="J377" s="590">
        <v>2525.36</v>
      </c>
      <c r="K377" s="590">
        <v>2525.36</v>
      </c>
      <c r="L377" s="122">
        <v>1</v>
      </c>
      <c r="M377" s="590">
        <v>2525.36</v>
      </c>
      <c r="N377" s="6" t="s">
        <v>825</v>
      </c>
      <c r="O377" s="121">
        <v>45324</v>
      </c>
      <c r="P377" s="33" t="str">
        <f>HYPERLINK("https://my.zakupivli.pro/remote/dispatcher/state_purchase_view/48906057", "UA-2024-02-02-012435-a")</f>
        <v>UA-2024-02-02-012435-a</v>
      </c>
      <c r="Q377" s="122">
        <v>2525.2122399999998</v>
      </c>
      <c r="R377" s="122">
        <v>1</v>
      </c>
      <c r="S377" s="144">
        <v>2525.2122399999998</v>
      </c>
      <c r="T377" s="121">
        <v>45345</v>
      </c>
      <c r="U377" s="122"/>
      <c r="V377" s="122"/>
    </row>
    <row r="378" spans="1:22" ht="218.4" x14ac:dyDescent="0.3">
      <c r="A378" s="122">
        <v>375</v>
      </c>
      <c r="B378" s="122" t="s">
        <v>40</v>
      </c>
      <c r="C378" s="44" t="s">
        <v>41</v>
      </c>
      <c r="D378" s="122" t="s">
        <v>58</v>
      </c>
      <c r="E378" s="122" t="s">
        <v>88</v>
      </c>
      <c r="F378" s="44" t="s">
        <v>824</v>
      </c>
      <c r="G378" s="122" t="s">
        <v>184</v>
      </c>
      <c r="H378" s="590">
        <v>7262.14</v>
      </c>
      <c r="I378" s="122">
        <v>1</v>
      </c>
      <c r="J378" s="590">
        <v>7262.14</v>
      </c>
      <c r="K378" s="590">
        <v>7262.14</v>
      </c>
      <c r="L378" s="122">
        <v>1</v>
      </c>
      <c r="M378" s="590">
        <v>7262.14</v>
      </c>
      <c r="N378" s="6" t="s">
        <v>825</v>
      </c>
      <c r="O378" s="121">
        <v>45324</v>
      </c>
      <c r="P378" s="33" t="str">
        <f>HYPERLINK("https://my.zakupivli.pro/remote/dispatcher/state_purchase_view/48906057", "UA-2024-02-02-012435-a")</f>
        <v>UA-2024-02-02-012435-a</v>
      </c>
      <c r="Q378" s="122">
        <v>7082.54709</v>
      </c>
      <c r="R378" s="122">
        <v>1</v>
      </c>
      <c r="S378" s="144">
        <v>7082.54709</v>
      </c>
      <c r="T378" s="145">
        <v>45345</v>
      </c>
      <c r="U378" s="122"/>
      <c r="V378" s="122"/>
    </row>
    <row r="379" spans="1:22" ht="140.4" x14ac:dyDescent="0.3">
      <c r="A379" s="122">
        <v>376</v>
      </c>
      <c r="B379" s="122" t="s">
        <v>40</v>
      </c>
      <c r="C379" s="44" t="s">
        <v>41</v>
      </c>
      <c r="D379" s="122" t="s">
        <v>58</v>
      </c>
      <c r="E379" s="122" t="s">
        <v>88</v>
      </c>
      <c r="F379" s="44" t="s">
        <v>826</v>
      </c>
      <c r="G379" s="122" t="s">
        <v>184</v>
      </c>
      <c r="H379" s="590">
        <v>3379.05</v>
      </c>
      <c r="I379" s="122">
        <v>1</v>
      </c>
      <c r="J379" s="590">
        <v>3379.05</v>
      </c>
      <c r="K379" s="590">
        <v>3379.05</v>
      </c>
      <c r="L379" s="122">
        <v>1</v>
      </c>
      <c r="M379" s="590">
        <v>3379.05</v>
      </c>
      <c r="N379" s="6" t="s">
        <v>827</v>
      </c>
      <c r="O379" s="121">
        <v>45324</v>
      </c>
      <c r="P379" s="33" t="str">
        <f>HYPERLINK("https://my.zakupivli.pro/remote/dispatcher/state_purchase_view/48905507", "UA-2024-02-02-012110-a")</f>
        <v>UA-2024-02-02-012110-a</v>
      </c>
      <c r="Q379" s="122">
        <v>3369.45262</v>
      </c>
      <c r="R379" s="122">
        <v>1</v>
      </c>
      <c r="S379" s="144">
        <v>3369.45262</v>
      </c>
      <c r="T379" s="145">
        <v>45345</v>
      </c>
      <c r="U379" s="122"/>
      <c r="V379" s="122"/>
    </row>
    <row r="380" spans="1:22" ht="140.4" x14ac:dyDescent="0.3">
      <c r="A380" s="122">
        <v>377</v>
      </c>
      <c r="B380" s="122" t="s">
        <v>40</v>
      </c>
      <c r="C380" s="44" t="s">
        <v>41</v>
      </c>
      <c r="D380" s="122" t="s">
        <v>58</v>
      </c>
      <c r="E380" s="122" t="s">
        <v>88</v>
      </c>
      <c r="F380" s="44" t="s">
        <v>828</v>
      </c>
      <c r="G380" s="122" t="s">
        <v>184</v>
      </c>
      <c r="H380" s="590">
        <v>5108.74</v>
      </c>
      <c r="I380" s="122">
        <v>1</v>
      </c>
      <c r="J380" s="590">
        <v>5108.74</v>
      </c>
      <c r="K380" s="590">
        <v>5108.74</v>
      </c>
      <c r="L380" s="122">
        <v>1</v>
      </c>
      <c r="M380" s="590">
        <v>5108.74</v>
      </c>
      <c r="N380" s="6" t="s">
        <v>829</v>
      </c>
      <c r="O380" s="121">
        <v>45324</v>
      </c>
      <c r="P380" s="33" t="str">
        <f>HYPERLINK("https://my.zakupivli.pro/remote/dispatcher/state_purchase_view/48905205", "UA-2024-02-02-011984-a")</f>
        <v>UA-2024-02-02-011984-a</v>
      </c>
      <c r="Q380" s="122">
        <v>5108.5941199999997</v>
      </c>
      <c r="R380" s="122">
        <v>1</v>
      </c>
      <c r="S380" s="144">
        <v>5108.5941199999997</v>
      </c>
      <c r="T380" s="121">
        <v>45345</v>
      </c>
      <c r="U380" s="122"/>
      <c r="V380" s="122"/>
    </row>
    <row r="381" spans="1:22" ht="124.8" x14ac:dyDescent="0.3">
      <c r="A381" s="122">
        <v>378</v>
      </c>
      <c r="B381" s="122" t="s">
        <v>40</v>
      </c>
      <c r="C381" s="44" t="s">
        <v>41</v>
      </c>
      <c r="D381" s="122" t="s">
        <v>58</v>
      </c>
      <c r="E381" s="122" t="s">
        <v>88</v>
      </c>
      <c r="F381" s="44" t="s">
        <v>830</v>
      </c>
      <c r="G381" s="122" t="s">
        <v>184</v>
      </c>
      <c r="H381" s="590">
        <v>3600.39</v>
      </c>
      <c r="I381" s="122">
        <v>1</v>
      </c>
      <c r="J381" s="590">
        <v>3600.39</v>
      </c>
      <c r="K381" s="590">
        <v>3600.39</v>
      </c>
      <c r="L381" s="122">
        <v>1</v>
      </c>
      <c r="M381" s="590">
        <v>3600.39</v>
      </c>
      <c r="N381" s="6" t="s">
        <v>831</v>
      </c>
      <c r="O381" s="121">
        <v>45324</v>
      </c>
      <c r="P381" s="33" t="str">
        <f>HYPERLINK("https://my.zakupivli.pro/remote/dispatcher/state_purchase_view/48904634", "UA-2024-02-02-011751-a")</f>
        <v>UA-2024-02-02-011751-a</v>
      </c>
      <c r="Q381" s="122">
        <v>3595.6838499999999</v>
      </c>
      <c r="R381" s="122">
        <v>1</v>
      </c>
      <c r="S381" s="144">
        <v>3595.6838499999999</v>
      </c>
      <c r="T381" s="121">
        <v>45343</v>
      </c>
      <c r="U381" s="122"/>
      <c r="V381" s="122"/>
    </row>
    <row r="382" spans="1:22" ht="109.2" x14ac:dyDescent="0.3">
      <c r="A382" s="122">
        <v>379</v>
      </c>
      <c r="B382" s="122" t="s">
        <v>40</v>
      </c>
      <c r="C382" s="44" t="s">
        <v>41</v>
      </c>
      <c r="D382" s="122" t="s">
        <v>58</v>
      </c>
      <c r="E382" s="122" t="s">
        <v>88</v>
      </c>
      <c r="F382" s="44" t="s">
        <v>832</v>
      </c>
      <c r="G382" s="122" t="s">
        <v>184</v>
      </c>
      <c r="H382" s="590">
        <v>3061.681</v>
      </c>
      <c r="I382" s="122">
        <v>1</v>
      </c>
      <c r="J382" s="590">
        <v>3061.681</v>
      </c>
      <c r="K382" s="590">
        <v>3061.681</v>
      </c>
      <c r="L382" s="122">
        <v>1</v>
      </c>
      <c r="M382" s="590">
        <v>3061.681</v>
      </c>
      <c r="N382" s="6" t="s">
        <v>833</v>
      </c>
      <c r="O382" s="121">
        <v>45324</v>
      </c>
      <c r="P382" s="33" t="str">
        <f>HYPERLINK("https://my.zakupivli.pro/remote/dispatcher/state_purchase_view/48904467", "UA-2024-02-02-011638-a")</f>
        <v>UA-2024-02-02-011638-a</v>
      </c>
      <c r="Q382" s="122">
        <v>3047.6784499999999</v>
      </c>
      <c r="R382" s="122">
        <v>1</v>
      </c>
      <c r="S382" s="144">
        <v>3047.6784499999999</v>
      </c>
      <c r="T382" s="121">
        <v>45342</v>
      </c>
      <c r="U382" s="122"/>
      <c r="V382" s="122"/>
    </row>
    <row r="383" spans="1:22" ht="109.2" x14ac:dyDescent="0.3">
      <c r="A383" s="122">
        <v>380</v>
      </c>
      <c r="B383" s="122" t="s">
        <v>40</v>
      </c>
      <c r="C383" s="44" t="s">
        <v>41</v>
      </c>
      <c r="D383" s="122" t="s">
        <v>58</v>
      </c>
      <c r="E383" s="122" t="s">
        <v>88</v>
      </c>
      <c r="F383" s="44" t="s">
        <v>834</v>
      </c>
      <c r="G383" s="122" t="s">
        <v>184</v>
      </c>
      <c r="H383" s="590">
        <v>3249.9830000000002</v>
      </c>
      <c r="I383" s="122">
        <v>1</v>
      </c>
      <c r="J383" s="590">
        <v>3249.9830000000002</v>
      </c>
      <c r="K383" s="590">
        <v>3249.9830000000002</v>
      </c>
      <c r="L383" s="122">
        <v>1</v>
      </c>
      <c r="M383" s="590">
        <v>3249.9830000000002</v>
      </c>
      <c r="N383" s="6" t="s">
        <v>835</v>
      </c>
      <c r="O383" s="121">
        <v>45324</v>
      </c>
      <c r="P383" s="33" t="str">
        <f>HYPERLINK("https://my.zakupivli.pro/remote/dispatcher/state_purchase_view/48904066", "UA-2024-02-02-011602-a")</f>
        <v>UA-2024-02-02-011602-a</v>
      </c>
      <c r="Q383" s="122">
        <v>3244.7617</v>
      </c>
      <c r="R383" s="122">
        <v>1</v>
      </c>
      <c r="S383" s="144">
        <v>3244.7617</v>
      </c>
      <c r="T383" s="145">
        <v>45342</v>
      </c>
      <c r="U383" s="122"/>
      <c r="V383" s="122"/>
    </row>
    <row r="384" spans="1:22" ht="202.8" x14ac:dyDescent="0.3">
      <c r="A384" s="122">
        <v>381</v>
      </c>
      <c r="B384" s="122" t="s">
        <v>40</v>
      </c>
      <c r="C384" s="44" t="s">
        <v>41</v>
      </c>
      <c r="D384" s="122" t="s">
        <v>58</v>
      </c>
      <c r="E384" s="122" t="s">
        <v>88</v>
      </c>
      <c r="F384" s="44" t="s">
        <v>836</v>
      </c>
      <c r="G384" s="122" t="s">
        <v>184</v>
      </c>
      <c r="H384" s="590">
        <v>8349.8189399999992</v>
      </c>
      <c r="I384" s="122">
        <v>1</v>
      </c>
      <c r="J384" s="590">
        <v>8349.8189399999992</v>
      </c>
      <c r="K384" s="590">
        <v>8349.8189399999992</v>
      </c>
      <c r="L384" s="122">
        <v>1</v>
      </c>
      <c r="M384" s="590">
        <v>8349.8189399999992</v>
      </c>
      <c r="N384" s="6" t="s">
        <v>838</v>
      </c>
      <c r="O384" s="121">
        <v>45324</v>
      </c>
      <c r="P384" s="33" t="str">
        <f>HYPERLINK("https://my.zakupivli.pro/remote/dispatcher/state_purchase_view/48903944", "UA-2024-02-02-011459-a")</f>
        <v>UA-2024-02-02-011459-a</v>
      </c>
      <c r="Q384" s="122"/>
      <c r="R384" s="122"/>
      <c r="S384" s="122"/>
      <c r="T384" s="121"/>
      <c r="U384" s="129" t="s">
        <v>93</v>
      </c>
      <c r="V384" s="122"/>
    </row>
    <row r="385" spans="1:22" ht="218.4" x14ac:dyDescent="0.3">
      <c r="A385" s="122">
        <v>382</v>
      </c>
      <c r="B385" s="122" t="s">
        <v>40</v>
      </c>
      <c r="C385" s="44" t="s">
        <v>41</v>
      </c>
      <c r="D385" s="122" t="s">
        <v>58</v>
      </c>
      <c r="E385" s="122" t="s">
        <v>88</v>
      </c>
      <c r="F385" s="44" t="s">
        <v>837</v>
      </c>
      <c r="G385" s="122" t="s">
        <v>184</v>
      </c>
      <c r="H385" s="590">
        <v>6432.3817799999997</v>
      </c>
      <c r="I385" s="122">
        <v>1</v>
      </c>
      <c r="J385" s="590">
        <v>6432.3817799999997</v>
      </c>
      <c r="K385" s="590">
        <v>6432.3817799999997</v>
      </c>
      <c r="L385" s="122">
        <v>1</v>
      </c>
      <c r="M385" s="590">
        <v>6432.3817799999997</v>
      </c>
      <c r="N385" s="6" t="s">
        <v>838</v>
      </c>
      <c r="O385" s="121">
        <v>45324</v>
      </c>
      <c r="P385" s="33" t="str">
        <f>HYPERLINK("https://my.zakupivli.pro/remote/dispatcher/state_purchase_view/48903944", "UA-2024-02-02-011459-a")</f>
        <v>UA-2024-02-02-011459-a</v>
      </c>
      <c r="Q385" s="122"/>
      <c r="R385" s="122"/>
      <c r="S385" s="122"/>
      <c r="T385" s="121"/>
      <c r="U385" s="129" t="s">
        <v>93</v>
      </c>
      <c r="V385" s="122"/>
    </row>
    <row r="386" spans="1:22" ht="140.4" x14ac:dyDescent="0.3">
      <c r="A386" s="122">
        <v>383</v>
      </c>
      <c r="B386" s="122" t="s">
        <v>40</v>
      </c>
      <c r="C386" s="44" t="s">
        <v>41</v>
      </c>
      <c r="D386" s="122" t="s">
        <v>58</v>
      </c>
      <c r="E386" s="122" t="s">
        <v>88</v>
      </c>
      <c r="F386" s="44" t="s">
        <v>839</v>
      </c>
      <c r="G386" s="122" t="s">
        <v>184</v>
      </c>
      <c r="H386" s="590">
        <v>1489.52</v>
      </c>
      <c r="I386" s="122">
        <v>1</v>
      </c>
      <c r="J386" s="590">
        <v>1489.52</v>
      </c>
      <c r="K386" s="590">
        <v>1489.52</v>
      </c>
      <c r="L386" s="122">
        <v>1</v>
      </c>
      <c r="M386" s="590">
        <v>1489.52</v>
      </c>
      <c r="N386" s="6" t="s">
        <v>840</v>
      </c>
      <c r="O386" s="121">
        <v>45324</v>
      </c>
      <c r="P386" s="33" t="str">
        <f>HYPERLINK("https://my.zakupivli.pro/remote/dispatcher/state_purchase_view/48903877", "UA-2024-02-02-011398-a")</f>
        <v>UA-2024-02-02-011398-a</v>
      </c>
      <c r="Q386" s="117">
        <v>1375</v>
      </c>
      <c r="R386" s="122">
        <v>1</v>
      </c>
      <c r="S386" s="117">
        <v>1375</v>
      </c>
      <c r="T386" s="121">
        <v>45342</v>
      </c>
      <c r="U386" s="122"/>
      <c r="V386" s="122"/>
    </row>
    <row r="387" spans="1:22" ht="140.4" x14ac:dyDescent="0.3">
      <c r="A387" s="122">
        <v>384</v>
      </c>
      <c r="B387" s="122" t="s">
        <v>40</v>
      </c>
      <c r="C387" s="44" t="s">
        <v>41</v>
      </c>
      <c r="D387" s="122" t="s">
        <v>58</v>
      </c>
      <c r="E387" s="122" t="s">
        <v>88</v>
      </c>
      <c r="F387" s="44" t="s">
        <v>841</v>
      </c>
      <c r="G387" s="122" t="s">
        <v>184</v>
      </c>
      <c r="H387" s="590">
        <v>1842.9317599999999</v>
      </c>
      <c r="I387" s="122">
        <v>1</v>
      </c>
      <c r="J387" s="590">
        <v>1842.9317599999999</v>
      </c>
      <c r="K387" s="590">
        <v>1842.9317599999999</v>
      </c>
      <c r="L387" s="122">
        <v>1</v>
      </c>
      <c r="M387" s="590">
        <v>1842.9317599999999</v>
      </c>
      <c r="N387" s="6" t="s">
        <v>842</v>
      </c>
      <c r="O387" s="121">
        <v>45324</v>
      </c>
      <c r="P387" s="33" t="str">
        <f>HYPERLINK("https://my.zakupivli.pro/remote/dispatcher/state_purchase_view/48903690", "UA-2024-02-02-011282-a")</f>
        <v>UA-2024-02-02-011282-a</v>
      </c>
      <c r="Q387" s="122">
        <v>1545.0863999999999</v>
      </c>
      <c r="R387" s="122">
        <v>1</v>
      </c>
      <c r="S387" s="144">
        <v>1545.0863999999999</v>
      </c>
      <c r="T387" s="145">
        <v>45342</v>
      </c>
      <c r="U387" s="122"/>
      <c r="V387" s="122"/>
    </row>
    <row r="388" spans="1:22" ht="124.8" x14ac:dyDescent="0.3">
      <c r="A388" s="122">
        <v>385</v>
      </c>
      <c r="B388" s="122" t="s">
        <v>40</v>
      </c>
      <c r="C388" s="44" t="s">
        <v>41</v>
      </c>
      <c r="D388" s="122" t="s">
        <v>58</v>
      </c>
      <c r="E388" s="122" t="s">
        <v>88</v>
      </c>
      <c r="F388" s="41" t="s">
        <v>843</v>
      </c>
      <c r="G388" s="122" t="s">
        <v>184</v>
      </c>
      <c r="H388" s="590">
        <v>1965.6579999999999</v>
      </c>
      <c r="I388" s="122">
        <v>1</v>
      </c>
      <c r="J388" s="590">
        <v>1965.6579999999999</v>
      </c>
      <c r="K388" s="590">
        <v>1965.6579999999999</v>
      </c>
      <c r="L388" s="122">
        <v>1</v>
      </c>
      <c r="M388" s="590">
        <v>1965.6579999999999</v>
      </c>
      <c r="N388" s="6" t="s">
        <v>844</v>
      </c>
      <c r="O388" s="121">
        <v>45324</v>
      </c>
      <c r="P388" s="33" t="str">
        <f>HYPERLINK("https://my.zakupivli.pro/remote/dispatcher/state_purchase_view/48903252", "UA-2024-02-02-011124-a")</f>
        <v>UA-2024-02-02-011124-a</v>
      </c>
      <c r="Q388" s="122">
        <v>1929.05405</v>
      </c>
      <c r="R388" s="122">
        <v>1</v>
      </c>
      <c r="S388" s="144">
        <v>1929.05405</v>
      </c>
      <c r="T388" s="145">
        <v>45342</v>
      </c>
      <c r="U388" s="122"/>
      <c r="V388" s="122"/>
    </row>
    <row r="389" spans="1:22" ht="124.8" x14ac:dyDescent="0.3">
      <c r="A389" s="122">
        <v>386</v>
      </c>
      <c r="B389" s="122" t="s">
        <v>40</v>
      </c>
      <c r="C389" s="44" t="s">
        <v>41</v>
      </c>
      <c r="D389" s="122" t="s">
        <v>58</v>
      </c>
      <c r="E389" s="122" t="s">
        <v>88</v>
      </c>
      <c r="F389" s="44" t="s">
        <v>845</v>
      </c>
      <c r="G389" s="122" t="s">
        <v>184</v>
      </c>
      <c r="H389" s="590">
        <v>2855.15</v>
      </c>
      <c r="I389" s="122">
        <v>1</v>
      </c>
      <c r="J389" s="590">
        <v>2855.15</v>
      </c>
      <c r="K389" s="590">
        <v>2855.15</v>
      </c>
      <c r="L389" s="122">
        <v>1</v>
      </c>
      <c r="M389" s="590">
        <v>2855.15</v>
      </c>
      <c r="N389" s="6" t="s">
        <v>846</v>
      </c>
      <c r="O389" s="121">
        <v>45324</v>
      </c>
      <c r="P389" s="33" t="str">
        <f>HYPERLINK("https://my.zakupivli.pro/remote/dispatcher/state_purchase_view/48903036", "UA-2024-02-02-010994-a")</f>
        <v>UA-2024-02-02-010994-a</v>
      </c>
      <c r="Q389" s="122">
        <v>2853.7132700000002</v>
      </c>
      <c r="R389" s="122">
        <v>1</v>
      </c>
      <c r="S389" s="144">
        <v>2853.7132700000002</v>
      </c>
      <c r="T389" s="121">
        <v>45345</v>
      </c>
      <c r="U389" s="122"/>
      <c r="V389" s="122"/>
    </row>
    <row r="390" spans="1:22" ht="62.4" x14ac:dyDescent="0.3">
      <c r="A390" s="122">
        <v>387</v>
      </c>
      <c r="B390" s="122" t="s">
        <v>40</v>
      </c>
      <c r="C390" s="44" t="s">
        <v>73</v>
      </c>
      <c r="D390" s="122"/>
      <c r="E390" s="122" t="s">
        <v>75</v>
      </c>
      <c r="F390" s="44" t="s">
        <v>847</v>
      </c>
      <c r="G390" s="122" t="s">
        <v>184</v>
      </c>
      <c r="H390" s="590">
        <v>156.30500000000001</v>
      </c>
      <c r="I390" s="122">
        <v>1</v>
      </c>
      <c r="J390" s="590">
        <v>156.30500000000001</v>
      </c>
      <c r="K390" s="590">
        <v>156.30500000000001</v>
      </c>
      <c r="L390" s="122">
        <v>1</v>
      </c>
      <c r="M390" s="590">
        <v>156.30500000000001</v>
      </c>
      <c r="N390" s="6" t="s">
        <v>850</v>
      </c>
      <c r="O390" s="121">
        <v>45324</v>
      </c>
      <c r="P390" s="33" t="str">
        <f>HYPERLINK("https://my.zakupivli.pro/remote/dispatcher/state_purchase_view/48906947", "UA-2024-02-02-012790-a")</f>
        <v>UA-2024-02-02-012790-a</v>
      </c>
      <c r="Q390" s="122">
        <v>156.30500000000001</v>
      </c>
      <c r="R390" s="122">
        <v>1</v>
      </c>
      <c r="S390" s="122">
        <v>156.30500000000001</v>
      </c>
      <c r="T390" s="153">
        <v>45324</v>
      </c>
      <c r="U390" s="122"/>
      <c r="V390" s="122" t="s">
        <v>59</v>
      </c>
    </row>
    <row r="391" spans="1:22" ht="62.4" x14ac:dyDescent="0.3">
      <c r="A391" s="122">
        <v>388</v>
      </c>
      <c r="B391" s="122" t="s">
        <v>40</v>
      </c>
      <c r="C391" s="44" t="s">
        <v>73</v>
      </c>
      <c r="D391" s="122"/>
      <c r="E391" s="122" t="s">
        <v>75</v>
      </c>
      <c r="F391" s="44" t="s">
        <v>848</v>
      </c>
      <c r="G391" s="122" t="s">
        <v>184</v>
      </c>
      <c r="H391" s="590">
        <v>110.2067</v>
      </c>
      <c r="I391" s="122">
        <v>1</v>
      </c>
      <c r="J391" s="590">
        <v>110.2067</v>
      </c>
      <c r="K391" s="590">
        <v>110.2067</v>
      </c>
      <c r="L391" s="122">
        <v>1</v>
      </c>
      <c r="M391" s="590">
        <v>110.2067</v>
      </c>
      <c r="N391" s="6" t="s">
        <v>851</v>
      </c>
      <c r="O391" s="121">
        <v>45324</v>
      </c>
      <c r="P391" s="33" t="str">
        <f>HYPERLINK("https://my.zakupivli.pro/remote/dispatcher/state_purchase_view/48880326", "UA-2024-02-02-000824-a")</f>
        <v>UA-2024-02-02-000824-a</v>
      </c>
      <c r="Q391" s="122">
        <v>110.2067</v>
      </c>
      <c r="R391" s="122">
        <v>1</v>
      </c>
      <c r="S391" s="122">
        <v>110.2067</v>
      </c>
      <c r="T391" s="153">
        <v>45324</v>
      </c>
      <c r="U391" s="122"/>
      <c r="V391" s="122" t="s">
        <v>59</v>
      </c>
    </row>
    <row r="392" spans="1:22" ht="62.4" x14ac:dyDescent="0.3">
      <c r="A392" s="122">
        <v>389</v>
      </c>
      <c r="B392" s="122" t="s">
        <v>40</v>
      </c>
      <c r="C392" s="44" t="s">
        <v>73</v>
      </c>
      <c r="D392" s="122"/>
      <c r="E392" s="122" t="s">
        <v>75</v>
      </c>
      <c r="F392" s="44" t="s">
        <v>849</v>
      </c>
      <c r="G392" s="122" t="s">
        <v>184</v>
      </c>
      <c r="H392" s="590">
        <v>251.22640000000001</v>
      </c>
      <c r="I392" s="122">
        <v>1</v>
      </c>
      <c r="J392" s="590">
        <v>251.22640000000001</v>
      </c>
      <c r="K392" s="590">
        <v>251.22640000000001</v>
      </c>
      <c r="L392" s="122">
        <v>1</v>
      </c>
      <c r="M392" s="590">
        <v>251.22640000000001</v>
      </c>
      <c r="N392" s="6" t="s">
        <v>852</v>
      </c>
      <c r="O392" s="121">
        <v>45324</v>
      </c>
      <c r="P392" s="33" t="str">
        <f>HYPERLINK("https://my.zakupivli.pro/remote/dispatcher/state_purchase_view/48879722", "UA-2024-02-02-000542-a")</f>
        <v>UA-2024-02-02-000542-a</v>
      </c>
      <c r="Q392" s="122">
        <v>251.22640000000001</v>
      </c>
      <c r="R392" s="122">
        <v>1</v>
      </c>
      <c r="S392" s="122">
        <v>251.22640000000001</v>
      </c>
      <c r="T392" s="153">
        <v>45324</v>
      </c>
      <c r="U392" s="122"/>
      <c r="V392" s="122" t="s">
        <v>59</v>
      </c>
    </row>
    <row r="393" spans="1:22" ht="124.8" x14ac:dyDescent="0.3">
      <c r="A393" s="122">
        <v>390</v>
      </c>
      <c r="B393" s="122" t="s">
        <v>40</v>
      </c>
      <c r="C393" s="44" t="s">
        <v>41</v>
      </c>
      <c r="D393" s="122" t="s">
        <v>58</v>
      </c>
      <c r="E393" s="122" t="s">
        <v>88</v>
      </c>
      <c r="F393" s="44" t="s">
        <v>853</v>
      </c>
      <c r="G393" s="122" t="s">
        <v>184</v>
      </c>
      <c r="H393" s="590">
        <v>46628.046950000004</v>
      </c>
      <c r="I393" s="122">
        <v>1</v>
      </c>
      <c r="J393" s="590">
        <v>46628.046950000004</v>
      </c>
      <c r="K393" s="590">
        <v>46628.046950000004</v>
      </c>
      <c r="L393" s="122">
        <v>1</v>
      </c>
      <c r="M393" s="590">
        <v>46628.046950000004</v>
      </c>
      <c r="N393" s="6" t="s">
        <v>854</v>
      </c>
      <c r="O393" s="121">
        <v>45324</v>
      </c>
      <c r="P393" s="42" t="str">
        <f>HYPERLINK("https://my.zakupivli.pro/remote/dispatcher/state_purchase_view/48908684", "UA-2024-02-02-013586-a")</f>
        <v>UA-2024-02-02-013586-a</v>
      </c>
      <c r="Q393" s="122"/>
      <c r="R393" s="122"/>
      <c r="S393" s="122"/>
      <c r="T393" s="121"/>
      <c r="U393" s="129" t="s">
        <v>93</v>
      </c>
      <c r="V393" s="122"/>
    </row>
    <row r="394" spans="1:22" ht="93.6" x14ac:dyDescent="0.3">
      <c r="A394" s="122">
        <v>391</v>
      </c>
      <c r="B394" s="122" t="s">
        <v>40</v>
      </c>
      <c r="C394" s="44" t="s">
        <v>41</v>
      </c>
      <c r="D394" s="122" t="s">
        <v>58</v>
      </c>
      <c r="E394" s="122" t="s">
        <v>88</v>
      </c>
      <c r="F394" s="44" t="s">
        <v>855</v>
      </c>
      <c r="G394" s="122" t="s">
        <v>184</v>
      </c>
      <c r="H394" s="590">
        <v>2673.0005700000002</v>
      </c>
      <c r="I394" s="122">
        <v>1</v>
      </c>
      <c r="J394" s="590">
        <v>2673.0005700000002</v>
      </c>
      <c r="K394" s="590">
        <v>2673.0005700000002</v>
      </c>
      <c r="L394" s="122">
        <v>1</v>
      </c>
      <c r="M394" s="590">
        <v>2673.0005700000002</v>
      </c>
      <c r="N394" s="6" t="s">
        <v>857</v>
      </c>
      <c r="O394" s="121">
        <v>45324</v>
      </c>
      <c r="P394" s="33" t="str">
        <f>HYPERLINK("https://my.zakupivli.pro/remote/dispatcher/state_purchase_view/48908032", "UA-2024-02-02-013279-a")</f>
        <v>UA-2024-02-02-013279-a</v>
      </c>
      <c r="Q394" s="122"/>
      <c r="R394" s="122"/>
      <c r="S394" s="122"/>
      <c r="T394" s="121"/>
      <c r="U394" s="144" t="s">
        <v>93</v>
      </c>
      <c r="V394" s="122"/>
    </row>
    <row r="395" spans="1:22" ht="93.6" x14ac:dyDescent="0.3">
      <c r="A395" s="122">
        <v>392</v>
      </c>
      <c r="B395" s="122" t="s">
        <v>40</v>
      </c>
      <c r="C395" s="44" t="s">
        <v>41</v>
      </c>
      <c r="D395" s="122" t="s">
        <v>58</v>
      </c>
      <c r="E395" s="122" t="s">
        <v>88</v>
      </c>
      <c r="F395" s="44" t="s">
        <v>856</v>
      </c>
      <c r="G395" s="122" t="s">
        <v>184</v>
      </c>
      <c r="H395" s="590">
        <v>1517.3883000000001</v>
      </c>
      <c r="I395" s="122">
        <v>1</v>
      </c>
      <c r="J395" s="590">
        <v>1517.3883000000001</v>
      </c>
      <c r="K395" s="590">
        <v>1517.3883000000001</v>
      </c>
      <c r="L395" s="122">
        <v>1</v>
      </c>
      <c r="M395" s="590">
        <v>1517.3883000000001</v>
      </c>
      <c r="N395" s="6" t="s">
        <v>857</v>
      </c>
      <c r="O395" s="121">
        <v>45324</v>
      </c>
      <c r="P395" s="33" t="str">
        <f>HYPERLINK("https://my.zakupivli.pro/remote/dispatcher/state_purchase_view/48908032", "UA-2024-02-02-013279-a")</f>
        <v>UA-2024-02-02-013279-a</v>
      </c>
      <c r="Q395" s="122"/>
      <c r="R395" s="122"/>
      <c r="S395" s="122"/>
      <c r="T395" s="121"/>
      <c r="U395" s="144" t="s">
        <v>93</v>
      </c>
      <c r="V395" s="122"/>
    </row>
    <row r="396" spans="1:22" ht="93.6" x14ac:dyDescent="0.3">
      <c r="A396" s="122">
        <v>393</v>
      </c>
      <c r="B396" s="122" t="s">
        <v>40</v>
      </c>
      <c r="C396" s="44" t="s">
        <v>41</v>
      </c>
      <c r="D396" s="122" t="s">
        <v>58</v>
      </c>
      <c r="E396" s="122" t="s">
        <v>88</v>
      </c>
      <c r="F396" s="44" t="s">
        <v>858</v>
      </c>
      <c r="G396" s="122" t="s">
        <v>184</v>
      </c>
      <c r="H396" s="590">
        <v>8289.1450000000004</v>
      </c>
      <c r="I396" s="122">
        <v>1</v>
      </c>
      <c r="J396" s="590">
        <v>8289.1450000000004</v>
      </c>
      <c r="K396" s="590">
        <v>8289.1450000000004</v>
      </c>
      <c r="L396" s="122">
        <v>1</v>
      </c>
      <c r="M396" s="590">
        <v>8289.1450000000004</v>
      </c>
      <c r="N396" s="6" t="s">
        <v>860</v>
      </c>
      <c r="O396" s="121">
        <v>45324</v>
      </c>
      <c r="P396" s="33" t="str">
        <f>HYPERLINK("https://my.zakupivli.pro/remote/dispatcher/state_purchase_view/48907751", "UA-2024-02-02-013167-a")</f>
        <v>UA-2024-02-02-013167-a</v>
      </c>
      <c r="Q396" s="122">
        <v>7727.8095899999998</v>
      </c>
      <c r="R396" s="122">
        <v>1</v>
      </c>
      <c r="S396" s="144">
        <v>7727.8095899999998</v>
      </c>
      <c r="T396" s="121">
        <v>45345</v>
      </c>
      <c r="U396" s="122"/>
      <c r="V396" s="122"/>
    </row>
    <row r="397" spans="1:22" ht="93.6" x14ac:dyDescent="0.3">
      <c r="A397" s="122">
        <v>395</v>
      </c>
      <c r="B397" s="122" t="s">
        <v>40</v>
      </c>
      <c r="C397" s="44" t="s">
        <v>41</v>
      </c>
      <c r="D397" s="122" t="s">
        <v>58</v>
      </c>
      <c r="E397" s="122" t="s">
        <v>88</v>
      </c>
      <c r="F397" s="44" t="s">
        <v>859</v>
      </c>
      <c r="G397" s="122" t="s">
        <v>184</v>
      </c>
      <c r="H397" s="590">
        <v>7378.9748499999996</v>
      </c>
      <c r="I397" s="122">
        <v>1</v>
      </c>
      <c r="J397" s="590">
        <v>7378.9748499999996</v>
      </c>
      <c r="K397" s="590">
        <v>7378.9748499999996</v>
      </c>
      <c r="L397" s="122">
        <v>1</v>
      </c>
      <c r="M397" s="590">
        <v>7378.9748499999996</v>
      </c>
      <c r="N397" s="6" t="s">
        <v>860</v>
      </c>
      <c r="O397" s="121">
        <v>45324</v>
      </c>
      <c r="P397" s="33" t="str">
        <f>HYPERLINK("https://my.zakupivli.pro/remote/dispatcher/state_purchase_view/48907751", "UA-2024-02-02-013167-a")</f>
        <v>UA-2024-02-02-013167-a</v>
      </c>
      <c r="Q397" s="122">
        <v>7378.6265800000001</v>
      </c>
      <c r="R397" s="122">
        <v>1</v>
      </c>
      <c r="S397" s="144">
        <v>7378.6265800000001</v>
      </c>
      <c r="T397" s="121">
        <v>45342</v>
      </c>
      <c r="U397" s="122"/>
      <c r="V397" s="122"/>
    </row>
    <row r="398" spans="1:22" ht="140.4" x14ac:dyDescent="0.3">
      <c r="A398" s="122">
        <v>395</v>
      </c>
      <c r="B398" s="122" t="s">
        <v>40</v>
      </c>
      <c r="C398" s="44" t="s">
        <v>41</v>
      </c>
      <c r="D398" s="122" t="s">
        <v>58</v>
      </c>
      <c r="E398" s="122" t="s">
        <v>88</v>
      </c>
      <c r="F398" s="44" t="s">
        <v>861</v>
      </c>
      <c r="G398" s="122" t="s">
        <v>184</v>
      </c>
      <c r="H398" s="590">
        <v>2691.93</v>
      </c>
      <c r="I398" s="122">
        <v>1</v>
      </c>
      <c r="J398" s="590">
        <v>2691.93</v>
      </c>
      <c r="K398" s="590">
        <v>2691.93</v>
      </c>
      <c r="L398" s="122">
        <v>1</v>
      </c>
      <c r="M398" s="590">
        <v>2691.93</v>
      </c>
      <c r="N398" s="6" t="s">
        <v>862</v>
      </c>
      <c r="O398" s="121">
        <v>45324</v>
      </c>
      <c r="P398" s="33" t="str">
        <f>HYPERLINK("https://my.zakupivli.pro/remote/dispatcher/state_purchase_view/48907725", "UA-2024-02-02-013148-a")</f>
        <v>UA-2024-02-02-013148-a</v>
      </c>
      <c r="Q398" s="122">
        <v>2691.7078499999998</v>
      </c>
      <c r="R398" s="122">
        <v>1</v>
      </c>
      <c r="S398" s="144">
        <v>2691.7078499999998</v>
      </c>
      <c r="T398" s="145">
        <v>45345</v>
      </c>
      <c r="U398" s="122"/>
      <c r="V398" s="122"/>
    </row>
    <row r="399" spans="1:22" ht="187.2" x14ac:dyDescent="0.3">
      <c r="A399" s="122">
        <v>396</v>
      </c>
      <c r="B399" s="122" t="s">
        <v>40</v>
      </c>
      <c r="C399" s="44" t="s">
        <v>41</v>
      </c>
      <c r="D399" s="122" t="s">
        <v>58</v>
      </c>
      <c r="E399" s="122" t="s">
        <v>88</v>
      </c>
      <c r="F399" s="44" t="s">
        <v>807</v>
      </c>
      <c r="G399" s="122" t="s">
        <v>184</v>
      </c>
      <c r="H399" s="590"/>
      <c r="I399" s="122">
        <v>2</v>
      </c>
      <c r="J399" s="590">
        <v>4542.46</v>
      </c>
      <c r="K399" s="590"/>
      <c r="L399" s="122">
        <v>2</v>
      </c>
      <c r="M399" s="590">
        <v>4542.46</v>
      </c>
      <c r="N399" s="6" t="s">
        <v>808</v>
      </c>
      <c r="O399" s="121">
        <v>45324</v>
      </c>
      <c r="P399" s="33" t="str">
        <f>HYPERLINK("https://my.zakupivli.pro/remote/dispatcher/state_purchase_view/48907510", "UA-2024-02-02-013046-a")</f>
        <v>UA-2024-02-02-013046-a</v>
      </c>
      <c r="Q399" s="122"/>
      <c r="R399" s="122">
        <v>2</v>
      </c>
      <c r="S399" s="166">
        <v>4498.66536</v>
      </c>
      <c r="T399" s="121">
        <v>45359</v>
      </c>
      <c r="U399" s="122"/>
      <c r="V399" s="122"/>
    </row>
    <row r="400" spans="1:22" ht="124.8" x14ac:dyDescent="0.3">
      <c r="A400" s="122">
        <v>397</v>
      </c>
      <c r="B400" s="123" t="s">
        <v>40</v>
      </c>
      <c r="C400" s="44" t="s">
        <v>41</v>
      </c>
      <c r="D400" s="123" t="s">
        <v>58</v>
      </c>
      <c r="E400" s="123" t="s">
        <v>88</v>
      </c>
      <c r="F400" s="41" t="s">
        <v>863</v>
      </c>
      <c r="G400" s="123" t="s">
        <v>184</v>
      </c>
      <c r="H400" s="590">
        <v>1887.36</v>
      </c>
      <c r="I400" s="122">
        <v>1</v>
      </c>
      <c r="J400" s="590">
        <v>1887.36</v>
      </c>
      <c r="K400" s="590">
        <v>1887.36</v>
      </c>
      <c r="L400" s="123">
        <v>1</v>
      </c>
      <c r="M400" s="590">
        <v>1887.36</v>
      </c>
      <c r="N400" s="6" t="s">
        <v>864</v>
      </c>
      <c r="O400" s="121">
        <v>45328</v>
      </c>
      <c r="P400" s="33" t="str">
        <f>HYPERLINK("https://my.zakupivli.pro/remote/dispatcher/state_purchase_view/48969987", "UA-2024-02-06-008339-a")</f>
        <v>UA-2024-02-06-008339-a</v>
      </c>
      <c r="Q400" s="117">
        <v>1875</v>
      </c>
      <c r="R400" s="122">
        <v>1</v>
      </c>
      <c r="S400" s="117">
        <v>1875</v>
      </c>
      <c r="T400" s="121">
        <v>45351</v>
      </c>
      <c r="U400" s="122"/>
      <c r="V400" s="122"/>
    </row>
    <row r="401" spans="1:22" ht="62.4" x14ac:dyDescent="0.3">
      <c r="A401" s="122">
        <v>398</v>
      </c>
      <c r="B401" s="123" t="s">
        <v>21</v>
      </c>
      <c r="C401" s="44" t="s">
        <v>405</v>
      </c>
      <c r="D401" s="123" t="s">
        <v>58</v>
      </c>
      <c r="E401" s="123" t="s">
        <v>75</v>
      </c>
      <c r="F401" s="44" t="s">
        <v>865</v>
      </c>
      <c r="G401" s="105" t="s">
        <v>186</v>
      </c>
      <c r="H401" s="590"/>
      <c r="I401" s="122">
        <v>2</v>
      </c>
      <c r="J401" s="590">
        <v>1993.104</v>
      </c>
      <c r="K401" s="590"/>
      <c r="L401" s="123">
        <v>2</v>
      </c>
      <c r="M401" s="590">
        <v>1993.104</v>
      </c>
      <c r="N401" s="6" t="s">
        <v>871</v>
      </c>
      <c r="O401" s="124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7"/>
      <c r="R401" s="122">
        <v>2</v>
      </c>
      <c r="S401" s="117">
        <v>1785</v>
      </c>
      <c r="T401" s="121">
        <v>45352</v>
      </c>
      <c r="U401" s="122"/>
      <c r="V401" s="122"/>
    </row>
    <row r="402" spans="1:22" ht="62.4" x14ac:dyDescent="0.3">
      <c r="A402" s="123">
        <v>399</v>
      </c>
      <c r="B402" s="123" t="s">
        <v>21</v>
      </c>
      <c r="C402" s="44" t="s">
        <v>405</v>
      </c>
      <c r="D402" s="123" t="s">
        <v>58</v>
      </c>
      <c r="E402" s="123" t="s">
        <v>75</v>
      </c>
      <c r="F402" s="44" t="s">
        <v>866</v>
      </c>
      <c r="G402" s="105" t="s">
        <v>186</v>
      </c>
      <c r="H402" s="590">
        <v>2518.9011500000001</v>
      </c>
      <c r="I402" s="123">
        <v>1</v>
      </c>
      <c r="J402" s="590">
        <v>2518.9011500000001</v>
      </c>
      <c r="K402" s="590">
        <v>2518.9011500000001</v>
      </c>
      <c r="L402" s="123">
        <v>1</v>
      </c>
      <c r="M402" s="590">
        <v>2518.9011500000001</v>
      </c>
      <c r="N402" s="6" t="s">
        <v>871</v>
      </c>
      <c r="O402" s="124">
        <v>45328</v>
      </c>
      <c r="P402" s="33" t="str">
        <f t="shared" si="0"/>
        <v>UA-2024-02-06-009098-a</v>
      </c>
      <c r="Q402" s="123">
        <v>2517.8620500000002</v>
      </c>
      <c r="R402" s="123">
        <v>1</v>
      </c>
      <c r="S402" s="162">
        <v>2517.8620500000002</v>
      </c>
      <c r="T402" s="124">
        <v>45352</v>
      </c>
      <c r="U402" s="123"/>
      <c r="V402" s="123"/>
    </row>
    <row r="403" spans="1:22" ht="78" x14ac:dyDescent="0.3">
      <c r="A403" s="123">
        <v>400</v>
      </c>
      <c r="B403" s="123" t="s">
        <v>21</v>
      </c>
      <c r="C403" s="44" t="s">
        <v>405</v>
      </c>
      <c r="D403" s="123" t="s">
        <v>58</v>
      </c>
      <c r="E403" s="123" t="s">
        <v>75</v>
      </c>
      <c r="F403" s="44" t="s">
        <v>867</v>
      </c>
      <c r="G403" s="105" t="s">
        <v>186</v>
      </c>
      <c r="H403" s="590"/>
      <c r="I403" s="123">
        <v>24</v>
      </c>
      <c r="J403" s="590">
        <v>2219.8198900000002</v>
      </c>
      <c r="K403" s="590"/>
      <c r="L403" s="123">
        <v>24</v>
      </c>
      <c r="M403" s="590">
        <v>2219.8198900000002</v>
      </c>
      <c r="N403" s="6" t="s">
        <v>871</v>
      </c>
      <c r="O403" s="124">
        <v>45328</v>
      </c>
      <c r="P403" s="33" t="str">
        <f t="shared" si="0"/>
        <v>UA-2024-02-06-009098-a</v>
      </c>
      <c r="Q403" s="123"/>
      <c r="R403" s="123"/>
      <c r="S403" s="123"/>
      <c r="T403" s="124"/>
      <c r="U403" s="162" t="s">
        <v>93</v>
      </c>
      <c r="V403" s="123"/>
    </row>
    <row r="404" spans="1:22" ht="62.4" x14ac:dyDescent="0.3">
      <c r="A404" s="123">
        <v>401</v>
      </c>
      <c r="B404" s="123" t="s">
        <v>21</v>
      </c>
      <c r="C404" s="44" t="s">
        <v>405</v>
      </c>
      <c r="D404" s="123" t="s">
        <v>58</v>
      </c>
      <c r="E404" s="123" t="s">
        <v>75</v>
      </c>
      <c r="F404" s="44" t="s">
        <v>868</v>
      </c>
      <c r="G404" s="105" t="s">
        <v>186</v>
      </c>
      <c r="H404" s="590"/>
      <c r="I404" s="123">
        <v>122</v>
      </c>
      <c r="J404" s="590">
        <v>9412.7220400000006</v>
      </c>
      <c r="K404" s="590"/>
      <c r="L404" s="123">
        <v>122</v>
      </c>
      <c r="M404" s="590">
        <v>9412.7220400000006</v>
      </c>
      <c r="N404" s="6" t="s">
        <v>871</v>
      </c>
      <c r="O404" s="124">
        <v>45328</v>
      </c>
      <c r="P404" s="33" t="str">
        <f t="shared" si="0"/>
        <v>UA-2024-02-06-009098-a</v>
      </c>
      <c r="Q404" s="123"/>
      <c r="R404" s="123">
        <v>122</v>
      </c>
      <c r="S404" s="123">
        <v>8897.5373999999993</v>
      </c>
      <c r="T404" s="163">
        <v>45352</v>
      </c>
      <c r="U404" s="123"/>
      <c r="V404" s="123"/>
    </row>
    <row r="405" spans="1:22" ht="62.4" x14ac:dyDescent="0.3">
      <c r="A405" s="123">
        <v>402</v>
      </c>
      <c r="B405" s="123" t="s">
        <v>21</v>
      </c>
      <c r="C405" s="44" t="s">
        <v>405</v>
      </c>
      <c r="D405" s="123" t="s">
        <v>58</v>
      </c>
      <c r="E405" s="123" t="s">
        <v>75</v>
      </c>
      <c r="F405" s="44" t="s">
        <v>869</v>
      </c>
      <c r="G405" s="105" t="s">
        <v>186</v>
      </c>
      <c r="H405" s="590"/>
      <c r="I405" s="123">
        <v>2</v>
      </c>
      <c r="J405" s="590">
        <v>3825.5</v>
      </c>
      <c r="K405" s="590"/>
      <c r="L405" s="123">
        <v>2</v>
      </c>
      <c r="M405" s="590">
        <v>3825.5</v>
      </c>
      <c r="N405" s="6" t="s">
        <v>871</v>
      </c>
      <c r="O405" s="124">
        <v>45328</v>
      </c>
      <c r="P405" s="33" t="str">
        <f t="shared" si="0"/>
        <v>UA-2024-02-06-009098-a</v>
      </c>
      <c r="Q405" s="123"/>
      <c r="R405" s="123">
        <v>2</v>
      </c>
      <c r="S405" s="123">
        <v>3824.85</v>
      </c>
      <c r="T405" s="124">
        <v>45355</v>
      </c>
      <c r="U405" s="123"/>
      <c r="V405" s="123"/>
    </row>
    <row r="406" spans="1:22" ht="62.4" x14ac:dyDescent="0.3">
      <c r="A406" s="123">
        <v>403</v>
      </c>
      <c r="B406" s="123" t="s">
        <v>21</v>
      </c>
      <c r="C406" s="44" t="s">
        <v>405</v>
      </c>
      <c r="D406" s="123" t="s">
        <v>58</v>
      </c>
      <c r="E406" s="123" t="s">
        <v>75</v>
      </c>
      <c r="F406" s="44" t="s">
        <v>870</v>
      </c>
      <c r="G406" s="105" t="s">
        <v>186</v>
      </c>
      <c r="H406" s="590"/>
      <c r="I406" s="123">
        <v>13</v>
      </c>
      <c r="J406" s="590">
        <v>1441.9291599999999</v>
      </c>
      <c r="K406" s="590"/>
      <c r="L406" s="123">
        <v>13</v>
      </c>
      <c r="M406" s="590">
        <v>1441.9291599999999</v>
      </c>
      <c r="N406" s="6" t="s">
        <v>871</v>
      </c>
      <c r="O406" s="124">
        <v>45328</v>
      </c>
      <c r="P406" s="33" t="str">
        <f t="shared" si="0"/>
        <v>UA-2024-02-06-009098-a</v>
      </c>
      <c r="Q406" s="123"/>
      <c r="R406" s="123">
        <v>13</v>
      </c>
      <c r="S406" s="123">
        <v>1373.9870000000001</v>
      </c>
      <c r="T406" s="124">
        <v>45352</v>
      </c>
      <c r="U406" s="123"/>
      <c r="V406" s="123"/>
    </row>
    <row r="407" spans="1:22" ht="46.8" x14ac:dyDescent="0.3">
      <c r="A407" s="125">
        <v>404</v>
      </c>
      <c r="B407" s="125" t="s">
        <v>21</v>
      </c>
      <c r="C407" s="41" t="s">
        <v>873</v>
      </c>
      <c r="D407" s="125" t="s">
        <v>58</v>
      </c>
      <c r="E407" s="125" t="s">
        <v>75</v>
      </c>
      <c r="F407" s="41" t="s">
        <v>872</v>
      </c>
      <c r="G407" s="125" t="s">
        <v>186</v>
      </c>
      <c r="H407" s="590"/>
      <c r="I407" s="125">
        <v>34</v>
      </c>
      <c r="J407" s="590">
        <v>727.5</v>
      </c>
      <c r="K407" s="590"/>
      <c r="L407" s="125">
        <v>34</v>
      </c>
      <c r="M407" s="590">
        <v>727.5</v>
      </c>
      <c r="N407" s="6" t="s">
        <v>874</v>
      </c>
      <c r="O407" s="126">
        <v>45329</v>
      </c>
      <c r="P407" s="42" t="str">
        <f>HYPERLINK("https://my.zakupivli.pro/remote/dispatcher/state_purchase_view/49007933", "UA-2024-02-07-009090-a")</f>
        <v>UA-2024-02-07-009090-a</v>
      </c>
      <c r="Q407" s="125"/>
      <c r="R407" s="125">
        <v>34</v>
      </c>
      <c r="S407" s="125">
        <v>574.99167</v>
      </c>
      <c r="T407" s="126">
        <v>45350</v>
      </c>
      <c r="U407" s="125"/>
      <c r="V407" s="125"/>
    </row>
    <row r="408" spans="1:22" ht="93.6" x14ac:dyDescent="0.3">
      <c r="A408" s="125">
        <v>405</v>
      </c>
      <c r="B408" s="125" t="s">
        <v>21</v>
      </c>
      <c r="C408" s="44" t="s">
        <v>183</v>
      </c>
      <c r="D408" s="125" t="s">
        <v>58</v>
      </c>
      <c r="E408" s="125" t="s">
        <v>88</v>
      </c>
      <c r="F408" s="44" t="s">
        <v>875</v>
      </c>
      <c r="G408" s="125" t="s">
        <v>185</v>
      </c>
      <c r="H408" s="590">
        <v>589.88333</v>
      </c>
      <c r="I408" s="125">
        <v>1</v>
      </c>
      <c r="J408" s="590">
        <v>589.88333</v>
      </c>
      <c r="K408" s="590">
        <v>589.88333</v>
      </c>
      <c r="L408" s="125">
        <v>1</v>
      </c>
      <c r="M408" s="590">
        <v>589.88333</v>
      </c>
      <c r="N408" s="6" t="s">
        <v>877</v>
      </c>
      <c r="O408" s="126">
        <v>45329</v>
      </c>
      <c r="P408" s="33" t="str">
        <f>HYPERLINK("https://my.zakupivli.pro/remote/dispatcher/state_purchase_view/49014231", "UA-2024-02-07-011926-a")</f>
        <v>UA-2024-02-07-011926-a</v>
      </c>
      <c r="Q408" s="117">
        <v>536.25</v>
      </c>
      <c r="R408" s="125">
        <v>1</v>
      </c>
      <c r="S408" s="117">
        <v>536.25</v>
      </c>
      <c r="T408" s="126">
        <v>45349</v>
      </c>
      <c r="U408" s="125"/>
      <c r="V408" s="125"/>
    </row>
    <row r="409" spans="1:22" ht="93.6" x14ac:dyDescent="0.3">
      <c r="A409" s="125">
        <v>406</v>
      </c>
      <c r="B409" s="125" t="s">
        <v>21</v>
      </c>
      <c r="C409" s="44" t="s">
        <v>183</v>
      </c>
      <c r="D409" s="125" t="s">
        <v>58</v>
      </c>
      <c r="E409" s="125" t="s">
        <v>88</v>
      </c>
      <c r="F409" s="44" t="s">
        <v>876</v>
      </c>
      <c r="G409" s="125" t="s">
        <v>185</v>
      </c>
      <c r="H409" s="590">
        <v>8716.2000000000007</v>
      </c>
      <c r="I409" s="125">
        <v>1</v>
      </c>
      <c r="J409" s="590">
        <v>8716.2000000000007</v>
      </c>
      <c r="K409" s="590">
        <v>8716.2000000000007</v>
      </c>
      <c r="L409" s="125">
        <v>1</v>
      </c>
      <c r="M409" s="590">
        <v>8716.2000000000007</v>
      </c>
      <c r="N409" s="6" t="s">
        <v>878</v>
      </c>
      <c r="O409" s="126">
        <v>45329</v>
      </c>
      <c r="P409" s="33" t="str">
        <f>HYPERLINK("https://my.zakupivli.pro/remote/dispatcher/state_purchase_view/49012404", "UA-2024-02-07-011182-a")</f>
        <v>UA-2024-02-07-011182-a</v>
      </c>
      <c r="Q409" s="125">
        <v>5792.5637399999996</v>
      </c>
      <c r="R409" s="125">
        <v>1</v>
      </c>
      <c r="S409" s="152">
        <v>5792.5637399999996</v>
      </c>
      <c r="T409" s="126">
        <v>45350</v>
      </c>
      <c r="U409" s="125"/>
      <c r="V409" s="125"/>
    </row>
    <row r="410" spans="1:22" ht="78" x14ac:dyDescent="0.3">
      <c r="A410" s="127">
        <v>407</v>
      </c>
      <c r="B410" s="127" t="s">
        <v>40</v>
      </c>
      <c r="C410" s="44" t="s">
        <v>884</v>
      </c>
      <c r="D410" s="127"/>
      <c r="E410" s="127" t="s">
        <v>88</v>
      </c>
      <c r="F410" s="44" t="s">
        <v>879</v>
      </c>
      <c r="G410" s="127" t="s">
        <v>40</v>
      </c>
      <c r="H410" s="590">
        <v>327.6798</v>
      </c>
      <c r="I410" s="127">
        <v>1</v>
      </c>
      <c r="J410" s="590">
        <v>327.6798</v>
      </c>
      <c r="K410" s="590">
        <v>327.6798</v>
      </c>
      <c r="L410" s="127">
        <v>1</v>
      </c>
      <c r="M410" s="590">
        <v>327.6798</v>
      </c>
      <c r="N410" s="6" t="s">
        <v>885</v>
      </c>
      <c r="O410" s="128">
        <v>45330</v>
      </c>
      <c r="P410" s="33" t="str">
        <f>HYPERLINK("https://my.zakupivli.pro/remote/dispatcher/state_purchase_view/49027603", "UA-2024-02-08-002419-a")</f>
        <v>UA-2024-02-08-002419-a</v>
      </c>
      <c r="Q410" s="127">
        <v>327.6798</v>
      </c>
      <c r="R410" s="127">
        <v>1</v>
      </c>
      <c r="S410" s="127">
        <v>327.6798</v>
      </c>
      <c r="T410" s="128">
        <v>45330</v>
      </c>
      <c r="U410" s="127"/>
      <c r="V410" s="127" t="s">
        <v>59</v>
      </c>
    </row>
    <row r="411" spans="1:22" ht="78" x14ac:dyDescent="0.3">
      <c r="A411" s="127">
        <v>408</v>
      </c>
      <c r="B411" s="127" t="s">
        <v>40</v>
      </c>
      <c r="C411" s="44" t="s">
        <v>884</v>
      </c>
      <c r="D411" s="127"/>
      <c r="E411" s="127" t="s">
        <v>88</v>
      </c>
      <c r="F411" s="44" t="s">
        <v>880</v>
      </c>
      <c r="G411" s="127" t="s">
        <v>40</v>
      </c>
      <c r="H411" s="590">
        <v>466.44868000000002</v>
      </c>
      <c r="I411" s="127">
        <v>1</v>
      </c>
      <c r="J411" s="590">
        <v>466.44868000000002</v>
      </c>
      <c r="K411" s="590">
        <v>466.44868000000002</v>
      </c>
      <c r="L411" s="127">
        <v>1</v>
      </c>
      <c r="M411" s="590">
        <v>466.44868000000002</v>
      </c>
      <c r="N411" s="6" t="s">
        <v>886</v>
      </c>
      <c r="O411" s="128">
        <v>45330</v>
      </c>
      <c r="P411" s="33" t="str">
        <f>HYPERLINK("https://my.zakupivli.pro/remote/dispatcher/state_purchase_view/49027323", "UA-2024-02-08-002241-a")</f>
        <v>UA-2024-02-08-002241-a</v>
      </c>
      <c r="Q411" s="127">
        <v>466.44868000000002</v>
      </c>
      <c r="R411" s="127">
        <v>1</v>
      </c>
      <c r="S411" s="127">
        <v>466.44868000000002</v>
      </c>
      <c r="T411" s="128">
        <v>45330</v>
      </c>
      <c r="U411" s="127"/>
      <c r="V411" s="127" t="s">
        <v>59</v>
      </c>
    </row>
    <row r="412" spans="1:22" ht="78" x14ac:dyDescent="0.3">
      <c r="A412" s="127">
        <v>409</v>
      </c>
      <c r="B412" s="127" t="s">
        <v>40</v>
      </c>
      <c r="C412" s="44" t="s">
        <v>884</v>
      </c>
      <c r="D412" s="127"/>
      <c r="E412" s="127" t="s">
        <v>88</v>
      </c>
      <c r="F412" s="44" t="s">
        <v>881</v>
      </c>
      <c r="G412" s="127" t="s">
        <v>40</v>
      </c>
      <c r="H412" s="590">
        <v>384.70436999999998</v>
      </c>
      <c r="I412" s="127">
        <v>1</v>
      </c>
      <c r="J412" s="590">
        <v>384.70436999999998</v>
      </c>
      <c r="K412" s="590">
        <v>384.70436999999998</v>
      </c>
      <c r="L412" s="127">
        <v>1</v>
      </c>
      <c r="M412" s="590">
        <v>384.70436999999998</v>
      </c>
      <c r="N412" s="6" t="s">
        <v>887</v>
      </c>
      <c r="O412" s="128">
        <v>45330</v>
      </c>
      <c r="P412" s="33" t="str">
        <f>HYPERLINK("https://my.zakupivli.pro/remote/dispatcher/state_purchase_view/49026827", "UA-2024-02-08-002073-a")</f>
        <v>UA-2024-02-08-002073-a</v>
      </c>
      <c r="Q412" s="127">
        <v>384.70436999999998</v>
      </c>
      <c r="R412" s="127">
        <v>1</v>
      </c>
      <c r="S412" s="127">
        <v>384.70436999999998</v>
      </c>
      <c r="T412" s="128">
        <v>45330</v>
      </c>
      <c r="U412" s="127"/>
      <c r="V412" s="127" t="s">
        <v>59</v>
      </c>
    </row>
    <row r="413" spans="1:22" ht="62.4" x14ac:dyDescent="0.3">
      <c r="A413" s="127">
        <v>410</v>
      </c>
      <c r="B413" s="127" t="s">
        <v>40</v>
      </c>
      <c r="C413" s="44" t="s">
        <v>884</v>
      </c>
      <c r="D413" s="127"/>
      <c r="E413" s="127" t="s">
        <v>88</v>
      </c>
      <c r="F413" s="44" t="s">
        <v>882</v>
      </c>
      <c r="G413" s="127" t="s">
        <v>40</v>
      </c>
      <c r="H413" s="590">
        <v>308.60937000000001</v>
      </c>
      <c r="I413" s="127">
        <v>1</v>
      </c>
      <c r="J413" s="590">
        <v>308.60937000000001</v>
      </c>
      <c r="K413" s="590">
        <v>308.60937000000001</v>
      </c>
      <c r="L413" s="127">
        <v>1</v>
      </c>
      <c r="M413" s="590">
        <v>308.60937000000001</v>
      </c>
      <c r="N413" s="6" t="s">
        <v>888</v>
      </c>
      <c r="O413" s="128">
        <v>45330</v>
      </c>
      <c r="P413" s="33" t="str">
        <f>HYPERLINK("https://my.zakupivli.pro/remote/dispatcher/state_purchase_view/49026308", "UA-2024-02-08-001861-a")</f>
        <v>UA-2024-02-08-001861-a</v>
      </c>
      <c r="Q413" s="127">
        <v>308.60937000000001</v>
      </c>
      <c r="R413" s="127">
        <v>1</v>
      </c>
      <c r="S413" s="127">
        <v>308.60937000000001</v>
      </c>
      <c r="T413" s="128">
        <v>45330</v>
      </c>
      <c r="U413" s="127"/>
      <c r="V413" s="127" t="s">
        <v>59</v>
      </c>
    </row>
    <row r="414" spans="1:22" ht="62.4" x14ac:dyDescent="0.3">
      <c r="A414" s="127">
        <v>411</v>
      </c>
      <c r="B414" s="127" t="s">
        <v>40</v>
      </c>
      <c r="C414" s="44" t="s">
        <v>884</v>
      </c>
      <c r="D414" s="127"/>
      <c r="E414" s="127" t="s">
        <v>88</v>
      </c>
      <c r="F414" s="44" t="s">
        <v>883</v>
      </c>
      <c r="G414" s="127" t="s">
        <v>40</v>
      </c>
      <c r="H414" s="590">
        <v>338.75234999999998</v>
      </c>
      <c r="I414" s="127">
        <v>1</v>
      </c>
      <c r="J414" s="590">
        <v>338.75234999999998</v>
      </c>
      <c r="K414" s="590">
        <v>338.75234999999998</v>
      </c>
      <c r="L414" s="127">
        <v>1</v>
      </c>
      <c r="M414" s="590">
        <v>338.75234999999998</v>
      </c>
      <c r="N414" s="6" t="s">
        <v>889</v>
      </c>
      <c r="O414" s="128">
        <v>45330</v>
      </c>
      <c r="P414" s="33" t="str">
        <f>HYPERLINK("https://my.zakupivli.pro/remote/dispatcher/state_purchase_view/49025987", "UA-2024-02-08-001670-a")</f>
        <v>UA-2024-02-08-001670-a</v>
      </c>
      <c r="Q414" s="127">
        <v>338.75234999999998</v>
      </c>
      <c r="R414" s="127">
        <v>1</v>
      </c>
      <c r="S414" s="127">
        <v>338.75234999999998</v>
      </c>
      <c r="T414" s="128">
        <v>45330</v>
      </c>
      <c r="U414" s="127"/>
      <c r="V414" s="127" t="s">
        <v>59</v>
      </c>
    </row>
    <row r="415" spans="1:22" ht="46.8" x14ac:dyDescent="0.3">
      <c r="A415" s="127">
        <v>412</v>
      </c>
      <c r="B415" s="127" t="s">
        <v>21</v>
      </c>
      <c r="C415" s="44" t="s">
        <v>170</v>
      </c>
      <c r="D415" s="127" t="s">
        <v>58</v>
      </c>
      <c r="E415" s="127" t="s">
        <v>88</v>
      </c>
      <c r="F415" s="44" t="s">
        <v>890</v>
      </c>
      <c r="G415" s="127" t="s">
        <v>185</v>
      </c>
      <c r="H415" s="590"/>
      <c r="I415" s="127">
        <v>36</v>
      </c>
      <c r="J415" s="590">
        <v>189.28800000000001</v>
      </c>
      <c r="K415" s="590"/>
      <c r="L415" s="127">
        <v>36</v>
      </c>
      <c r="M415" s="590">
        <v>189.28800000000001</v>
      </c>
      <c r="N415" s="6" t="s">
        <v>895</v>
      </c>
      <c r="O415" s="128">
        <v>45330</v>
      </c>
      <c r="P415" s="33" t="str">
        <f>HYPERLINK("https://my.zakupivli.pro/remote/dispatcher/state_purchase_view/49051879", "UA-2024-02-08-012979-a")</f>
        <v>UA-2024-02-08-012979-a</v>
      </c>
      <c r="Q415" s="127"/>
      <c r="R415" s="127">
        <v>36</v>
      </c>
      <c r="S415" s="117">
        <v>189.27</v>
      </c>
      <c r="T415" s="128">
        <v>45344</v>
      </c>
      <c r="U415" s="127"/>
      <c r="V415" s="127"/>
    </row>
    <row r="416" spans="1:22" ht="78" x14ac:dyDescent="0.3">
      <c r="A416" s="127">
        <v>413</v>
      </c>
      <c r="B416" s="127" t="s">
        <v>21</v>
      </c>
      <c r="C416" s="44" t="s">
        <v>893</v>
      </c>
      <c r="D416" s="127" t="s">
        <v>58</v>
      </c>
      <c r="E416" s="127" t="s">
        <v>88</v>
      </c>
      <c r="F416" s="44" t="s">
        <v>891</v>
      </c>
      <c r="G416" s="127" t="s">
        <v>185</v>
      </c>
      <c r="H416" s="590"/>
      <c r="I416" s="127">
        <v>70</v>
      </c>
      <c r="J416" s="590">
        <v>2250</v>
      </c>
      <c r="K416" s="590"/>
      <c r="L416" s="127">
        <v>70</v>
      </c>
      <c r="M416" s="590">
        <v>2250</v>
      </c>
      <c r="N416" s="6" t="s">
        <v>896</v>
      </c>
      <c r="O416" s="128">
        <v>45330</v>
      </c>
      <c r="P416" s="33" t="str">
        <f>HYPERLINK("https://my.zakupivli.pro/remote/dispatcher/state_purchase_view/49051488", "UA-2024-02-08-012868-a")</f>
        <v>UA-2024-02-08-012868-a</v>
      </c>
      <c r="Q416" s="127"/>
      <c r="R416" s="127">
        <v>70</v>
      </c>
      <c r="S416" s="155">
        <v>2160.1999999999998</v>
      </c>
      <c r="T416" s="128">
        <v>45350</v>
      </c>
      <c r="U416" s="127"/>
      <c r="V416" s="127"/>
    </row>
    <row r="417" spans="1:22" ht="62.4" x14ac:dyDescent="0.3">
      <c r="A417" s="127">
        <v>414</v>
      </c>
      <c r="B417" s="127" t="s">
        <v>21</v>
      </c>
      <c r="C417" s="44" t="s">
        <v>894</v>
      </c>
      <c r="D417" s="127" t="s">
        <v>58</v>
      </c>
      <c r="E417" s="127" t="s">
        <v>75</v>
      </c>
      <c r="F417" s="44" t="s">
        <v>892</v>
      </c>
      <c r="G417" s="127" t="s">
        <v>186</v>
      </c>
      <c r="H417" s="590"/>
      <c r="I417" s="127">
        <v>16</v>
      </c>
      <c r="J417" s="590">
        <v>216.47</v>
      </c>
      <c r="K417" s="590"/>
      <c r="L417" s="127">
        <v>16</v>
      </c>
      <c r="M417" s="590">
        <v>216.47</v>
      </c>
      <c r="N417" s="6" t="s">
        <v>897</v>
      </c>
      <c r="O417" s="128">
        <v>45330</v>
      </c>
      <c r="P417" s="33" t="str">
        <f>HYPERLINK("https://my.zakupivli.pro/remote/dispatcher/state_purchase_view/49049714", "UA-2024-02-08-012050-a")</f>
        <v>UA-2024-02-08-012050-a</v>
      </c>
      <c r="Q417" s="127"/>
      <c r="R417" s="127">
        <v>16</v>
      </c>
      <c r="S417" s="127">
        <v>211.97399999999999</v>
      </c>
      <c r="T417" s="128">
        <v>45352</v>
      </c>
      <c r="U417" s="127"/>
      <c r="V417" s="127"/>
    </row>
    <row r="418" spans="1:22" ht="140.4" x14ac:dyDescent="0.3">
      <c r="A418" s="127">
        <v>415</v>
      </c>
      <c r="B418" s="127" t="s">
        <v>21</v>
      </c>
      <c r="C418" s="44" t="s">
        <v>173</v>
      </c>
      <c r="D418" s="127" t="s">
        <v>58</v>
      </c>
      <c r="E418" s="127" t="s">
        <v>88</v>
      </c>
      <c r="F418" s="44" t="s">
        <v>898</v>
      </c>
      <c r="G418" s="127" t="s">
        <v>185</v>
      </c>
      <c r="H418" s="590"/>
      <c r="I418" s="127">
        <v>23</v>
      </c>
      <c r="J418" s="590">
        <v>2507</v>
      </c>
      <c r="K418" s="590"/>
      <c r="L418" s="127">
        <v>23</v>
      </c>
      <c r="M418" s="590">
        <v>2507</v>
      </c>
      <c r="N418" s="6" t="s">
        <v>899</v>
      </c>
      <c r="O418" s="128">
        <v>45330</v>
      </c>
      <c r="P418" s="33" t="str">
        <f>HYPERLINK("https://my.zakupivli.pro/remote/dispatcher/state_purchase_view/49052400", "UA-2024-02-08-013211-a")</f>
        <v>UA-2024-02-08-013211-a</v>
      </c>
      <c r="Q418" s="127"/>
      <c r="R418" s="127">
        <v>23</v>
      </c>
      <c r="S418" s="117">
        <v>2507</v>
      </c>
      <c r="T418" s="163">
        <v>45352</v>
      </c>
      <c r="U418" s="127"/>
      <c r="V418" s="127"/>
    </row>
    <row r="419" spans="1:22" ht="62.4" x14ac:dyDescent="0.3">
      <c r="A419" s="130">
        <v>416</v>
      </c>
      <c r="B419" s="130" t="s">
        <v>40</v>
      </c>
      <c r="C419" s="44" t="s">
        <v>884</v>
      </c>
      <c r="D419" s="130"/>
      <c r="E419" s="130" t="s">
        <v>88</v>
      </c>
      <c r="F419" s="44" t="s">
        <v>900</v>
      </c>
      <c r="G419" s="130" t="s">
        <v>184</v>
      </c>
      <c r="H419" s="590">
        <v>462.97890000000001</v>
      </c>
      <c r="I419" s="130">
        <v>1</v>
      </c>
      <c r="J419" s="590">
        <v>462.97890000000001</v>
      </c>
      <c r="K419" s="590">
        <v>462.97890000000001</v>
      </c>
      <c r="L419" s="130">
        <v>1</v>
      </c>
      <c r="M419" s="590">
        <v>462.97890000000001</v>
      </c>
      <c r="N419" s="6" t="s">
        <v>904</v>
      </c>
      <c r="O419" s="131">
        <v>45336</v>
      </c>
      <c r="P419" s="33" t="str">
        <f>HYPERLINK("https://my.zakupivli.pro/remote/dispatcher/state_purchase_view/49159801", "UA-2024-02-14-000570-a")</f>
        <v>UA-2024-02-14-000570-a</v>
      </c>
      <c r="Q419" s="130">
        <v>462.97890000000001</v>
      </c>
      <c r="R419" s="130">
        <v>1</v>
      </c>
      <c r="S419" s="130">
        <v>462.97890000000001</v>
      </c>
      <c r="T419" s="149">
        <v>45336</v>
      </c>
      <c r="U419" s="130"/>
      <c r="V419" s="130" t="s">
        <v>59</v>
      </c>
    </row>
    <row r="420" spans="1:22" ht="62.4" x14ac:dyDescent="0.3">
      <c r="A420" s="130">
        <v>417</v>
      </c>
      <c r="B420" s="130" t="s">
        <v>40</v>
      </c>
      <c r="C420" s="44" t="s">
        <v>884</v>
      </c>
      <c r="D420" s="130"/>
      <c r="E420" s="130" t="s">
        <v>88</v>
      </c>
      <c r="F420" s="44" t="s">
        <v>901</v>
      </c>
      <c r="G420" s="130" t="s">
        <v>184</v>
      </c>
      <c r="H420" s="590">
        <v>487.69560999999999</v>
      </c>
      <c r="I420" s="130">
        <v>1</v>
      </c>
      <c r="J420" s="590">
        <v>487.69560999999999</v>
      </c>
      <c r="K420" s="590">
        <v>487.69560999999999</v>
      </c>
      <c r="L420" s="130">
        <v>1</v>
      </c>
      <c r="M420" s="590">
        <v>487.69560999999999</v>
      </c>
      <c r="N420" s="6" t="s">
        <v>905</v>
      </c>
      <c r="O420" s="131">
        <v>45336</v>
      </c>
      <c r="P420" s="33" t="str">
        <f>HYPERLINK("https://my.zakupivli.pro/remote/dispatcher/state_purchase_view/49159395", "UA-2024-02-14-000440-a")</f>
        <v>UA-2024-02-14-000440-a</v>
      </c>
      <c r="Q420" s="130">
        <v>487.69560999999999</v>
      </c>
      <c r="R420" s="130">
        <v>1</v>
      </c>
      <c r="S420" s="130">
        <v>487.69560999999999</v>
      </c>
      <c r="T420" s="149">
        <v>45336</v>
      </c>
      <c r="U420" s="130"/>
      <c r="V420" s="130" t="s">
        <v>59</v>
      </c>
    </row>
    <row r="421" spans="1:22" ht="62.4" x14ac:dyDescent="0.3">
      <c r="A421" s="130">
        <v>418</v>
      </c>
      <c r="B421" s="130" t="s">
        <v>40</v>
      </c>
      <c r="C421" s="44" t="s">
        <v>884</v>
      </c>
      <c r="D421" s="130"/>
      <c r="E421" s="130" t="s">
        <v>88</v>
      </c>
      <c r="F421" s="44" t="s">
        <v>902</v>
      </c>
      <c r="G421" s="130" t="s">
        <v>184</v>
      </c>
      <c r="H421" s="590">
        <v>369.64204999999998</v>
      </c>
      <c r="I421" s="130">
        <v>1</v>
      </c>
      <c r="J421" s="590">
        <v>369.64204999999998</v>
      </c>
      <c r="K421" s="590">
        <v>369.64204999999998</v>
      </c>
      <c r="L421" s="130">
        <v>1</v>
      </c>
      <c r="M421" s="590">
        <v>369.64204999999998</v>
      </c>
      <c r="N421" s="6" t="s">
        <v>906</v>
      </c>
      <c r="O421" s="131">
        <v>45336</v>
      </c>
      <c r="P421" s="33" t="str">
        <f>HYPERLINK("https://my.zakupivli.pro/remote/dispatcher/state_purchase_view/49159293", "UA-2024-02-14-000408-a")</f>
        <v>UA-2024-02-14-000408-a</v>
      </c>
      <c r="Q421" s="130">
        <v>369.64204999999998</v>
      </c>
      <c r="R421" s="130">
        <v>1</v>
      </c>
      <c r="S421" s="130">
        <v>369.64204999999998</v>
      </c>
      <c r="T421" s="149">
        <v>45336</v>
      </c>
      <c r="U421" s="130"/>
      <c r="V421" s="130" t="s">
        <v>59</v>
      </c>
    </row>
    <row r="422" spans="1:22" ht="62.4" x14ac:dyDescent="0.3">
      <c r="A422" s="130">
        <v>419</v>
      </c>
      <c r="B422" s="130" t="s">
        <v>40</v>
      </c>
      <c r="C422" s="44" t="s">
        <v>884</v>
      </c>
      <c r="D422" s="130"/>
      <c r="E422" s="130" t="s">
        <v>88</v>
      </c>
      <c r="F422" s="44" t="s">
        <v>903</v>
      </c>
      <c r="G422" s="130" t="s">
        <v>184</v>
      </c>
      <c r="H422" s="590">
        <v>415.62329</v>
      </c>
      <c r="I422" s="130">
        <v>1</v>
      </c>
      <c r="J422" s="590">
        <v>415.62329</v>
      </c>
      <c r="K422" s="590">
        <v>415.62329</v>
      </c>
      <c r="L422" s="130">
        <v>1</v>
      </c>
      <c r="M422" s="590">
        <v>415.62329</v>
      </c>
      <c r="N422" s="6" t="s">
        <v>907</v>
      </c>
      <c r="O422" s="131">
        <v>45336</v>
      </c>
      <c r="P422" s="33" t="str">
        <f>HYPERLINK("https://my.zakupivli.pro/remote/dispatcher/state_purchase_view/49158931", "UA-2024-02-14-000270-a")</f>
        <v>UA-2024-02-14-000270-a</v>
      </c>
      <c r="Q422" s="130">
        <v>415.62329</v>
      </c>
      <c r="R422" s="130">
        <v>1</v>
      </c>
      <c r="S422" s="130">
        <v>415.62329</v>
      </c>
      <c r="T422" s="149">
        <v>45336</v>
      </c>
      <c r="U422" s="130"/>
      <c r="V422" s="130" t="s">
        <v>59</v>
      </c>
    </row>
    <row r="423" spans="1:22" ht="78" x14ac:dyDescent="0.3">
      <c r="A423" s="130">
        <v>420</v>
      </c>
      <c r="B423" s="132" t="s">
        <v>21</v>
      </c>
      <c r="C423" s="44" t="s">
        <v>174</v>
      </c>
      <c r="D423" s="132" t="s">
        <v>58</v>
      </c>
      <c r="E423" s="132" t="s">
        <v>88</v>
      </c>
      <c r="F423" s="44" t="s">
        <v>910</v>
      </c>
      <c r="G423" s="130" t="s">
        <v>187</v>
      </c>
      <c r="H423" s="590"/>
      <c r="I423" s="130">
        <v>2</v>
      </c>
      <c r="J423" s="590">
        <v>141</v>
      </c>
      <c r="K423" s="590"/>
      <c r="L423" s="132">
        <v>2</v>
      </c>
      <c r="M423" s="590">
        <v>141</v>
      </c>
      <c r="N423" s="6" t="s">
        <v>911</v>
      </c>
      <c r="O423" s="131">
        <v>45337</v>
      </c>
      <c r="P423" s="33" t="str">
        <f>HYPERLINK("https://my.zakupivli.pro/remote/dispatcher/state_purchase_view/49215079", "UA-2024-02-15-012214-a")</f>
        <v>UA-2024-02-15-012214-a</v>
      </c>
      <c r="Q423" s="130"/>
      <c r="R423" s="214">
        <v>2</v>
      </c>
      <c r="S423" s="117">
        <v>141</v>
      </c>
      <c r="T423" s="131">
        <v>45373</v>
      </c>
      <c r="U423" s="130"/>
      <c r="V423" s="130"/>
    </row>
    <row r="424" spans="1:22" ht="93.6" x14ac:dyDescent="0.3">
      <c r="A424" s="130">
        <v>421</v>
      </c>
      <c r="B424" s="132" t="s">
        <v>21</v>
      </c>
      <c r="C424" s="44" t="s">
        <v>174</v>
      </c>
      <c r="D424" s="132" t="s">
        <v>58</v>
      </c>
      <c r="E424" s="132" t="s">
        <v>88</v>
      </c>
      <c r="F424" s="44" t="s">
        <v>909</v>
      </c>
      <c r="G424" s="130" t="s">
        <v>187</v>
      </c>
      <c r="H424" s="590"/>
      <c r="I424" s="130">
        <v>33</v>
      </c>
      <c r="J424" s="590">
        <v>804.54</v>
      </c>
      <c r="K424" s="590"/>
      <c r="L424" s="132">
        <v>33</v>
      </c>
      <c r="M424" s="590">
        <v>804.54</v>
      </c>
      <c r="N424" s="6" t="s">
        <v>912</v>
      </c>
      <c r="O424" s="133">
        <v>45337</v>
      </c>
      <c r="P424" s="33" t="str">
        <f>HYPERLINK("https://my.zakupivli.pro/remote/dispatcher/state_purchase_view/49215079", "UA-2024-02-15-012214-a")</f>
        <v>UA-2024-02-15-012214-a</v>
      </c>
      <c r="Q424" s="130"/>
      <c r="R424" s="130"/>
      <c r="S424" s="130"/>
      <c r="T424" s="131"/>
      <c r="U424" s="214" t="s">
        <v>555</v>
      </c>
      <c r="V424" s="130"/>
    </row>
    <row r="425" spans="1:22" ht="62.4" x14ac:dyDescent="0.3">
      <c r="A425" s="130">
        <v>422</v>
      </c>
      <c r="B425" s="132" t="s">
        <v>21</v>
      </c>
      <c r="C425" s="44" t="s">
        <v>30</v>
      </c>
      <c r="D425" s="130"/>
      <c r="E425" s="132" t="s">
        <v>75</v>
      </c>
      <c r="F425" s="44" t="s">
        <v>908</v>
      </c>
      <c r="G425" s="130" t="s">
        <v>186</v>
      </c>
      <c r="H425" s="590"/>
      <c r="I425" s="130">
        <v>4</v>
      </c>
      <c r="J425" s="590">
        <v>81.664599999999993</v>
      </c>
      <c r="K425" s="590"/>
      <c r="L425" s="132">
        <v>4</v>
      </c>
      <c r="M425" s="590">
        <v>81.664599999999993</v>
      </c>
      <c r="N425" s="6" t="s">
        <v>913</v>
      </c>
      <c r="O425" s="133">
        <v>45337</v>
      </c>
      <c r="P425" s="33" t="str">
        <f>HYPERLINK("https://my.zakupivli.pro/remote/dispatcher/state_purchase_view/49193482", "UA-2024-02-15-002556-a")</f>
        <v>UA-2024-02-15-002556-a</v>
      </c>
      <c r="Q425" s="130"/>
      <c r="R425" s="132">
        <v>4</v>
      </c>
      <c r="S425" s="132">
        <v>81.664599999999993</v>
      </c>
      <c r="T425" s="131"/>
      <c r="U425" s="130"/>
      <c r="V425" s="132" t="s">
        <v>59</v>
      </c>
    </row>
    <row r="426" spans="1:22" ht="93.6" x14ac:dyDescent="0.3">
      <c r="A426" s="130">
        <v>423</v>
      </c>
      <c r="B426" s="135" t="s">
        <v>40</v>
      </c>
      <c r="C426" s="44" t="s">
        <v>517</v>
      </c>
      <c r="D426" s="130"/>
      <c r="E426" s="135" t="s">
        <v>75</v>
      </c>
      <c r="F426" s="44" t="s">
        <v>914</v>
      </c>
      <c r="G426" s="130" t="s">
        <v>184</v>
      </c>
      <c r="H426" s="590">
        <v>150.31800000000001</v>
      </c>
      <c r="I426" s="130">
        <v>1</v>
      </c>
      <c r="J426" s="590">
        <v>150.31800000000001</v>
      </c>
      <c r="K426" s="590">
        <v>150.31800000000001</v>
      </c>
      <c r="L426" s="135">
        <v>1</v>
      </c>
      <c r="M426" s="590">
        <v>150.31800000000001</v>
      </c>
      <c r="N426" s="6" t="s">
        <v>915</v>
      </c>
      <c r="O426" s="131">
        <v>45341</v>
      </c>
      <c r="P426" s="33" t="str">
        <f>HYPERLINK("https://my.zakupivli.pro/remote/dispatcher/state_purchase_view/49262531", "UA-2024-02-19-006735-a")</f>
        <v>UA-2024-02-19-006735-a</v>
      </c>
      <c r="Q426" s="135">
        <v>150.31800000000001</v>
      </c>
      <c r="R426" s="135">
        <v>1</v>
      </c>
      <c r="S426" s="135">
        <v>150.31800000000001</v>
      </c>
      <c r="T426" s="131"/>
      <c r="U426" s="130"/>
      <c r="V426" s="135" t="s">
        <v>59</v>
      </c>
    </row>
    <row r="427" spans="1:22" ht="62.4" x14ac:dyDescent="0.3">
      <c r="A427" s="130">
        <v>424</v>
      </c>
      <c r="B427" s="136" t="s">
        <v>40</v>
      </c>
      <c r="C427" s="44" t="s">
        <v>41</v>
      </c>
      <c r="D427" s="130"/>
      <c r="E427" s="136" t="s">
        <v>88</v>
      </c>
      <c r="F427" s="44" t="s">
        <v>916</v>
      </c>
      <c r="G427" s="136" t="s">
        <v>184</v>
      </c>
      <c r="H427" s="590">
        <v>634.35749999999996</v>
      </c>
      <c r="I427" s="130">
        <v>1</v>
      </c>
      <c r="J427" s="590">
        <v>634.35749999999996</v>
      </c>
      <c r="K427" s="590">
        <v>634.35749999999996</v>
      </c>
      <c r="L427" s="136">
        <v>1</v>
      </c>
      <c r="M427" s="590">
        <v>634.35749999999996</v>
      </c>
      <c r="N427" s="6" t="s">
        <v>932</v>
      </c>
      <c r="O427" s="131">
        <v>45342</v>
      </c>
      <c r="P427" s="33" t="str">
        <f>HYPERLINK("https://my.zakupivli.pro/remote/dispatcher/state_purchase_view/49305636", "UA-2024-02-20-011652-a")</f>
        <v>UA-2024-02-20-011652-a</v>
      </c>
      <c r="Q427" s="136">
        <v>634.35749999999996</v>
      </c>
      <c r="R427" s="136">
        <v>1</v>
      </c>
      <c r="S427" s="136">
        <v>634.35749999999996</v>
      </c>
      <c r="T427" s="137">
        <v>45342</v>
      </c>
      <c r="U427" s="130"/>
      <c r="V427" s="136" t="s">
        <v>59</v>
      </c>
    </row>
    <row r="428" spans="1:22" ht="62.4" x14ac:dyDescent="0.3">
      <c r="A428" s="130">
        <v>425</v>
      </c>
      <c r="B428" s="136" t="s">
        <v>40</v>
      </c>
      <c r="C428" s="44" t="s">
        <v>41</v>
      </c>
      <c r="D428" s="130"/>
      <c r="E428" s="136" t="s">
        <v>88</v>
      </c>
      <c r="F428" s="44" t="s">
        <v>917</v>
      </c>
      <c r="G428" s="136" t="s">
        <v>184</v>
      </c>
      <c r="H428" s="590">
        <v>496.01035000000002</v>
      </c>
      <c r="I428" s="130">
        <v>1</v>
      </c>
      <c r="J428" s="590">
        <v>496.01035000000002</v>
      </c>
      <c r="K428" s="590">
        <v>496.01035000000002</v>
      </c>
      <c r="L428" s="136">
        <v>1</v>
      </c>
      <c r="M428" s="590">
        <v>496.01035000000002</v>
      </c>
      <c r="N428" s="6" t="s">
        <v>933</v>
      </c>
      <c r="O428" s="137">
        <v>45342</v>
      </c>
      <c r="P428" s="33" t="str">
        <f>HYPERLINK("https://my.zakupivli.pro/remote/dispatcher/state_purchase_view/49305242", "UA-2024-02-20-011455-a")</f>
        <v>UA-2024-02-20-011455-a</v>
      </c>
      <c r="Q428" s="136">
        <v>496.01035000000002</v>
      </c>
      <c r="R428" s="136">
        <v>1</v>
      </c>
      <c r="S428" s="136">
        <v>496.01035000000002</v>
      </c>
      <c r="T428" s="137">
        <v>45342</v>
      </c>
      <c r="U428" s="130"/>
      <c r="V428" s="136" t="s">
        <v>59</v>
      </c>
    </row>
    <row r="429" spans="1:22" ht="78" x14ac:dyDescent="0.3">
      <c r="A429" s="130">
        <v>426</v>
      </c>
      <c r="B429" s="136" t="s">
        <v>40</v>
      </c>
      <c r="C429" s="44" t="s">
        <v>41</v>
      </c>
      <c r="D429" s="130"/>
      <c r="E429" s="136" t="s">
        <v>88</v>
      </c>
      <c r="F429" s="44" t="s">
        <v>918</v>
      </c>
      <c r="G429" s="136" t="s">
        <v>184</v>
      </c>
      <c r="H429" s="590">
        <v>286.69382000000002</v>
      </c>
      <c r="I429" s="130">
        <v>1</v>
      </c>
      <c r="J429" s="590">
        <v>286.69382000000002</v>
      </c>
      <c r="K429" s="590">
        <v>286.69382000000002</v>
      </c>
      <c r="L429" s="136">
        <v>1</v>
      </c>
      <c r="M429" s="590">
        <v>286.69382000000002</v>
      </c>
      <c r="N429" s="6" t="s">
        <v>934</v>
      </c>
      <c r="O429" s="137">
        <v>45342</v>
      </c>
      <c r="P429" s="33" t="str">
        <f>HYPERLINK("https://my.zakupivli.pro/remote/dispatcher/state_purchase_view/49304806", "UA-2024-02-20-011273-a")</f>
        <v>UA-2024-02-20-011273-a</v>
      </c>
      <c r="Q429" s="136">
        <v>286.69382000000002</v>
      </c>
      <c r="R429" s="136">
        <v>1</v>
      </c>
      <c r="S429" s="136">
        <v>286.69382000000002</v>
      </c>
      <c r="T429" s="137">
        <v>45342</v>
      </c>
      <c r="U429" s="130"/>
      <c r="V429" s="136" t="s">
        <v>59</v>
      </c>
    </row>
    <row r="430" spans="1:22" ht="62.4" x14ac:dyDescent="0.3">
      <c r="A430" s="130">
        <v>427</v>
      </c>
      <c r="B430" s="136" t="s">
        <v>40</v>
      </c>
      <c r="C430" s="44" t="s">
        <v>73</v>
      </c>
      <c r="D430" s="130"/>
      <c r="E430" s="136" t="s">
        <v>75</v>
      </c>
      <c r="F430" s="44" t="s">
        <v>919</v>
      </c>
      <c r="G430" s="136" t="s">
        <v>184</v>
      </c>
      <c r="H430" s="590">
        <v>1249.1666700000001</v>
      </c>
      <c r="I430" s="130">
        <v>1</v>
      </c>
      <c r="J430" s="590">
        <v>1249.1666700000001</v>
      </c>
      <c r="K430" s="590">
        <v>1249.1666700000001</v>
      </c>
      <c r="L430" s="136">
        <v>1</v>
      </c>
      <c r="M430" s="590">
        <v>1249.1666700000001</v>
      </c>
      <c r="N430" s="6" t="s">
        <v>935</v>
      </c>
      <c r="O430" s="137">
        <v>45342</v>
      </c>
      <c r="P430" s="33" t="str">
        <f>HYPERLINK("https://my.zakupivli.pro/remote/dispatcher/state_purchase_view/49304261", "UA-2024-02-20-011051-a")</f>
        <v>UA-2024-02-20-011051-a</v>
      </c>
      <c r="Q430" s="136">
        <v>1249.1666700000001</v>
      </c>
      <c r="R430" s="136">
        <v>1</v>
      </c>
      <c r="S430" s="136">
        <v>1249.1666700000001</v>
      </c>
      <c r="T430" s="137">
        <v>45342</v>
      </c>
      <c r="U430" s="130"/>
      <c r="V430" s="136" t="s">
        <v>59</v>
      </c>
    </row>
    <row r="431" spans="1:22" ht="78" x14ac:dyDescent="0.3">
      <c r="A431" s="130">
        <v>428</v>
      </c>
      <c r="B431" s="136" t="s">
        <v>40</v>
      </c>
      <c r="C431" s="44" t="s">
        <v>41</v>
      </c>
      <c r="D431" s="130"/>
      <c r="E431" s="136" t="s">
        <v>88</v>
      </c>
      <c r="F431" s="44" t="s">
        <v>920</v>
      </c>
      <c r="G431" s="136" t="s">
        <v>184</v>
      </c>
      <c r="H431" s="590">
        <v>175.18467000000001</v>
      </c>
      <c r="I431" s="130">
        <v>1</v>
      </c>
      <c r="J431" s="590">
        <v>175.18467000000001</v>
      </c>
      <c r="K431" s="590">
        <v>175.18467000000001</v>
      </c>
      <c r="L431" s="136">
        <v>1</v>
      </c>
      <c r="M431" s="590">
        <v>175.18467000000001</v>
      </c>
      <c r="N431" s="6" t="s">
        <v>936</v>
      </c>
      <c r="O431" s="137">
        <v>45342</v>
      </c>
      <c r="P431" s="33" t="str">
        <f>HYPERLINK("https://my.zakupivli.pro/remote/dispatcher/state_purchase_view/49303437", "UA-2024-02-20-010626-a")</f>
        <v>UA-2024-02-20-010626-a</v>
      </c>
      <c r="Q431" s="136">
        <v>175.18467000000001</v>
      </c>
      <c r="R431" s="136">
        <v>1</v>
      </c>
      <c r="S431" s="136">
        <v>175.18467000000001</v>
      </c>
      <c r="T431" s="137">
        <v>45342</v>
      </c>
      <c r="U431" s="130"/>
      <c r="V431" s="136" t="s">
        <v>59</v>
      </c>
    </row>
    <row r="432" spans="1:22" ht="62.4" x14ac:dyDescent="0.3">
      <c r="A432" s="130">
        <v>429</v>
      </c>
      <c r="B432" s="136" t="s">
        <v>40</v>
      </c>
      <c r="C432" s="44" t="s">
        <v>73</v>
      </c>
      <c r="D432" s="130"/>
      <c r="E432" s="136" t="s">
        <v>75</v>
      </c>
      <c r="F432" s="44" t="s">
        <v>921</v>
      </c>
      <c r="G432" s="136" t="s">
        <v>184</v>
      </c>
      <c r="H432" s="590">
        <v>1249.1666600000001</v>
      </c>
      <c r="I432" s="130">
        <v>1</v>
      </c>
      <c r="J432" s="590">
        <v>1249.1666600000001</v>
      </c>
      <c r="K432" s="590">
        <v>1249.1666600000001</v>
      </c>
      <c r="L432" s="136">
        <v>1</v>
      </c>
      <c r="M432" s="590">
        <v>1249.1666600000001</v>
      </c>
      <c r="N432" s="6" t="s">
        <v>937</v>
      </c>
      <c r="O432" s="137">
        <v>45342</v>
      </c>
      <c r="P432" s="33" t="str">
        <f>HYPERLINK("https://my.zakupivli.pro/remote/dispatcher/state_purchase_view/49303427", "UA-2024-02-20-010616-a")</f>
        <v>UA-2024-02-20-010616-a</v>
      </c>
      <c r="Q432" s="136">
        <v>1249.1666600000001</v>
      </c>
      <c r="R432" s="136">
        <v>1</v>
      </c>
      <c r="S432" s="136">
        <v>1249.1666600000001</v>
      </c>
      <c r="T432" s="137">
        <v>45342</v>
      </c>
      <c r="U432" s="130"/>
      <c r="V432" s="136" t="s">
        <v>59</v>
      </c>
    </row>
    <row r="433" spans="1:22" ht="78" x14ac:dyDescent="0.3">
      <c r="A433" s="130">
        <v>430</v>
      </c>
      <c r="B433" s="136" t="s">
        <v>40</v>
      </c>
      <c r="C433" s="44" t="s">
        <v>41</v>
      </c>
      <c r="D433" s="130"/>
      <c r="E433" s="136" t="s">
        <v>88</v>
      </c>
      <c r="F433" s="44" t="s">
        <v>922</v>
      </c>
      <c r="G433" s="136" t="s">
        <v>184</v>
      </c>
      <c r="H433" s="590">
        <v>95.543689999999998</v>
      </c>
      <c r="I433" s="130">
        <v>1</v>
      </c>
      <c r="J433" s="590">
        <v>95.543689999999998</v>
      </c>
      <c r="K433" s="590">
        <v>95.543689999999998</v>
      </c>
      <c r="L433" s="136">
        <v>1</v>
      </c>
      <c r="M433" s="590">
        <v>95.543689999999998</v>
      </c>
      <c r="N433" s="6" t="s">
        <v>938</v>
      </c>
      <c r="O433" s="137">
        <v>45342</v>
      </c>
      <c r="P433" s="33" t="str">
        <f>HYPERLINK("https://my.zakupivli.pro/remote/dispatcher/state_purchase_view/49302519", "UA-2024-02-20-010187-a")</f>
        <v>UA-2024-02-20-010187-a</v>
      </c>
      <c r="Q433" s="136">
        <v>95.543689999999998</v>
      </c>
      <c r="R433" s="136">
        <v>1</v>
      </c>
      <c r="S433" s="136">
        <v>95.543689999999998</v>
      </c>
      <c r="T433" s="137">
        <v>45342</v>
      </c>
      <c r="U433" s="130"/>
      <c r="V433" s="136" t="s">
        <v>59</v>
      </c>
    </row>
    <row r="434" spans="1:22" ht="78" x14ac:dyDescent="0.3">
      <c r="A434" s="130">
        <v>431</v>
      </c>
      <c r="B434" s="136" t="s">
        <v>40</v>
      </c>
      <c r="C434" s="44" t="s">
        <v>41</v>
      </c>
      <c r="D434" s="130"/>
      <c r="E434" s="136" t="s">
        <v>88</v>
      </c>
      <c r="F434" s="44" t="s">
        <v>923</v>
      </c>
      <c r="G434" s="136" t="s">
        <v>184</v>
      </c>
      <c r="H434" s="590">
        <v>43.800289999999997</v>
      </c>
      <c r="I434" s="130">
        <v>1</v>
      </c>
      <c r="J434" s="590">
        <v>43.800289999999997</v>
      </c>
      <c r="K434" s="590">
        <v>43.800289999999997</v>
      </c>
      <c r="L434" s="136">
        <v>1</v>
      </c>
      <c r="M434" s="590">
        <v>43.800289999999997</v>
      </c>
      <c r="N434" s="6" t="s">
        <v>939</v>
      </c>
      <c r="O434" s="137">
        <v>45342</v>
      </c>
      <c r="P434" s="33" t="str">
        <f>HYPERLINK("https://my.zakupivli.pro/remote/dispatcher/state_purchase_view/49302173", "UA-2024-02-20-010113-a")</f>
        <v>UA-2024-02-20-010113-a</v>
      </c>
      <c r="Q434" s="136">
        <v>43.800289999999997</v>
      </c>
      <c r="R434" s="136">
        <v>1</v>
      </c>
      <c r="S434" s="136">
        <v>43.800289999999997</v>
      </c>
      <c r="T434" s="137">
        <v>45342</v>
      </c>
      <c r="U434" s="130"/>
      <c r="V434" s="136" t="s">
        <v>59</v>
      </c>
    </row>
    <row r="435" spans="1:22" ht="78" x14ac:dyDescent="0.3">
      <c r="A435" s="130">
        <v>432</v>
      </c>
      <c r="B435" s="136" t="s">
        <v>40</v>
      </c>
      <c r="C435" s="44" t="s">
        <v>41</v>
      </c>
      <c r="D435" s="130"/>
      <c r="E435" s="136" t="s">
        <v>88</v>
      </c>
      <c r="F435" s="44" t="s">
        <v>924</v>
      </c>
      <c r="G435" s="136" t="s">
        <v>184</v>
      </c>
      <c r="H435" s="590">
        <v>402.14404999999999</v>
      </c>
      <c r="I435" s="130">
        <v>1</v>
      </c>
      <c r="J435" s="590">
        <v>402.14404999999999</v>
      </c>
      <c r="K435" s="590">
        <v>402.14404999999999</v>
      </c>
      <c r="L435" s="136">
        <v>1</v>
      </c>
      <c r="M435" s="590">
        <v>402.14404999999999</v>
      </c>
      <c r="N435" s="6" t="s">
        <v>940</v>
      </c>
      <c r="O435" s="137">
        <v>45342</v>
      </c>
      <c r="P435" s="33" t="str">
        <f>HYPERLINK("https://my.zakupivli.pro/remote/dispatcher/state_purchase_view/49301958", "UA-2024-02-20-010042-a")</f>
        <v>UA-2024-02-20-010042-a</v>
      </c>
      <c r="Q435" s="136">
        <v>402.14404999999999</v>
      </c>
      <c r="R435" s="136">
        <v>1</v>
      </c>
      <c r="S435" s="136">
        <v>402.14404999999999</v>
      </c>
      <c r="T435" s="137">
        <v>45342</v>
      </c>
      <c r="U435" s="130"/>
      <c r="V435" s="136" t="s">
        <v>59</v>
      </c>
    </row>
    <row r="436" spans="1:22" ht="78" x14ac:dyDescent="0.3">
      <c r="A436" s="130">
        <v>433</v>
      </c>
      <c r="B436" s="136" t="s">
        <v>40</v>
      </c>
      <c r="C436" s="44" t="s">
        <v>41</v>
      </c>
      <c r="D436" s="130"/>
      <c r="E436" s="136" t="s">
        <v>88</v>
      </c>
      <c r="F436" s="44" t="s">
        <v>925</v>
      </c>
      <c r="G436" s="136" t="s">
        <v>184</v>
      </c>
      <c r="H436" s="590">
        <v>218.98410000000001</v>
      </c>
      <c r="I436" s="130">
        <v>1</v>
      </c>
      <c r="J436" s="590">
        <v>218.98410000000001</v>
      </c>
      <c r="K436" s="590">
        <v>218.98410000000001</v>
      </c>
      <c r="L436" s="136">
        <v>1</v>
      </c>
      <c r="M436" s="590">
        <v>218.98410000000001</v>
      </c>
      <c r="N436" s="6" t="s">
        <v>941</v>
      </c>
      <c r="O436" s="137">
        <v>45342</v>
      </c>
      <c r="P436" s="33" t="str">
        <f>HYPERLINK("https://my.zakupivli.pro/remote/dispatcher/state_purchase_view/49301487", "UA-2024-02-20-009792-a")</f>
        <v>UA-2024-02-20-009792-a</v>
      </c>
      <c r="Q436" s="136">
        <v>218.98410000000001</v>
      </c>
      <c r="R436" s="136">
        <v>1</v>
      </c>
      <c r="S436" s="136">
        <v>218.98410000000001</v>
      </c>
      <c r="T436" s="137">
        <v>45342</v>
      </c>
      <c r="U436" s="130"/>
      <c r="V436" s="136" t="s">
        <v>59</v>
      </c>
    </row>
    <row r="437" spans="1:22" ht="78" x14ac:dyDescent="0.3">
      <c r="A437" s="130">
        <v>434</v>
      </c>
      <c r="B437" s="136" t="s">
        <v>40</v>
      </c>
      <c r="C437" s="44" t="s">
        <v>41</v>
      </c>
      <c r="D437" s="130"/>
      <c r="E437" s="136" t="s">
        <v>88</v>
      </c>
      <c r="F437" s="44" t="s">
        <v>926</v>
      </c>
      <c r="G437" s="136" t="s">
        <v>184</v>
      </c>
      <c r="H437" s="590">
        <v>676.91264000000001</v>
      </c>
      <c r="I437" s="130">
        <v>1</v>
      </c>
      <c r="J437" s="590">
        <v>676.91264000000001</v>
      </c>
      <c r="K437" s="590">
        <v>676.91264000000001</v>
      </c>
      <c r="L437" s="136">
        <v>1</v>
      </c>
      <c r="M437" s="590">
        <v>676.91264000000001</v>
      </c>
      <c r="N437" s="6" t="s">
        <v>942</v>
      </c>
      <c r="O437" s="137">
        <v>45342</v>
      </c>
      <c r="P437" s="33" t="str">
        <f>HYPERLINK("https://my.zakupivli.pro/remote/dispatcher/state_purchase_view/49300786", "UA-2024-02-20-009499-a")</f>
        <v>UA-2024-02-20-009499-a</v>
      </c>
      <c r="Q437" s="136">
        <v>676.91264000000001</v>
      </c>
      <c r="R437" s="136">
        <v>1</v>
      </c>
      <c r="S437" s="136">
        <v>676.91264000000001</v>
      </c>
      <c r="T437" s="137">
        <v>45342</v>
      </c>
      <c r="U437" s="130"/>
      <c r="V437" s="136" t="s">
        <v>59</v>
      </c>
    </row>
    <row r="438" spans="1:22" ht="78" x14ac:dyDescent="0.3">
      <c r="A438" s="130">
        <v>435</v>
      </c>
      <c r="B438" s="136" t="s">
        <v>40</v>
      </c>
      <c r="C438" s="44" t="s">
        <v>41</v>
      </c>
      <c r="D438" s="130"/>
      <c r="E438" s="136" t="s">
        <v>88</v>
      </c>
      <c r="F438" s="44" t="s">
        <v>927</v>
      </c>
      <c r="G438" s="136" t="s">
        <v>184</v>
      </c>
      <c r="H438" s="590">
        <v>48.8902</v>
      </c>
      <c r="I438" s="130">
        <v>1</v>
      </c>
      <c r="J438" s="590">
        <v>48.8902</v>
      </c>
      <c r="K438" s="590">
        <v>48.8902</v>
      </c>
      <c r="L438" s="136">
        <v>1</v>
      </c>
      <c r="M438" s="590">
        <v>48.8902</v>
      </c>
      <c r="N438" s="6" t="s">
        <v>943</v>
      </c>
      <c r="O438" s="137">
        <v>45342</v>
      </c>
      <c r="P438" s="33" t="str">
        <f>HYPERLINK("https://my.zakupivli.pro/remote/dispatcher/state_purchase_view/49300201", "UA-2024-02-20-009222-a")</f>
        <v>UA-2024-02-20-009222-a</v>
      </c>
      <c r="Q438" s="136">
        <v>48.8902</v>
      </c>
      <c r="R438" s="136">
        <v>1</v>
      </c>
      <c r="S438" s="136">
        <v>48.8902</v>
      </c>
      <c r="T438" s="137">
        <v>45342</v>
      </c>
      <c r="U438" s="130"/>
      <c r="V438" s="136" t="s">
        <v>59</v>
      </c>
    </row>
    <row r="439" spans="1:22" ht="78" x14ac:dyDescent="0.3">
      <c r="A439" s="130">
        <v>436</v>
      </c>
      <c r="B439" s="136" t="s">
        <v>40</v>
      </c>
      <c r="C439" s="44" t="s">
        <v>41</v>
      </c>
      <c r="D439" s="130"/>
      <c r="E439" s="136" t="s">
        <v>88</v>
      </c>
      <c r="F439" s="44" t="s">
        <v>928</v>
      </c>
      <c r="G439" s="136" t="s">
        <v>184</v>
      </c>
      <c r="H439" s="590">
        <v>87.01397</v>
      </c>
      <c r="I439" s="130">
        <v>1</v>
      </c>
      <c r="J439" s="590">
        <v>87.01397</v>
      </c>
      <c r="K439" s="590">
        <v>87.01397</v>
      </c>
      <c r="L439" s="136">
        <v>1</v>
      </c>
      <c r="M439" s="590">
        <v>87.01397</v>
      </c>
      <c r="N439" s="6" t="s">
        <v>944</v>
      </c>
      <c r="O439" s="137">
        <v>45342</v>
      </c>
      <c r="P439" s="33" t="str">
        <f>HYPERLINK("https://my.zakupivli.pro/remote/dispatcher/state_purchase_view/49299714", "UA-2024-02-20-008982-a")</f>
        <v>UA-2024-02-20-008982-a</v>
      </c>
      <c r="Q439" s="136">
        <v>87.01397</v>
      </c>
      <c r="R439" s="136">
        <v>1</v>
      </c>
      <c r="S439" s="136">
        <v>87.01397</v>
      </c>
      <c r="T439" s="137">
        <v>45342</v>
      </c>
      <c r="U439" s="130"/>
      <c r="V439" s="136" t="s">
        <v>59</v>
      </c>
    </row>
    <row r="440" spans="1:22" ht="78" x14ac:dyDescent="0.3">
      <c r="A440" s="130">
        <v>437</v>
      </c>
      <c r="B440" s="136" t="s">
        <v>40</v>
      </c>
      <c r="C440" s="44" t="s">
        <v>41</v>
      </c>
      <c r="D440" s="130"/>
      <c r="E440" s="136" t="s">
        <v>88</v>
      </c>
      <c r="F440" s="44" t="s">
        <v>929</v>
      </c>
      <c r="G440" s="136" t="s">
        <v>184</v>
      </c>
      <c r="H440" s="590">
        <v>81.598889999999997</v>
      </c>
      <c r="I440" s="130">
        <v>1</v>
      </c>
      <c r="J440" s="590">
        <v>81.598889999999997</v>
      </c>
      <c r="K440" s="590">
        <v>81.598889999999997</v>
      </c>
      <c r="L440" s="136">
        <v>1</v>
      </c>
      <c r="M440" s="590">
        <v>81.598889999999997</v>
      </c>
      <c r="N440" s="6" t="s">
        <v>945</v>
      </c>
      <c r="O440" s="137">
        <v>45342</v>
      </c>
      <c r="P440" s="33" t="str">
        <f>HYPERLINK("https://my.zakupivli.pro/remote/dispatcher/state_purchase_view/49299258", "UA-2024-02-20-008891-a")</f>
        <v>UA-2024-02-20-008891-a</v>
      </c>
      <c r="Q440" s="136">
        <v>81.598889999999997</v>
      </c>
      <c r="R440" s="136">
        <v>1</v>
      </c>
      <c r="S440" s="136">
        <v>81.598889999999997</v>
      </c>
      <c r="T440" s="137">
        <v>45342</v>
      </c>
      <c r="U440" s="130"/>
      <c r="V440" s="136" t="s">
        <v>59</v>
      </c>
    </row>
    <row r="441" spans="1:22" ht="78" x14ac:dyDescent="0.3">
      <c r="A441" s="130">
        <v>438</v>
      </c>
      <c r="B441" s="136" t="s">
        <v>40</v>
      </c>
      <c r="C441" s="44" t="s">
        <v>41</v>
      </c>
      <c r="D441" s="130"/>
      <c r="E441" s="136" t="s">
        <v>88</v>
      </c>
      <c r="F441" s="44" t="s">
        <v>930</v>
      </c>
      <c r="G441" s="136" t="s">
        <v>184</v>
      </c>
      <c r="H441" s="590">
        <v>141.41246000000001</v>
      </c>
      <c r="I441" s="130">
        <v>1</v>
      </c>
      <c r="J441" s="590">
        <v>141.41246000000001</v>
      </c>
      <c r="K441" s="590">
        <v>141.41246000000001</v>
      </c>
      <c r="L441" s="136">
        <v>1</v>
      </c>
      <c r="M441" s="590">
        <v>141.41246000000001</v>
      </c>
      <c r="N441" s="6" t="s">
        <v>946</v>
      </c>
      <c r="O441" s="137">
        <v>45342</v>
      </c>
      <c r="P441" s="33" t="str">
        <f>HYPERLINK("https://my.zakupivli.pro/remote/dispatcher/state_purchase_view/49298239", "UA-2024-02-20-008382-a")</f>
        <v>UA-2024-02-20-008382-a</v>
      </c>
      <c r="Q441" s="136">
        <v>141.41246000000001</v>
      </c>
      <c r="R441" s="136">
        <v>1</v>
      </c>
      <c r="S441" s="136">
        <v>141.41246000000001</v>
      </c>
      <c r="T441" s="137">
        <v>45342</v>
      </c>
      <c r="U441" s="130"/>
      <c r="V441" s="136" t="s">
        <v>59</v>
      </c>
    </row>
    <row r="442" spans="1:22" ht="46.8" x14ac:dyDescent="0.3">
      <c r="A442" s="130">
        <v>439</v>
      </c>
      <c r="B442" s="136" t="s">
        <v>21</v>
      </c>
      <c r="C442" s="44" t="s">
        <v>36</v>
      </c>
      <c r="D442" s="136" t="s">
        <v>58</v>
      </c>
      <c r="E442" s="136" t="s">
        <v>75</v>
      </c>
      <c r="F442" s="44" t="s">
        <v>931</v>
      </c>
      <c r="G442" s="130" t="s">
        <v>185</v>
      </c>
      <c r="H442" s="590"/>
      <c r="I442" s="130">
        <v>12</v>
      </c>
      <c r="J442" s="590">
        <v>1343.433</v>
      </c>
      <c r="K442" s="590"/>
      <c r="L442" s="136">
        <v>12</v>
      </c>
      <c r="M442" s="590">
        <v>1343.433</v>
      </c>
      <c r="N442" s="6" t="s">
        <v>947</v>
      </c>
      <c r="O442" s="137">
        <v>45342</v>
      </c>
      <c r="P442" s="33" t="str">
        <f>HYPERLINK("https://my.zakupivli.pro/remote/dispatcher/state_purchase_view/49296397", "UA-2024-02-20-007571-a")</f>
        <v>UA-2024-02-20-007571-a</v>
      </c>
      <c r="Q442" s="130"/>
      <c r="R442" s="136">
        <v>12</v>
      </c>
      <c r="S442" s="136">
        <v>1303.8366699999999</v>
      </c>
      <c r="T442" s="131">
        <v>45362</v>
      </c>
      <c r="U442" s="130"/>
      <c r="V442" s="130"/>
    </row>
    <row r="443" spans="1:22" ht="62.4" x14ac:dyDescent="0.3">
      <c r="A443" s="130">
        <v>440</v>
      </c>
      <c r="B443" s="138" t="s">
        <v>40</v>
      </c>
      <c r="C443" s="44" t="s">
        <v>41</v>
      </c>
      <c r="D443" s="130"/>
      <c r="E443" s="446" t="s">
        <v>20</v>
      </c>
      <c r="F443" s="44" t="s">
        <v>948</v>
      </c>
      <c r="G443" s="130" t="s">
        <v>184</v>
      </c>
      <c r="H443" s="590">
        <v>58.664209999999997</v>
      </c>
      <c r="I443" s="130">
        <v>1</v>
      </c>
      <c r="J443" s="590">
        <v>58.664209999999997</v>
      </c>
      <c r="K443" s="590">
        <v>58.664209999999997</v>
      </c>
      <c r="L443" s="138">
        <v>1</v>
      </c>
      <c r="M443" s="590">
        <v>58.664209999999997</v>
      </c>
      <c r="N443" s="6" t="s">
        <v>951</v>
      </c>
      <c r="O443" s="131">
        <v>45343</v>
      </c>
      <c r="P443" s="33" t="str">
        <f>HYPERLINK("https://my.zakupivli.pro/remote/dispatcher/state_purchase_view/49312970", "UA-2024-02-21-000550-a")</f>
        <v>UA-2024-02-21-000550-a</v>
      </c>
      <c r="Q443" s="138">
        <v>58.664209999999997</v>
      </c>
      <c r="R443" s="138">
        <v>1</v>
      </c>
      <c r="S443" s="138">
        <v>58.664209999999997</v>
      </c>
      <c r="T443" s="139">
        <v>45343</v>
      </c>
      <c r="U443" s="130"/>
      <c r="V443" s="138" t="s">
        <v>59</v>
      </c>
    </row>
    <row r="444" spans="1:22" ht="62.4" x14ac:dyDescent="0.3">
      <c r="A444" s="130">
        <v>441</v>
      </c>
      <c r="B444" s="138" t="s">
        <v>40</v>
      </c>
      <c r="C444" s="44" t="s">
        <v>41</v>
      </c>
      <c r="D444" s="130"/>
      <c r="E444" s="446" t="s">
        <v>20</v>
      </c>
      <c r="F444" s="44" t="s">
        <v>949</v>
      </c>
      <c r="G444" s="130" t="s">
        <v>184</v>
      </c>
      <c r="H444" s="590">
        <v>248.74084999999999</v>
      </c>
      <c r="I444" s="130">
        <v>1</v>
      </c>
      <c r="J444" s="590">
        <v>248.74084999999999</v>
      </c>
      <c r="K444" s="590">
        <v>248.74084999999999</v>
      </c>
      <c r="L444" s="138">
        <v>1</v>
      </c>
      <c r="M444" s="590">
        <v>248.74084999999999</v>
      </c>
      <c r="N444" s="6" t="s">
        <v>952</v>
      </c>
      <c r="O444" s="139">
        <v>45343</v>
      </c>
      <c r="P444" s="33" t="str">
        <f>HYPERLINK("https://my.zakupivli.pro/remote/dispatcher/state_purchase_view/49312594", "UA-2024-02-21-000366-a")</f>
        <v>UA-2024-02-21-000366-a</v>
      </c>
      <c r="Q444" s="138">
        <v>248.74084999999999</v>
      </c>
      <c r="R444" s="138">
        <v>1</v>
      </c>
      <c r="S444" s="138">
        <v>248.74084999999999</v>
      </c>
      <c r="T444" s="139">
        <v>45343</v>
      </c>
      <c r="U444" s="130"/>
      <c r="V444" s="138" t="s">
        <v>59</v>
      </c>
    </row>
    <row r="445" spans="1:22" ht="62.4" x14ac:dyDescent="0.3">
      <c r="A445" s="130">
        <v>442</v>
      </c>
      <c r="B445" s="138" t="s">
        <v>40</v>
      </c>
      <c r="C445" s="44" t="s">
        <v>41</v>
      </c>
      <c r="D445" s="130"/>
      <c r="E445" s="446" t="s">
        <v>20</v>
      </c>
      <c r="F445" s="44" t="s">
        <v>950</v>
      </c>
      <c r="G445" s="130" t="s">
        <v>184</v>
      </c>
      <c r="H445" s="590">
        <v>614.07236999999998</v>
      </c>
      <c r="I445" s="130">
        <v>1</v>
      </c>
      <c r="J445" s="590">
        <v>614.07236999999998</v>
      </c>
      <c r="K445" s="590">
        <v>614.07236999999998</v>
      </c>
      <c r="L445" s="138">
        <v>1</v>
      </c>
      <c r="M445" s="590">
        <v>614.07236999999998</v>
      </c>
      <c r="N445" s="6" t="s">
        <v>953</v>
      </c>
      <c r="O445" s="139">
        <v>45343</v>
      </c>
      <c r="P445" s="33" t="str">
        <f>HYPERLINK("https://my.zakupivli.pro/remote/dispatcher/state_purchase_view/49312342", "UA-2024-02-21-000270-a")</f>
        <v>UA-2024-02-21-000270-a</v>
      </c>
      <c r="Q445" s="138">
        <v>614.07236999999998</v>
      </c>
      <c r="R445" s="138">
        <v>1</v>
      </c>
      <c r="S445" s="138">
        <v>614.07236999999998</v>
      </c>
      <c r="T445" s="139">
        <v>45343</v>
      </c>
      <c r="U445" s="130"/>
      <c r="V445" s="138" t="s">
        <v>59</v>
      </c>
    </row>
    <row r="446" spans="1:22" ht="62.4" x14ac:dyDescent="0.3">
      <c r="A446" s="130">
        <v>443</v>
      </c>
      <c r="B446" s="140" t="s">
        <v>40</v>
      </c>
      <c r="C446" s="44" t="s">
        <v>41</v>
      </c>
      <c r="D446" s="130"/>
      <c r="E446" s="446" t="s">
        <v>20</v>
      </c>
      <c r="F446" s="44" t="s">
        <v>954</v>
      </c>
      <c r="G446" s="140" t="s">
        <v>184</v>
      </c>
      <c r="H446" s="590">
        <v>381.84183000000002</v>
      </c>
      <c r="I446" s="140">
        <v>1</v>
      </c>
      <c r="J446" s="590">
        <v>381.84183000000002</v>
      </c>
      <c r="K446" s="590">
        <v>381.84183000000002</v>
      </c>
      <c r="L446" s="140">
        <v>1</v>
      </c>
      <c r="M446" s="590">
        <v>381.84183000000002</v>
      </c>
      <c r="N446" s="6" t="s">
        <v>959</v>
      </c>
      <c r="O446" s="131">
        <v>45344</v>
      </c>
      <c r="P446" s="33" t="str">
        <f>HYPERLINK("https://my.zakupivli.pro/remote/dispatcher/state_purchase_view/49350980", "UA-2024-02-22-002895-a")</f>
        <v>UA-2024-02-22-002895-a</v>
      </c>
      <c r="Q446" s="140">
        <v>381.84183000000002</v>
      </c>
      <c r="R446" s="140">
        <v>1</v>
      </c>
      <c r="S446" s="140">
        <v>381.84183000000002</v>
      </c>
      <c r="T446" s="141">
        <v>45344</v>
      </c>
      <c r="U446" s="130"/>
      <c r="V446" s="140" t="s">
        <v>59</v>
      </c>
    </row>
    <row r="447" spans="1:22" ht="62.4" x14ac:dyDescent="0.3">
      <c r="A447" s="130">
        <v>444</v>
      </c>
      <c r="B447" s="140" t="s">
        <v>40</v>
      </c>
      <c r="C447" s="44" t="s">
        <v>41</v>
      </c>
      <c r="D447" s="130"/>
      <c r="E447" s="446" t="s">
        <v>20</v>
      </c>
      <c r="F447" s="44" t="s">
        <v>955</v>
      </c>
      <c r="G447" s="140" t="s">
        <v>184</v>
      </c>
      <c r="H447" s="590">
        <v>238.40684999999999</v>
      </c>
      <c r="I447" s="140">
        <v>1</v>
      </c>
      <c r="J447" s="590">
        <v>238.40684999999999</v>
      </c>
      <c r="K447" s="590">
        <v>238.40684999999999</v>
      </c>
      <c r="L447" s="140">
        <v>1</v>
      </c>
      <c r="M447" s="590">
        <v>238.40684999999999</v>
      </c>
      <c r="N447" s="6" t="s">
        <v>960</v>
      </c>
      <c r="O447" s="141">
        <v>45344</v>
      </c>
      <c r="P447" s="33" t="str">
        <f>HYPERLINK("https://my.zakupivli.pro/remote/dispatcher/state_purchase_view/49348727", "UA-2024-02-22-001885-a")</f>
        <v>UA-2024-02-22-001885-a</v>
      </c>
      <c r="Q447" s="140">
        <v>238.40684999999999</v>
      </c>
      <c r="R447" s="140">
        <v>1</v>
      </c>
      <c r="S447" s="140">
        <v>238.40684999999999</v>
      </c>
      <c r="T447" s="141">
        <v>45344</v>
      </c>
      <c r="U447" s="130"/>
      <c r="V447" s="140" t="s">
        <v>59</v>
      </c>
    </row>
    <row r="448" spans="1:22" ht="62.4" x14ac:dyDescent="0.3">
      <c r="A448" s="130">
        <v>445</v>
      </c>
      <c r="B448" s="140" t="s">
        <v>40</v>
      </c>
      <c r="C448" s="44" t="s">
        <v>41</v>
      </c>
      <c r="D448" s="130"/>
      <c r="E448" s="446" t="s">
        <v>20</v>
      </c>
      <c r="F448" s="44" t="s">
        <v>956</v>
      </c>
      <c r="G448" s="140" t="s">
        <v>184</v>
      </c>
      <c r="H448" s="590">
        <v>288.66127</v>
      </c>
      <c r="I448" s="140">
        <v>1</v>
      </c>
      <c r="J448" s="590">
        <v>288.66127</v>
      </c>
      <c r="K448" s="590">
        <v>288.66127</v>
      </c>
      <c r="L448" s="140">
        <v>1</v>
      </c>
      <c r="M448" s="590">
        <v>288.66127</v>
      </c>
      <c r="N448" s="6" t="s">
        <v>961</v>
      </c>
      <c r="O448" s="141">
        <v>45344</v>
      </c>
      <c r="P448" s="33" t="str">
        <f>HYPERLINK("https://my.zakupivli.pro/remote/dispatcher/state_purchase_view/49347008", "UA-2024-02-22-001148-a")</f>
        <v>UA-2024-02-22-001148-a</v>
      </c>
      <c r="Q448" s="140">
        <v>288.66127</v>
      </c>
      <c r="R448" s="140">
        <v>1</v>
      </c>
      <c r="S448" s="140">
        <v>288.66127</v>
      </c>
      <c r="T448" s="141">
        <v>45344</v>
      </c>
      <c r="U448" s="130"/>
      <c r="V448" s="140" t="s">
        <v>59</v>
      </c>
    </row>
    <row r="449" spans="1:22" ht="62.4" x14ac:dyDescent="0.3">
      <c r="A449" s="130">
        <v>446</v>
      </c>
      <c r="B449" s="140" t="s">
        <v>40</v>
      </c>
      <c r="C449" s="44" t="s">
        <v>73</v>
      </c>
      <c r="D449" s="130"/>
      <c r="E449" s="140" t="s">
        <v>75</v>
      </c>
      <c r="F449" s="44" t="s">
        <v>957</v>
      </c>
      <c r="G449" s="140" t="s">
        <v>184</v>
      </c>
      <c r="H449" s="590">
        <v>409.11955999999998</v>
      </c>
      <c r="I449" s="140">
        <v>1</v>
      </c>
      <c r="J449" s="590">
        <v>409.11955999999998</v>
      </c>
      <c r="K449" s="590">
        <v>409.11955999999998</v>
      </c>
      <c r="L449" s="140">
        <v>1</v>
      </c>
      <c r="M449" s="590">
        <v>409.11955999999998</v>
      </c>
      <c r="N449" s="6" t="s">
        <v>962</v>
      </c>
      <c r="O449" s="141">
        <v>45344</v>
      </c>
      <c r="P449" s="33" t="str">
        <f>HYPERLINK("https://my.zakupivli.pro/remote/dispatcher/state_purchase_view/49345061", "UA-2024-02-22-000344-a")</f>
        <v>UA-2024-02-22-000344-a</v>
      </c>
      <c r="Q449" s="140">
        <v>409.11955999999998</v>
      </c>
      <c r="R449" s="140">
        <v>1</v>
      </c>
      <c r="S449" s="140">
        <v>409.11955999999998</v>
      </c>
      <c r="T449" s="141">
        <v>45344</v>
      </c>
      <c r="U449" s="130"/>
      <c r="V449" s="140" t="s">
        <v>59</v>
      </c>
    </row>
    <row r="450" spans="1:22" ht="62.4" x14ac:dyDescent="0.3">
      <c r="A450" s="130">
        <v>447</v>
      </c>
      <c r="B450" s="140" t="s">
        <v>40</v>
      </c>
      <c r="C450" s="44" t="s">
        <v>73</v>
      </c>
      <c r="D450" s="130"/>
      <c r="E450" s="140" t="s">
        <v>75</v>
      </c>
      <c r="F450" s="44" t="s">
        <v>958</v>
      </c>
      <c r="G450" s="140" t="s">
        <v>184</v>
      </c>
      <c r="H450" s="590">
        <v>817.76594999999998</v>
      </c>
      <c r="I450" s="140">
        <v>1</v>
      </c>
      <c r="J450" s="590">
        <v>817.76594999999998</v>
      </c>
      <c r="K450" s="590">
        <v>817.76594999999998</v>
      </c>
      <c r="L450" s="140">
        <v>1</v>
      </c>
      <c r="M450" s="590">
        <v>817.76594999999998</v>
      </c>
      <c r="N450" s="6" t="s">
        <v>963</v>
      </c>
      <c r="O450" s="141">
        <v>45344</v>
      </c>
      <c r="P450" s="33" t="str">
        <f>HYPERLINK("https://my.zakupivli.pro/remote/dispatcher/state_purchase_view/49344568", "UA-2024-02-22-000149-a")</f>
        <v>UA-2024-02-22-000149-a</v>
      </c>
      <c r="Q450" s="140">
        <v>817.76594999999998</v>
      </c>
      <c r="R450" s="140">
        <v>1</v>
      </c>
      <c r="S450" s="140">
        <v>817.76594999999998</v>
      </c>
      <c r="T450" s="141">
        <v>45344</v>
      </c>
      <c r="U450" s="130"/>
      <c r="V450" s="140" t="s">
        <v>59</v>
      </c>
    </row>
    <row r="451" spans="1:22" ht="62.4" x14ac:dyDescent="0.3">
      <c r="A451" s="130">
        <v>448</v>
      </c>
      <c r="B451" s="140" t="s">
        <v>40</v>
      </c>
      <c r="C451" s="44" t="s">
        <v>41</v>
      </c>
      <c r="D451" s="130"/>
      <c r="E451" s="446" t="s">
        <v>20</v>
      </c>
      <c r="F451" s="44" t="s">
        <v>964</v>
      </c>
      <c r="G451" s="140" t="s">
        <v>184</v>
      </c>
      <c r="H451" s="590">
        <v>454.31464</v>
      </c>
      <c r="I451" s="130">
        <v>1</v>
      </c>
      <c r="J451" s="590">
        <v>454.31464</v>
      </c>
      <c r="K451" s="590">
        <v>454.31464</v>
      </c>
      <c r="L451" s="140">
        <v>1</v>
      </c>
      <c r="M451" s="590">
        <v>454.31464</v>
      </c>
      <c r="N451" s="6" t="s">
        <v>966</v>
      </c>
      <c r="O451" s="141">
        <v>45344</v>
      </c>
      <c r="P451" s="33" t="str">
        <f>HYPERLINK("https://my.zakupivli.pro/remote/dispatcher/state_purchase_view/49369718", "UA-2024-02-22-011155-a")</f>
        <v>UA-2024-02-22-011155-a</v>
      </c>
      <c r="Q451" s="140">
        <v>454.31464</v>
      </c>
      <c r="R451" s="140">
        <v>1</v>
      </c>
      <c r="S451" s="140">
        <v>454.31464</v>
      </c>
      <c r="T451" s="141">
        <v>45344</v>
      </c>
      <c r="U451" s="130"/>
      <c r="V451" s="140" t="s">
        <v>59</v>
      </c>
    </row>
    <row r="452" spans="1:22" ht="62.4" x14ac:dyDescent="0.3">
      <c r="A452" s="130">
        <v>449</v>
      </c>
      <c r="B452" s="140" t="s">
        <v>40</v>
      </c>
      <c r="C452" s="44" t="s">
        <v>41</v>
      </c>
      <c r="D452" s="130"/>
      <c r="E452" s="446" t="s">
        <v>20</v>
      </c>
      <c r="F452" s="44" t="s">
        <v>965</v>
      </c>
      <c r="G452" s="140" t="s">
        <v>184</v>
      </c>
      <c r="H452" s="590">
        <v>82.526830000000004</v>
      </c>
      <c r="I452" s="130">
        <v>1</v>
      </c>
      <c r="J452" s="590">
        <v>82.526830000000004</v>
      </c>
      <c r="K452" s="590">
        <v>82.526830000000004</v>
      </c>
      <c r="L452" s="140">
        <v>1</v>
      </c>
      <c r="M452" s="590">
        <v>82.526830000000004</v>
      </c>
      <c r="N452" s="6" t="s">
        <v>967</v>
      </c>
      <c r="O452" s="141">
        <v>45344</v>
      </c>
      <c r="P452" s="33" t="str">
        <f>HYPERLINK("https://my.zakupivli.pro/remote/dispatcher/state_purchase_view/49369192", "UA-2024-02-22-011040-a")</f>
        <v>UA-2024-02-22-011040-a</v>
      </c>
      <c r="Q452" s="140">
        <v>82.526830000000004</v>
      </c>
      <c r="R452" s="140">
        <v>1</v>
      </c>
      <c r="S452" s="140">
        <v>82.526830000000004</v>
      </c>
      <c r="T452" s="141">
        <v>45344</v>
      </c>
      <c r="U452" s="130"/>
      <c r="V452" s="140" t="s">
        <v>59</v>
      </c>
    </row>
    <row r="453" spans="1:22" ht="46.8" x14ac:dyDescent="0.3">
      <c r="A453" s="130">
        <v>450</v>
      </c>
      <c r="B453" s="130" t="s">
        <v>21</v>
      </c>
      <c r="C453" s="44" t="s">
        <v>969</v>
      </c>
      <c r="D453" s="130"/>
      <c r="E453" s="142" t="s">
        <v>75</v>
      </c>
      <c r="F453" s="44" t="s">
        <v>968</v>
      </c>
      <c r="G453" s="130" t="s">
        <v>186</v>
      </c>
      <c r="H453" s="590"/>
      <c r="I453" s="130">
        <v>39</v>
      </c>
      <c r="J453" s="590">
        <v>162.77915999999999</v>
      </c>
      <c r="K453" s="590"/>
      <c r="L453" s="142">
        <v>39</v>
      </c>
      <c r="M453" s="590">
        <v>162.77915999999999</v>
      </c>
      <c r="N453" s="6" t="s">
        <v>970</v>
      </c>
      <c r="O453" s="143">
        <v>45344</v>
      </c>
      <c r="P453" s="33" t="str">
        <f>HYPERLINK("https://my.zakupivli.pro/remote/dispatcher/state_purchase_view/49362827", "UA-2024-02-22-008123-a")</f>
        <v>UA-2024-02-22-008123-a</v>
      </c>
      <c r="Q453" s="130"/>
      <c r="R453" s="130">
        <v>39</v>
      </c>
      <c r="S453" s="130">
        <v>162.73124000000001</v>
      </c>
      <c r="T453" s="131">
        <v>45364</v>
      </c>
      <c r="U453" s="130"/>
      <c r="V453" s="130"/>
    </row>
    <row r="454" spans="1:22" ht="62.4" x14ac:dyDescent="0.3">
      <c r="A454" s="130">
        <v>451</v>
      </c>
      <c r="B454" s="144" t="s">
        <v>40</v>
      </c>
      <c r="C454" s="44" t="s">
        <v>884</v>
      </c>
      <c r="D454" s="130"/>
      <c r="E454" s="144" t="s">
        <v>88</v>
      </c>
      <c r="F454" s="44" t="s">
        <v>972</v>
      </c>
      <c r="G454" s="130" t="s">
        <v>184</v>
      </c>
      <c r="H454" s="590">
        <v>524.18587000000002</v>
      </c>
      <c r="I454" s="130">
        <v>1</v>
      </c>
      <c r="J454" s="590">
        <v>524.18587000000002</v>
      </c>
      <c r="K454" s="590">
        <v>524.18587000000002</v>
      </c>
      <c r="L454" s="144">
        <v>1</v>
      </c>
      <c r="M454" s="590">
        <v>524.18587000000002</v>
      </c>
      <c r="N454" s="6" t="s">
        <v>973</v>
      </c>
      <c r="O454" s="131">
        <v>45345</v>
      </c>
      <c r="P454" s="33" t="str">
        <f>HYPERLINK("https://my.zakupivli.pro/remote/dispatcher/state_purchase_view/49381942", "UA-2024-02-23-002262-a")</f>
        <v>UA-2024-02-23-002262-a</v>
      </c>
      <c r="Q454" s="144">
        <v>524.18587000000002</v>
      </c>
      <c r="R454" s="144">
        <v>1</v>
      </c>
      <c r="S454" s="144">
        <v>524.18587000000002</v>
      </c>
      <c r="T454" s="145">
        <v>45345</v>
      </c>
      <c r="U454" s="130"/>
      <c r="V454" s="144" t="s">
        <v>59</v>
      </c>
    </row>
    <row r="455" spans="1:22" ht="62.4" x14ac:dyDescent="0.3">
      <c r="A455" s="130">
        <v>452</v>
      </c>
      <c r="B455" s="144" t="s">
        <v>40</v>
      </c>
      <c r="C455" s="44" t="s">
        <v>884</v>
      </c>
      <c r="D455" s="130"/>
      <c r="E455" s="144" t="s">
        <v>88</v>
      </c>
      <c r="F455" s="44" t="s">
        <v>971</v>
      </c>
      <c r="G455" s="130" t="s">
        <v>184</v>
      </c>
      <c r="H455" s="590">
        <v>433.81254999999999</v>
      </c>
      <c r="I455" s="130">
        <v>1</v>
      </c>
      <c r="J455" s="590">
        <v>433.81254999999999</v>
      </c>
      <c r="K455" s="590">
        <v>433.81254999999999</v>
      </c>
      <c r="L455" s="144">
        <v>1</v>
      </c>
      <c r="M455" s="590">
        <v>433.81254999999999</v>
      </c>
      <c r="N455" s="6" t="s">
        <v>974</v>
      </c>
      <c r="O455" s="145">
        <v>45345</v>
      </c>
      <c r="P455" s="33" t="str">
        <f>HYPERLINK("https://my.zakupivli.pro/remote/dispatcher/state_purchase_view/49380309", "UA-2024-02-23-001573-a")</f>
        <v>UA-2024-02-23-001573-a</v>
      </c>
      <c r="Q455" s="144">
        <v>433.81254999999999</v>
      </c>
      <c r="R455" s="144">
        <v>1</v>
      </c>
      <c r="S455" s="144">
        <v>433.81254999999999</v>
      </c>
      <c r="T455" s="145">
        <v>45345</v>
      </c>
      <c r="U455" s="130"/>
      <c r="V455" s="144" t="s">
        <v>59</v>
      </c>
    </row>
    <row r="456" spans="1:22" ht="62.4" x14ac:dyDescent="0.3">
      <c r="A456" s="130">
        <v>453</v>
      </c>
      <c r="B456" s="147" t="s">
        <v>40</v>
      </c>
      <c r="C456" s="44" t="s">
        <v>41</v>
      </c>
      <c r="D456" s="130"/>
      <c r="E456" s="147" t="s">
        <v>75</v>
      </c>
      <c r="F456" s="44" t="s">
        <v>975</v>
      </c>
      <c r="G456" s="147" t="s">
        <v>184</v>
      </c>
      <c r="H456" s="590">
        <v>295.57825000000003</v>
      </c>
      <c r="I456" s="130">
        <v>1</v>
      </c>
      <c r="J456" s="590">
        <v>295.57825000000003</v>
      </c>
      <c r="K456" s="590">
        <v>295.57825000000003</v>
      </c>
      <c r="L456" s="147">
        <v>1</v>
      </c>
      <c r="M456" s="590">
        <v>295.57825000000003</v>
      </c>
      <c r="N456" s="6" t="s">
        <v>977</v>
      </c>
      <c r="O456" s="131">
        <v>45348</v>
      </c>
      <c r="P456" s="33" t="str">
        <f>HYPERLINK("https://my.zakupivli.pro/remote/dispatcher/state_purchase_view/49407849", "UA-2024-02-26-000121-a")</f>
        <v>UA-2024-02-26-000121-a</v>
      </c>
      <c r="Q456" s="147">
        <v>295.57825000000003</v>
      </c>
      <c r="R456" s="147">
        <v>1</v>
      </c>
      <c r="S456" s="147">
        <v>295.57825000000003</v>
      </c>
      <c r="T456" s="146">
        <v>45348</v>
      </c>
      <c r="U456" s="130"/>
      <c r="V456" s="147" t="s">
        <v>59</v>
      </c>
    </row>
    <row r="457" spans="1:22" ht="62.4" x14ac:dyDescent="0.3">
      <c r="A457" s="130">
        <v>454</v>
      </c>
      <c r="B457" s="147" t="s">
        <v>40</v>
      </c>
      <c r="C457" s="44" t="s">
        <v>517</v>
      </c>
      <c r="D457" s="130"/>
      <c r="E457" s="147" t="s">
        <v>75</v>
      </c>
      <c r="F457" s="44" t="s">
        <v>976</v>
      </c>
      <c r="G457" s="147" t="s">
        <v>184</v>
      </c>
      <c r="H457" s="590">
        <v>75.334800000000001</v>
      </c>
      <c r="I457" s="130">
        <v>1</v>
      </c>
      <c r="J457" s="590">
        <v>75.334800000000001</v>
      </c>
      <c r="K457" s="590">
        <v>75.334800000000001</v>
      </c>
      <c r="L457" s="147">
        <v>1</v>
      </c>
      <c r="M457" s="590">
        <v>75.334800000000001</v>
      </c>
      <c r="N457" s="6" t="s">
        <v>978</v>
      </c>
      <c r="O457" s="146">
        <v>45348</v>
      </c>
      <c r="P457" s="42" t="str">
        <f>HYPERLINK("https://my.zakupivli.pro/remote/dispatcher/state_purchase_view/49407682", "UA-2024-02-26-000066-a")</f>
        <v>UA-2024-02-26-000066-a</v>
      </c>
      <c r="Q457" s="147">
        <v>75.334800000000001</v>
      </c>
      <c r="R457" s="147">
        <v>1</v>
      </c>
      <c r="S457" s="147">
        <v>75.334800000000001</v>
      </c>
      <c r="T457" s="146">
        <v>45348</v>
      </c>
      <c r="U457" s="130"/>
      <c r="V457" s="147" t="s">
        <v>59</v>
      </c>
    </row>
    <row r="458" spans="1:22" ht="46.8" x14ac:dyDescent="0.3">
      <c r="A458" s="130">
        <v>455</v>
      </c>
      <c r="B458" s="148" t="s">
        <v>21</v>
      </c>
      <c r="C458" s="41" t="s">
        <v>180</v>
      </c>
      <c r="D458" s="148" t="s">
        <v>58</v>
      </c>
      <c r="E458" s="148" t="s">
        <v>75</v>
      </c>
      <c r="F458" s="41" t="s">
        <v>979</v>
      </c>
      <c r="G458" s="130" t="s">
        <v>186</v>
      </c>
      <c r="H458" s="590"/>
      <c r="I458" s="130">
        <v>5</v>
      </c>
      <c r="J458" s="590">
        <v>372.96</v>
      </c>
      <c r="K458" s="590"/>
      <c r="L458" s="148">
        <v>5</v>
      </c>
      <c r="M458" s="590">
        <v>372.96</v>
      </c>
      <c r="N458" s="6" t="s">
        <v>980</v>
      </c>
      <c r="O458" s="131">
        <v>45349</v>
      </c>
      <c r="P458" s="33" t="str">
        <f>HYPERLINK("https://my.zakupivli.pro/remote/dispatcher/state_purchase_view/49447825", "UA-2024-02-27-004245-a")</f>
        <v>UA-2024-02-27-004245-a</v>
      </c>
      <c r="Q458" s="130"/>
      <c r="R458" s="130">
        <v>5</v>
      </c>
      <c r="S458" s="130">
        <v>332.6234</v>
      </c>
      <c r="T458" s="131">
        <v>45364</v>
      </c>
      <c r="U458" s="130"/>
      <c r="V458" s="130"/>
    </row>
    <row r="459" spans="1:22" ht="43.2" x14ac:dyDescent="0.3">
      <c r="A459" s="130">
        <v>456</v>
      </c>
      <c r="B459" s="150" t="s">
        <v>21</v>
      </c>
      <c r="C459" s="154" t="s">
        <v>32</v>
      </c>
      <c r="D459" s="150" t="s">
        <v>58</v>
      </c>
      <c r="E459" s="150" t="s">
        <v>75</v>
      </c>
      <c r="F459" s="154" t="s">
        <v>981</v>
      </c>
      <c r="G459" s="130" t="s">
        <v>186</v>
      </c>
      <c r="H459" s="590"/>
      <c r="I459" s="130">
        <v>3</v>
      </c>
      <c r="J459" s="590">
        <v>367.5</v>
      </c>
      <c r="K459" s="590"/>
      <c r="L459" s="150">
        <v>3</v>
      </c>
      <c r="M459" s="590">
        <v>367.5</v>
      </c>
      <c r="N459" s="6" t="s">
        <v>985</v>
      </c>
      <c r="O459" s="131">
        <v>45350</v>
      </c>
      <c r="P459" s="33" t="str">
        <f>HYPERLINK("https://my.zakupivli.pro/remote/dispatcher/state_purchase_view/49472296", "UA-2024-02-28-002778-a")</f>
        <v>UA-2024-02-28-002778-a</v>
      </c>
      <c r="Q459" s="130"/>
      <c r="R459" s="130">
        <v>3</v>
      </c>
      <c r="S459" s="117">
        <v>285</v>
      </c>
      <c r="T459" s="131">
        <v>45392</v>
      </c>
      <c r="U459" s="130"/>
      <c r="V459" s="130"/>
    </row>
    <row r="460" spans="1:22" ht="43.2" x14ac:dyDescent="0.3">
      <c r="A460" s="130">
        <v>457</v>
      </c>
      <c r="B460" s="150" t="s">
        <v>21</v>
      </c>
      <c r="C460" s="154" t="s">
        <v>32</v>
      </c>
      <c r="D460" s="150" t="s">
        <v>58</v>
      </c>
      <c r="E460" s="150" t="s">
        <v>75</v>
      </c>
      <c r="F460" s="154" t="s">
        <v>982</v>
      </c>
      <c r="G460" s="130" t="s">
        <v>186</v>
      </c>
      <c r="H460" s="590"/>
      <c r="I460" s="130">
        <v>2</v>
      </c>
      <c r="J460" s="590">
        <v>440.1</v>
      </c>
      <c r="K460" s="590"/>
      <c r="L460" s="150">
        <v>2</v>
      </c>
      <c r="M460" s="590">
        <v>440.1</v>
      </c>
      <c r="N460" s="6" t="s">
        <v>986</v>
      </c>
      <c r="O460" s="151">
        <v>45350</v>
      </c>
      <c r="P460" s="33" t="str">
        <f>HYPERLINK("https://my.zakupivli.pro/remote/dispatcher/state_purchase_view/49472296", "UA-2024-02-28-002778-a")</f>
        <v>UA-2024-02-28-002778-a</v>
      </c>
      <c r="Q460" s="130"/>
      <c r="R460" s="130">
        <v>2</v>
      </c>
      <c r="S460" s="117">
        <v>264.89999999999998</v>
      </c>
      <c r="T460" s="131">
        <v>45394</v>
      </c>
      <c r="U460" s="130"/>
      <c r="V460" s="130"/>
    </row>
    <row r="461" spans="1:22" ht="43.2" x14ac:dyDescent="0.3">
      <c r="A461" s="130">
        <v>458</v>
      </c>
      <c r="B461" s="150" t="s">
        <v>21</v>
      </c>
      <c r="C461" s="154" t="s">
        <v>32</v>
      </c>
      <c r="D461" s="150" t="s">
        <v>58</v>
      </c>
      <c r="E461" s="150" t="s">
        <v>75</v>
      </c>
      <c r="F461" s="154" t="s">
        <v>983</v>
      </c>
      <c r="G461" s="130" t="s">
        <v>186</v>
      </c>
      <c r="H461" s="590"/>
      <c r="I461" s="130">
        <v>7</v>
      </c>
      <c r="J461" s="590">
        <v>136.666</v>
      </c>
      <c r="K461" s="590"/>
      <c r="L461" s="150">
        <v>7</v>
      </c>
      <c r="M461" s="590">
        <v>136.666</v>
      </c>
      <c r="N461" s="6" t="s">
        <v>987</v>
      </c>
      <c r="O461" s="151">
        <v>45350</v>
      </c>
      <c r="P461" s="33" t="str">
        <f>HYPERLINK("https://my.zakupivli.pro/remote/dispatcher/state_purchase_view/49472296", "UA-2024-02-28-002778-a")</f>
        <v>UA-2024-02-28-002778-a</v>
      </c>
      <c r="Q461" s="130"/>
      <c r="R461" s="130">
        <v>7</v>
      </c>
      <c r="S461" s="87">
        <v>100.26</v>
      </c>
      <c r="T461" s="131">
        <v>45392</v>
      </c>
      <c r="U461" s="130"/>
      <c r="V461" s="130"/>
    </row>
    <row r="462" spans="1:22" ht="43.2" x14ac:dyDescent="0.3">
      <c r="A462" s="130">
        <v>459</v>
      </c>
      <c r="B462" s="150" t="s">
        <v>21</v>
      </c>
      <c r="C462" s="154" t="s">
        <v>32</v>
      </c>
      <c r="D462" s="150" t="s">
        <v>58</v>
      </c>
      <c r="E462" s="150" t="s">
        <v>75</v>
      </c>
      <c r="F462" s="154" t="s">
        <v>984</v>
      </c>
      <c r="G462" s="130" t="s">
        <v>186</v>
      </c>
      <c r="H462" s="590"/>
      <c r="I462" s="130">
        <v>1</v>
      </c>
      <c r="J462" s="590">
        <v>450</v>
      </c>
      <c r="K462" s="590"/>
      <c r="L462" s="150">
        <v>1</v>
      </c>
      <c r="M462" s="590">
        <v>450</v>
      </c>
      <c r="N462" s="6" t="s">
        <v>988</v>
      </c>
      <c r="O462" s="151">
        <v>45350</v>
      </c>
      <c r="P462" s="33" t="str">
        <f>HYPERLINK("https://my.zakupivli.pro/remote/dispatcher/state_purchase_view/49472296", "UA-2024-02-28-002778-a")</f>
        <v>UA-2024-02-28-002778-a</v>
      </c>
      <c r="Q462" s="130"/>
      <c r="R462" s="130">
        <v>1</v>
      </c>
      <c r="S462" s="117">
        <v>174.58</v>
      </c>
      <c r="T462" s="131">
        <v>45392</v>
      </c>
      <c r="U462" s="130"/>
      <c r="V462" s="130"/>
    </row>
    <row r="463" spans="1:22" ht="46.8" x14ac:dyDescent="0.3">
      <c r="A463" s="130">
        <v>460</v>
      </c>
      <c r="B463" s="152" t="s">
        <v>21</v>
      </c>
      <c r="C463" s="44" t="s">
        <v>991</v>
      </c>
      <c r="D463" s="152" t="s">
        <v>58</v>
      </c>
      <c r="E463" s="152" t="s">
        <v>75</v>
      </c>
      <c r="F463" s="44" t="s">
        <v>989</v>
      </c>
      <c r="G463" s="130" t="s">
        <v>185</v>
      </c>
      <c r="H463" s="590">
        <v>9.4499999999999993</v>
      </c>
      <c r="I463" s="130">
        <v>67</v>
      </c>
      <c r="J463" s="590">
        <v>633.15</v>
      </c>
      <c r="K463" s="590">
        <v>9.4499999999999993</v>
      </c>
      <c r="L463" s="152">
        <v>67</v>
      </c>
      <c r="M463" s="590">
        <v>633.15</v>
      </c>
      <c r="N463" s="6" t="s">
        <v>990</v>
      </c>
      <c r="O463" s="131">
        <v>45351</v>
      </c>
      <c r="P463" s="33" t="str">
        <f>HYPERLINK("https://my.zakupivli.pro/remote/dispatcher/state_purchase_view/49508019", "UA-2024-02-29-006630-a")</f>
        <v>UA-2024-02-29-006630-a</v>
      </c>
      <c r="Q463" s="130">
        <v>9.1880000000000006</v>
      </c>
      <c r="R463" s="130">
        <v>67</v>
      </c>
      <c r="S463" s="130">
        <v>615.596</v>
      </c>
      <c r="T463" s="131">
        <v>45366</v>
      </c>
      <c r="U463" s="130"/>
      <c r="V463" s="130"/>
    </row>
    <row r="464" spans="1:22" ht="202.8" x14ac:dyDescent="0.3">
      <c r="A464" s="130">
        <v>461</v>
      </c>
      <c r="B464" s="156" t="s">
        <v>40</v>
      </c>
      <c r="C464" s="44" t="s">
        <v>41</v>
      </c>
      <c r="D464" s="156" t="s">
        <v>58</v>
      </c>
      <c r="E464" s="156" t="s">
        <v>88</v>
      </c>
      <c r="F464" s="44" t="s">
        <v>992</v>
      </c>
      <c r="G464" s="130" t="s">
        <v>184</v>
      </c>
      <c r="H464" s="590">
        <v>8349.8189399999992</v>
      </c>
      <c r="I464" s="130">
        <v>1</v>
      </c>
      <c r="J464" s="590">
        <v>8349.8189399999992</v>
      </c>
      <c r="K464" s="590">
        <v>8349.8189399999992</v>
      </c>
      <c r="L464" s="156">
        <v>1</v>
      </c>
      <c r="M464" s="590">
        <v>8349.8189399999992</v>
      </c>
      <c r="N464" s="6" t="s">
        <v>994</v>
      </c>
      <c r="O464" s="131">
        <v>45352</v>
      </c>
      <c r="P464" s="33" t="str">
        <f>HYPERLINK("https://my.zakupivli.pro/remote/dispatcher/state_purchase_view/49535400", "UA-2024-03-01-007913-a")</f>
        <v>UA-2024-03-01-007913-a</v>
      </c>
      <c r="Q464" s="130"/>
      <c r="R464" s="130"/>
      <c r="S464" s="130"/>
      <c r="T464" s="131"/>
      <c r="U464" s="166" t="s">
        <v>93</v>
      </c>
      <c r="V464" s="130"/>
    </row>
    <row r="465" spans="1:22" ht="218.4" x14ac:dyDescent="0.3">
      <c r="A465" s="130">
        <v>462</v>
      </c>
      <c r="B465" s="156" t="s">
        <v>40</v>
      </c>
      <c r="C465" s="44" t="s">
        <v>41</v>
      </c>
      <c r="D465" s="156" t="s">
        <v>58</v>
      </c>
      <c r="E465" s="156" t="s">
        <v>88</v>
      </c>
      <c r="F465" s="44" t="s">
        <v>993</v>
      </c>
      <c r="G465" s="130" t="s">
        <v>184</v>
      </c>
      <c r="H465" s="590">
        <v>6432.3817900000004</v>
      </c>
      <c r="I465" s="130">
        <v>1</v>
      </c>
      <c r="J465" s="590">
        <v>6432.3817900000004</v>
      </c>
      <c r="K465" s="590">
        <v>6432.3817900000004</v>
      </c>
      <c r="L465" s="156">
        <v>1</v>
      </c>
      <c r="M465" s="590">
        <v>6432.3817900000004</v>
      </c>
      <c r="N465" s="6" t="s">
        <v>995</v>
      </c>
      <c r="O465" s="157">
        <v>45352</v>
      </c>
      <c r="P465" s="33" t="str">
        <f>HYPERLINK("https://my.zakupivli.pro/remote/dispatcher/state_purchase_view/49535400", "UA-2024-03-01-007913-a")</f>
        <v>UA-2024-03-01-007913-a</v>
      </c>
      <c r="Q465" s="130"/>
      <c r="R465" s="130"/>
      <c r="S465" s="130"/>
      <c r="T465" s="131"/>
      <c r="U465" s="166" t="s">
        <v>93</v>
      </c>
      <c r="V465" s="130"/>
    </row>
    <row r="466" spans="1:22" ht="140.4" x14ac:dyDescent="0.3">
      <c r="A466" s="130">
        <v>463</v>
      </c>
      <c r="B466" s="158" t="s">
        <v>21</v>
      </c>
      <c r="C466" s="44" t="s">
        <v>804</v>
      </c>
      <c r="D466" s="130"/>
      <c r="E466" s="158" t="s">
        <v>75</v>
      </c>
      <c r="F466" s="44" t="s">
        <v>996</v>
      </c>
      <c r="G466" s="130" t="s">
        <v>186</v>
      </c>
      <c r="H466" s="590"/>
      <c r="I466" s="130">
        <v>9</v>
      </c>
      <c r="J466" s="590">
        <v>111.223</v>
      </c>
      <c r="K466" s="590"/>
      <c r="L466" s="158">
        <v>9</v>
      </c>
      <c r="M466" s="590">
        <v>111.223</v>
      </c>
      <c r="N466" s="6" t="s">
        <v>1003</v>
      </c>
      <c r="O466" s="131">
        <v>45355</v>
      </c>
      <c r="P466" s="33" t="str">
        <f>HYPERLINK("https://my.zakupivli.pro/remote/dispatcher/state_purchase_view/49571696", "UA-2024-03-04-011178-a")</f>
        <v>UA-2024-03-04-011178-a</v>
      </c>
      <c r="Q466" s="130"/>
      <c r="R466" s="158">
        <v>9</v>
      </c>
      <c r="S466" s="158">
        <v>111.223</v>
      </c>
      <c r="T466" s="131">
        <v>45355</v>
      </c>
      <c r="U466" s="130"/>
      <c r="V466" s="158" t="s">
        <v>59</v>
      </c>
    </row>
    <row r="467" spans="1:22" ht="171.6" x14ac:dyDescent="0.3">
      <c r="A467" s="130">
        <v>464</v>
      </c>
      <c r="B467" s="158" t="s">
        <v>40</v>
      </c>
      <c r="C467" s="44" t="s">
        <v>41</v>
      </c>
      <c r="D467" s="158" t="s">
        <v>58</v>
      </c>
      <c r="E467" s="158" t="s">
        <v>88</v>
      </c>
      <c r="F467" s="44" t="s">
        <v>997</v>
      </c>
      <c r="G467" s="130" t="s">
        <v>184</v>
      </c>
      <c r="H467" s="590">
        <v>1050.5</v>
      </c>
      <c r="I467" s="130">
        <v>1</v>
      </c>
      <c r="J467" s="590">
        <v>1050.5</v>
      </c>
      <c r="K467" s="590">
        <v>1050.5</v>
      </c>
      <c r="L467" s="158">
        <v>1</v>
      </c>
      <c r="M467" s="590">
        <v>1050.5</v>
      </c>
      <c r="N467" s="6" t="s">
        <v>1004</v>
      </c>
      <c r="O467" s="159">
        <v>45355</v>
      </c>
      <c r="P467" s="33" t="str">
        <f>HYPERLINK("https://my.zakupivli.pro/remote/dispatcher/state_purchase_view/49571405", "UA-2024-03-04-011096-a")</f>
        <v>UA-2024-03-04-011096-a</v>
      </c>
      <c r="Q467" s="130">
        <v>1041.8113599999999</v>
      </c>
      <c r="R467" s="130">
        <v>1</v>
      </c>
      <c r="S467" s="183">
        <v>1041.8113599999999</v>
      </c>
      <c r="T467" s="131">
        <v>45380</v>
      </c>
      <c r="U467" s="130"/>
      <c r="V467" s="130"/>
    </row>
    <row r="468" spans="1:22" ht="171.6" x14ac:dyDescent="0.3">
      <c r="A468" s="130">
        <v>465</v>
      </c>
      <c r="B468" s="158" t="s">
        <v>40</v>
      </c>
      <c r="C468" s="44" t="s">
        <v>41</v>
      </c>
      <c r="D468" s="158" t="s">
        <v>58</v>
      </c>
      <c r="E468" s="158" t="s">
        <v>88</v>
      </c>
      <c r="F468" s="44" t="s">
        <v>998</v>
      </c>
      <c r="G468" s="130" t="s">
        <v>184</v>
      </c>
      <c r="H468" s="590">
        <v>806.16314</v>
      </c>
      <c r="I468" s="130">
        <v>1</v>
      </c>
      <c r="J468" s="590">
        <v>806.16314</v>
      </c>
      <c r="K468" s="590">
        <v>806.16314</v>
      </c>
      <c r="L468" s="158">
        <v>1</v>
      </c>
      <c r="M468" s="590">
        <v>806.16314</v>
      </c>
      <c r="N468" s="6" t="s">
        <v>1005</v>
      </c>
      <c r="O468" s="159">
        <v>45355</v>
      </c>
      <c r="P468" s="33" t="str">
        <f>HYPERLINK("https://my.zakupivli.pro/remote/dispatcher/state_purchase_view/49571405", "UA-2024-03-04-011096-a")</f>
        <v>UA-2024-03-04-011096-a</v>
      </c>
      <c r="Q468" s="130"/>
      <c r="R468" s="130"/>
      <c r="S468" s="130"/>
      <c r="T468" s="131"/>
      <c r="U468" s="175" t="s">
        <v>93</v>
      </c>
      <c r="V468" s="130"/>
    </row>
    <row r="469" spans="1:22" ht="171.6" x14ac:dyDescent="0.3">
      <c r="A469" s="130">
        <v>466</v>
      </c>
      <c r="B469" s="158" t="s">
        <v>40</v>
      </c>
      <c r="C469" s="44" t="s">
        <v>41</v>
      </c>
      <c r="D469" s="158" t="s">
        <v>58</v>
      </c>
      <c r="E469" s="158" t="s">
        <v>88</v>
      </c>
      <c r="F469" s="44" t="s">
        <v>999</v>
      </c>
      <c r="G469" s="130" t="s">
        <v>184</v>
      </c>
      <c r="H469" s="590">
        <v>840.49570000000006</v>
      </c>
      <c r="I469" s="130">
        <v>1</v>
      </c>
      <c r="J469" s="590">
        <v>840.49570000000006</v>
      </c>
      <c r="K469" s="590">
        <v>840.49570000000006</v>
      </c>
      <c r="L469" s="158">
        <v>1</v>
      </c>
      <c r="M469" s="590">
        <v>840.49570000000006</v>
      </c>
      <c r="N469" s="6" t="s">
        <v>1006</v>
      </c>
      <c r="O469" s="159">
        <v>45355</v>
      </c>
      <c r="P469" s="33" t="str">
        <f>HYPERLINK("https://my.zakupivli.pro/remote/dispatcher/state_purchase_view/49571405", "UA-2024-03-04-011096-a")</f>
        <v>UA-2024-03-04-011096-a</v>
      </c>
      <c r="Q469" s="130"/>
      <c r="R469" s="130"/>
      <c r="S469" s="130"/>
      <c r="T469" s="131"/>
      <c r="U469" s="175" t="s">
        <v>93</v>
      </c>
      <c r="V469" s="130"/>
    </row>
    <row r="470" spans="1:22" ht="62.4" x14ac:dyDescent="0.3">
      <c r="A470" s="130">
        <v>467</v>
      </c>
      <c r="B470" s="158" t="s">
        <v>40</v>
      </c>
      <c r="C470" s="44" t="s">
        <v>73</v>
      </c>
      <c r="D470" s="130"/>
      <c r="E470" s="158" t="s">
        <v>75</v>
      </c>
      <c r="F470" s="44" t="s">
        <v>1000</v>
      </c>
      <c r="G470" s="130" t="s">
        <v>184</v>
      </c>
      <c r="H470" s="590">
        <v>90.677120000000002</v>
      </c>
      <c r="I470" s="130">
        <v>1</v>
      </c>
      <c r="J470" s="590">
        <v>90.677120000000002</v>
      </c>
      <c r="K470" s="590">
        <v>90.677120000000002</v>
      </c>
      <c r="L470" s="158">
        <v>1</v>
      </c>
      <c r="M470" s="590">
        <v>90.677120000000002</v>
      </c>
      <c r="N470" s="6" t="s">
        <v>1007</v>
      </c>
      <c r="O470" s="159">
        <v>45355</v>
      </c>
      <c r="P470" s="33" t="str">
        <f>HYPERLINK("https://my.zakupivli.pro/remote/dispatcher/state_purchase_view/49563835", "UA-2024-03-04-007678-a")</f>
        <v>UA-2024-03-04-007678-a</v>
      </c>
      <c r="Q470" s="158">
        <v>90.677120000000002</v>
      </c>
      <c r="R470" s="158">
        <v>1</v>
      </c>
      <c r="S470" s="158">
        <v>90.677120000000002</v>
      </c>
      <c r="T470" s="159">
        <v>45355</v>
      </c>
      <c r="U470" s="130"/>
      <c r="V470" s="158" t="s">
        <v>59</v>
      </c>
    </row>
    <row r="471" spans="1:22" ht="62.4" x14ac:dyDescent="0.3">
      <c r="A471" s="130">
        <v>468</v>
      </c>
      <c r="B471" s="130" t="s">
        <v>21</v>
      </c>
      <c r="C471" s="44" t="s">
        <v>894</v>
      </c>
      <c r="D471" s="130"/>
      <c r="E471" s="158" t="s">
        <v>75</v>
      </c>
      <c r="F471" s="44" t="s">
        <v>1001</v>
      </c>
      <c r="G471" s="130" t="s">
        <v>186</v>
      </c>
      <c r="H471" s="590"/>
      <c r="I471" s="130">
        <v>5</v>
      </c>
      <c r="J471" s="590">
        <v>68.75</v>
      </c>
      <c r="K471" s="590"/>
      <c r="L471" s="158">
        <v>5</v>
      </c>
      <c r="M471" s="590">
        <v>68.75</v>
      </c>
      <c r="N471" s="6" t="s">
        <v>1008</v>
      </c>
      <c r="O471" s="159">
        <v>45355</v>
      </c>
      <c r="P471" s="33" t="str">
        <f>HYPERLINK("https://my.zakupivli.pro/remote/dispatcher/state_purchase_view/49553110", "UA-2024-03-04-003068-a")</f>
        <v>UA-2024-03-04-003068-a</v>
      </c>
      <c r="Q471" s="130"/>
      <c r="R471" s="158">
        <v>5</v>
      </c>
      <c r="S471" s="117">
        <v>68.75</v>
      </c>
      <c r="T471" s="159">
        <v>45355</v>
      </c>
      <c r="U471" s="130"/>
      <c r="V471" s="158" t="s">
        <v>59</v>
      </c>
    </row>
    <row r="472" spans="1:22" ht="62.4" x14ac:dyDescent="0.3">
      <c r="A472" s="130">
        <v>469</v>
      </c>
      <c r="B472" s="158" t="s">
        <v>40</v>
      </c>
      <c r="C472" s="44" t="s">
        <v>41</v>
      </c>
      <c r="D472" s="130"/>
      <c r="E472" s="158" t="s">
        <v>75</v>
      </c>
      <c r="F472" s="44" t="s">
        <v>1002</v>
      </c>
      <c r="G472" s="130" t="s">
        <v>184</v>
      </c>
      <c r="H472" s="590">
        <v>272.93687499999999</v>
      </c>
      <c r="I472" s="130">
        <v>1</v>
      </c>
      <c r="J472" s="590">
        <v>272.93687499999999</v>
      </c>
      <c r="K472" s="590">
        <v>272.93687499999999</v>
      </c>
      <c r="L472" s="158">
        <v>1</v>
      </c>
      <c r="M472" s="590">
        <v>272.93687499999999</v>
      </c>
      <c r="N472" s="6" t="s">
        <v>1009</v>
      </c>
      <c r="O472" s="159">
        <v>45355</v>
      </c>
      <c r="P472" s="33" t="str">
        <f>HYPERLINK("https://my.zakupivli.pro/remote/dispatcher/state_purchase_view/49550686", "UA-2024-03-04-002146-a")</f>
        <v>UA-2024-03-04-002146-a</v>
      </c>
      <c r="Q472" s="158">
        <v>272.93687499999999</v>
      </c>
      <c r="R472" s="158">
        <v>1</v>
      </c>
      <c r="S472" s="158">
        <v>272.93687499999999</v>
      </c>
      <c r="T472" s="159">
        <v>45355</v>
      </c>
      <c r="U472" s="130"/>
      <c r="V472" s="158" t="s">
        <v>59</v>
      </c>
    </row>
    <row r="473" spans="1:22" ht="78" x14ac:dyDescent="0.3">
      <c r="A473" s="130">
        <v>467</v>
      </c>
      <c r="B473" s="160" t="s">
        <v>40</v>
      </c>
      <c r="C473" s="44" t="s">
        <v>41</v>
      </c>
      <c r="D473" s="130"/>
      <c r="E473" s="446" t="s">
        <v>20</v>
      </c>
      <c r="F473" s="44" t="s">
        <v>1010</v>
      </c>
      <c r="G473" s="160" t="s">
        <v>184</v>
      </c>
      <c r="H473" s="590">
        <v>217.82105999999999</v>
      </c>
      <c r="I473" s="130">
        <v>1</v>
      </c>
      <c r="J473" s="590">
        <v>217.82105999999999</v>
      </c>
      <c r="K473" s="590">
        <v>217.82105999999999</v>
      </c>
      <c r="L473" s="160">
        <v>1</v>
      </c>
      <c r="M473" s="590">
        <v>217.82105999999999</v>
      </c>
      <c r="N473" s="6" t="s">
        <v>1013</v>
      </c>
      <c r="O473" s="131">
        <v>45356</v>
      </c>
      <c r="P473" s="33" t="str">
        <f>HYPERLINK("https://my.zakupivli.pro/remote/dispatcher/state_purchase_view/49603204", "UA-2024-03-05-012187-a")</f>
        <v>UA-2024-03-05-012187-a</v>
      </c>
      <c r="Q473" s="160">
        <v>217.82105999999999</v>
      </c>
      <c r="R473" s="160">
        <v>1</v>
      </c>
      <c r="S473" s="160">
        <v>217.82105999999999</v>
      </c>
      <c r="T473" s="161">
        <v>45356</v>
      </c>
      <c r="U473" s="130"/>
      <c r="V473" s="160" t="s">
        <v>59</v>
      </c>
    </row>
    <row r="474" spans="1:22" ht="62.4" x14ac:dyDescent="0.3">
      <c r="A474" s="130">
        <v>468</v>
      </c>
      <c r="B474" s="160" t="s">
        <v>40</v>
      </c>
      <c r="C474" s="44" t="s">
        <v>41</v>
      </c>
      <c r="D474" s="130"/>
      <c r="E474" s="446" t="s">
        <v>20</v>
      </c>
      <c r="F474" s="44" t="s">
        <v>1011</v>
      </c>
      <c r="G474" s="160" t="s">
        <v>184</v>
      </c>
      <c r="H474" s="590">
        <v>87.995450000000005</v>
      </c>
      <c r="I474" s="130">
        <v>1</v>
      </c>
      <c r="J474" s="590">
        <v>87.995450000000005</v>
      </c>
      <c r="K474" s="590">
        <v>87.995450000000005</v>
      </c>
      <c r="L474" s="160">
        <v>1</v>
      </c>
      <c r="M474" s="590">
        <v>87.995450000000005</v>
      </c>
      <c r="N474" s="6" t="s">
        <v>1014</v>
      </c>
      <c r="O474" s="161">
        <v>45356</v>
      </c>
      <c r="P474" s="33" t="str">
        <f>HYPERLINK("https://my.zakupivli.pro/remote/dispatcher/state_purchase_view/49602717", "UA-2024-03-05-011904-a")</f>
        <v>UA-2024-03-05-011904-a</v>
      </c>
      <c r="Q474" s="160">
        <v>87.995450000000005</v>
      </c>
      <c r="R474" s="160">
        <v>1</v>
      </c>
      <c r="S474" s="160">
        <v>87.995450000000005</v>
      </c>
      <c r="T474" s="161">
        <v>45356</v>
      </c>
      <c r="U474" s="130"/>
      <c r="V474" s="160" t="s">
        <v>59</v>
      </c>
    </row>
    <row r="475" spans="1:22" ht="62.4" x14ac:dyDescent="0.3">
      <c r="A475" s="130">
        <v>469</v>
      </c>
      <c r="B475" s="160" t="s">
        <v>40</v>
      </c>
      <c r="C475" s="44" t="s">
        <v>41</v>
      </c>
      <c r="D475" s="130"/>
      <c r="E475" s="446" t="s">
        <v>20</v>
      </c>
      <c r="F475" s="44" t="s">
        <v>1012</v>
      </c>
      <c r="G475" s="160" t="s">
        <v>184</v>
      </c>
      <c r="H475" s="590">
        <v>285.24131999999997</v>
      </c>
      <c r="I475" s="130">
        <v>1</v>
      </c>
      <c r="J475" s="590">
        <v>285.24131999999997</v>
      </c>
      <c r="K475" s="590">
        <v>285.24131999999997</v>
      </c>
      <c r="L475" s="160">
        <v>1</v>
      </c>
      <c r="M475" s="590">
        <v>285.24131999999997</v>
      </c>
      <c r="N475" s="6" t="s">
        <v>1015</v>
      </c>
      <c r="O475" s="161">
        <v>45356</v>
      </c>
      <c r="P475" s="33" t="str">
        <f>HYPERLINK("https://my.zakupivli.pro/remote/dispatcher/state_purchase_view/49581286", "UA-2024-03-05-002444-a")</f>
        <v>UA-2024-03-05-002444-a</v>
      </c>
      <c r="Q475" s="160">
        <v>285.24131999999997</v>
      </c>
      <c r="R475" s="160">
        <v>1</v>
      </c>
      <c r="S475" s="160">
        <v>285.24131999999997</v>
      </c>
      <c r="T475" s="161">
        <v>45356</v>
      </c>
      <c r="U475" s="130"/>
      <c r="V475" s="160" t="s">
        <v>59</v>
      </c>
    </row>
    <row r="476" spans="1:22" ht="171.6" x14ac:dyDescent="0.3">
      <c r="A476" s="130">
        <v>470</v>
      </c>
      <c r="B476" s="162" t="s">
        <v>40</v>
      </c>
      <c r="C476" s="44" t="s">
        <v>41</v>
      </c>
      <c r="D476" s="130"/>
      <c r="E476" s="162" t="s">
        <v>88</v>
      </c>
      <c r="F476" s="44" t="s">
        <v>1016</v>
      </c>
      <c r="G476" s="162" t="s">
        <v>184</v>
      </c>
      <c r="H476" s="590">
        <v>1517.33807</v>
      </c>
      <c r="I476" s="130">
        <v>1</v>
      </c>
      <c r="J476" s="590">
        <v>1517.33807</v>
      </c>
      <c r="K476" s="590">
        <v>1517.33807</v>
      </c>
      <c r="L476" s="162">
        <v>1</v>
      </c>
      <c r="M476" s="590">
        <v>1517.33807</v>
      </c>
      <c r="N476" s="6" t="s">
        <v>1018</v>
      </c>
      <c r="O476" s="131">
        <v>45357</v>
      </c>
      <c r="P476" s="33" t="str">
        <f>HYPERLINK("https://my.zakupivli.pro/remote/dispatcher/state_purchase_view/49613449", "UA-2024-03-06-001796-a")</f>
        <v>UA-2024-03-06-001796-a</v>
      </c>
      <c r="Q476" s="162">
        <v>1517.33807</v>
      </c>
      <c r="R476" s="162">
        <v>1</v>
      </c>
      <c r="S476" s="162">
        <v>1517.33807</v>
      </c>
      <c r="T476" s="163">
        <v>45357</v>
      </c>
      <c r="U476" s="130"/>
      <c r="V476" s="162" t="s">
        <v>59</v>
      </c>
    </row>
    <row r="477" spans="1:22" ht="171.6" x14ac:dyDescent="0.3">
      <c r="A477" s="130">
        <v>471</v>
      </c>
      <c r="B477" s="162" t="s">
        <v>40</v>
      </c>
      <c r="C477" s="44" t="s">
        <v>41</v>
      </c>
      <c r="D477" s="130"/>
      <c r="E477" s="162" t="s">
        <v>88</v>
      </c>
      <c r="F477" s="44" t="s">
        <v>1017</v>
      </c>
      <c r="G477" s="162" t="s">
        <v>184</v>
      </c>
      <c r="H477" s="590">
        <v>2673.0005700000002</v>
      </c>
      <c r="I477" s="130">
        <v>1</v>
      </c>
      <c r="J477" s="590">
        <v>2673.0005700000002</v>
      </c>
      <c r="K477" s="590">
        <v>2673.0005700000002</v>
      </c>
      <c r="L477" s="162">
        <v>1</v>
      </c>
      <c r="M477" s="590">
        <v>2673.0005700000002</v>
      </c>
      <c r="N477" s="6" t="s">
        <v>1019</v>
      </c>
      <c r="O477" s="163">
        <v>45357</v>
      </c>
      <c r="P477" s="33" t="str">
        <f>HYPERLINK("https://my.zakupivli.pro/remote/dispatcher/state_purchase_view/49612800", "UA-2024-03-06-001512-a")</f>
        <v>UA-2024-03-06-001512-a</v>
      </c>
      <c r="Q477" s="162">
        <v>2673.0005700000002</v>
      </c>
      <c r="R477" s="162">
        <v>1</v>
      </c>
      <c r="S477" s="162">
        <v>2673.0005700000002</v>
      </c>
      <c r="T477" s="163">
        <v>45357</v>
      </c>
      <c r="U477" s="130"/>
      <c r="V477" s="162" t="s">
        <v>59</v>
      </c>
    </row>
    <row r="478" spans="1:22" ht="62.4" x14ac:dyDescent="0.3">
      <c r="A478" s="130">
        <v>472</v>
      </c>
      <c r="B478" s="130" t="s">
        <v>40</v>
      </c>
      <c r="C478" s="44" t="s">
        <v>73</v>
      </c>
      <c r="D478" s="130"/>
      <c r="E478" s="164" t="s">
        <v>75</v>
      </c>
      <c r="F478" s="44" t="s">
        <v>1020</v>
      </c>
      <c r="G478" s="130" t="s">
        <v>184</v>
      </c>
      <c r="H478" s="590">
        <v>132.31666999999999</v>
      </c>
      <c r="I478" s="130">
        <v>1</v>
      </c>
      <c r="J478" s="590">
        <v>132.31666999999999</v>
      </c>
      <c r="K478" s="590">
        <v>132.31666999999999</v>
      </c>
      <c r="L478" s="164">
        <v>1</v>
      </c>
      <c r="M478" s="590">
        <v>132.31666999999999</v>
      </c>
      <c r="N478" s="6" t="s">
        <v>1022</v>
      </c>
      <c r="O478" s="165">
        <v>45358</v>
      </c>
      <c r="P478" s="33" t="str">
        <f>HYPERLINK("https://my.zakupivli.pro/remote/dispatcher/state_purchase_view/49656895", "UA-2024-03-07-006789-a")</f>
        <v>UA-2024-03-07-006789-a</v>
      </c>
      <c r="Q478" s="164">
        <v>132.31666999999999</v>
      </c>
      <c r="R478" s="164">
        <v>1</v>
      </c>
      <c r="S478" s="164">
        <v>132.31666999999999</v>
      </c>
      <c r="T478" s="131">
        <v>45358</v>
      </c>
      <c r="U478" s="130"/>
      <c r="V478" s="164" t="s">
        <v>59</v>
      </c>
    </row>
    <row r="479" spans="1:22" ht="62.4" x14ac:dyDescent="0.3">
      <c r="A479" s="130">
        <v>473</v>
      </c>
      <c r="B479" s="130" t="s">
        <v>21</v>
      </c>
      <c r="C479" s="44" t="s">
        <v>515</v>
      </c>
      <c r="D479" s="164" t="s">
        <v>58</v>
      </c>
      <c r="E479" s="164" t="s">
        <v>88</v>
      </c>
      <c r="F479" s="44" t="s">
        <v>1021</v>
      </c>
      <c r="G479" s="130" t="s">
        <v>185</v>
      </c>
      <c r="H479" s="590"/>
      <c r="I479" s="130">
        <v>2</v>
      </c>
      <c r="J479" s="590">
        <v>1232</v>
      </c>
      <c r="K479" s="590"/>
      <c r="L479" s="164">
        <v>2</v>
      </c>
      <c r="M479" s="590">
        <v>1232</v>
      </c>
      <c r="N479" s="6" t="s">
        <v>1023</v>
      </c>
      <c r="O479" s="165">
        <v>45358</v>
      </c>
      <c r="P479" s="33" t="str">
        <f>HYPERLINK("https://my.zakupivli.pro/remote/dispatcher/state_purchase_view/49647930", "UA-2024-03-07-003046-a")</f>
        <v>UA-2024-03-07-003046-a</v>
      </c>
      <c r="Q479" s="130"/>
      <c r="R479" s="164">
        <v>2</v>
      </c>
      <c r="S479" s="117">
        <v>1226.25</v>
      </c>
      <c r="T479" s="131">
        <v>45376</v>
      </c>
      <c r="U479" s="130"/>
      <c r="V479" s="130"/>
    </row>
    <row r="480" spans="1:22" ht="62.4" x14ac:dyDescent="0.3">
      <c r="A480" s="130">
        <v>474</v>
      </c>
      <c r="B480" s="166" t="s">
        <v>40</v>
      </c>
      <c r="C480" s="44" t="s">
        <v>884</v>
      </c>
      <c r="D480" s="130"/>
      <c r="E480" s="166" t="s">
        <v>88</v>
      </c>
      <c r="F480" s="44" t="s">
        <v>1026</v>
      </c>
      <c r="G480" s="166" t="s">
        <v>184</v>
      </c>
      <c r="H480" s="590">
        <v>1006.16373</v>
      </c>
      <c r="I480" s="130">
        <v>1</v>
      </c>
      <c r="J480" s="590">
        <v>1006.16373</v>
      </c>
      <c r="K480" s="590">
        <v>1006.16373</v>
      </c>
      <c r="L480" s="166">
        <v>1</v>
      </c>
      <c r="M480" s="590">
        <v>1006.16373</v>
      </c>
      <c r="N480" s="6" t="s">
        <v>1024</v>
      </c>
      <c r="O480" s="131">
        <v>45362</v>
      </c>
      <c r="P480" s="33" t="str">
        <f>HYPERLINK("https://my.zakupivli.pro/remote/dispatcher/state_purchase_view/49691053", "UA-2024-03-11-000863-a")</f>
        <v>UA-2024-03-11-000863-a</v>
      </c>
      <c r="Q480" s="166">
        <v>1006.16373</v>
      </c>
      <c r="R480" s="166">
        <v>1</v>
      </c>
      <c r="S480" s="166">
        <v>1006.16373</v>
      </c>
      <c r="T480" s="167">
        <v>45358</v>
      </c>
      <c r="U480" s="130"/>
      <c r="V480" s="166" t="s">
        <v>59</v>
      </c>
    </row>
    <row r="481" spans="1:22" ht="62.4" x14ac:dyDescent="0.3">
      <c r="A481" s="130">
        <v>475</v>
      </c>
      <c r="B481" s="166" t="s">
        <v>40</v>
      </c>
      <c r="C481" s="44" t="s">
        <v>884</v>
      </c>
      <c r="D481" s="130"/>
      <c r="E481" s="166" t="s">
        <v>88</v>
      </c>
      <c r="F481" s="44" t="s">
        <v>1027</v>
      </c>
      <c r="G481" s="166" t="s">
        <v>184</v>
      </c>
      <c r="H481" s="590">
        <v>509.66741999999999</v>
      </c>
      <c r="I481" s="130">
        <v>1</v>
      </c>
      <c r="J481" s="590">
        <v>509.66741999999999</v>
      </c>
      <c r="K481" s="590">
        <v>509.66741999999999</v>
      </c>
      <c r="L481" s="166">
        <v>1</v>
      </c>
      <c r="M481" s="590">
        <v>509.66741999999999</v>
      </c>
      <c r="N481" s="6" t="s">
        <v>1025</v>
      </c>
      <c r="O481" s="167">
        <v>45362</v>
      </c>
      <c r="P481" s="33" t="str">
        <f>HYPERLINK("https://my.zakupivli.pro/remote/dispatcher/state_purchase_view/49690092", "UA-2024-03-11-000483-a")</f>
        <v>UA-2024-03-11-000483-a</v>
      </c>
      <c r="Q481" s="166">
        <v>509.66741999999999</v>
      </c>
      <c r="R481" s="166">
        <v>1</v>
      </c>
      <c r="S481" s="166">
        <v>509.66741999999999</v>
      </c>
      <c r="T481" s="167">
        <v>45358</v>
      </c>
      <c r="U481" s="130"/>
      <c r="V481" s="166" t="s">
        <v>59</v>
      </c>
    </row>
    <row r="482" spans="1:22" ht="93.6" x14ac:dyDescent="0.3">
      <c r="A482" s="130">
        <v>476</v>
      </c>
      <c r="B482" s="166" t="s">
        <v>40</v>
      </c>
      <c r="C482" s="44" t="s">
        <v>884</v>
      </c>
      <c r="D482" s="130"/>
      <c r="E482" s="166" t="s">
        <v>88</v>
      </c>
      <c r="F482" s="44" t="s">
        <v>1029</v>
      </c>
      <c r="G482" s="166" t="s">
        <v>184</v>
      </c>
      <c r="H482" s="590">
        <v>604.14</v>
      </c>
      <c r="I482" s="130">
        <v>1</v>
      </c>
      <c r="J482" s="590">
        <v>604.14</v>
      </c>
      <c r="K482" s="590">
        <v>604.14</v>
      </c>
      <c r="L482" s="166">
        <v>1</v>
      </c>
      <c r="M482" s="590">
        <v>604.14</v>
      </c>
      <c r="N482" s="6" t="s">
        <v>1028</v>
      </c>
      <c r="O482" s="167">
        <v>45362</v>
      </c>
      <c r="P482" s="33" t="str">
        <f>HYPERLINK("https://my.zakupivli.pro/remote/dispatcher/state_purchase_view/49689165", "UA-2024-03-11-000147-a")</f>
        <v>UA-2024-03-11-000147-a</v>
      </c>
      <c r="Q482" s="117">
        <v>604.14</v>
      </c>
      <c r="R482" s="166">
        <v>1</v>
      </c>
      <c r="S482" s="117">
        <v>604.14</v>
      </c>
      <c r="T482" s="167">
        <v>45358</v>
      </c>
      <c r="U482" s="130"/>
      <c r="V482" s="166" t="s">
        <v>59</v>
      </c>
    </row>
    <row r="483" spans="1:22" ht="62.4" x14ac:dyDescent="0.3">
      <c r="A483" s="130">
        <v>477</v>
      </c>
      <c r="B483" s="166" t="s">
        <v>40</v>
      </c>
      <c r="C483" s="44" t="s">
        <v>884</v>
      </c>
      <c r="D483" s="130"/>
      <c r="E483" s="166" t="s">
        <v>88</v>
      </c>
      <c r="F483" s="44" t="s">
        <v>1031</v>
      </c>
      <c r="G483" s="166" t="s">
        <v>184</v>
      </c>
      <c r="H483" s="590">
        <v>949.34464000000003</v>
      </c>
      <c r="I483" s="130">
        <v>1</v>
      </c>
      <c r="J483" s="590">
        <v>949.34464000000003</v>
      </c>
      <c r="K483" s="590">
        <v>949.34464000000003</v>
      </c>
      <c r="L483" s="166">
        <v>1</v>
      </c>
      <c r="M483" s="590">
        <v>949.34464000000003</v>
      </c>
      <c r="N483" s="6" t="s">
        <v>1030</v>
      </c>
      <c r="O483" s="167">
        <v>45362</v>
      </c>
      <c r="P483" s="33" t="str">
        <f>HYPERLINK("https://my.zakupivli.pro/remote/dispatcher/state_purchase_view/49688999", "UA-2024-03-11-000098-a")</f>
        <v>UA-2024-03-11-000098-a</v>
      </c>
      <c r="Q483" s="166">
        <v>949.34464000000003</v>
      </c>
      <c r="R483" s="166">
        <v>1</v>
      </c>
      <c r="S483" s="166">
        <v>949.34464000000003</v>
      </c>
      <c r="T483" s="167">
        <v>45358</v>
      </c>
      <c r="U483" s="130"/>
      <c r="V483" s="166" t="s">
        <v>59</v>
      </c>
    </row>
    <row r="484" spans="1:22" ht="202.8" x14ac:dyDescent="0.3">
      <c r="A484" s="130">
        <v>478</v>
      </c>
      <c r="B484" s="169" t="s">
        <v>40</v>
      </c>
      <c r="C484" s="44" t="s">
        <v>41</v>
      </c>
      <c r="D484" s="130"/>
      <c r="E484" s="169" t="s">
        <v>88</v>
      </c>
      <c r="F484" s="44" t="s">
        <v>1032</v>
      </c>
      <c r="G484" s="169" t="s">
        <v>184</v>
      </c>
      <c r="H484" s="590">
        <v>8349.8189399999992</v>
      </c>
      <c r="I484" s="169">
        <v>1</v>
      </c>
      <c r="J484" s="590">
        <v>8349.8189399999992</v>
      </c>
      <c r="K484" s="590">
        <v>8349.8189399999992</v>
      </c>
      <c r="L484" s="169">
        <v>1</v>
      </c>
      <c r="M484" s="590">
        <v>8349.8189399999992</v>
      </c>
      <c r="N484" s="6" t="s">
        <v>1038</v>
      </c>
      <c r="O484" s="131">
        <v>45363</v>
      </c>
      <c r="P484" s="33" t="str">
        <f>HYPERLINK("https://my.zakupivli.pro/remote/dispatcher/state_purchase_view/49743496", "UA-2024-03-12-011359-a")</f>
        <v>UA-2024-03-12-011359-a</v>
      </c>
      <c r="Q484" s="130"/>
      <c r="R484" s="130"/>
      <c r="S484" s="130"/>
      <c r="T484" s="131"/>
      <c r="U484" s="177" t="s">
        <v>93</v>
      </c>
      <c r="V484" s="130"/>
    </row>
    <row r="485" spans="1:22" ht="202.8" x14ac:dyDescent="0.3">
      <c r="A485" s="130">
        <v>479</v>
      </c>
      <c r="B485" s="169" t="s">
        <v>40</v>
      </c>
      <c r="C485" s="44" t="s">
        <v>41</v>
      </c>
      <c r="D485" s="130"/>
      <c r="E485" s="169" t="s">
        <v>88</v>
      </c>
      <c r="F485" s="44" t="s">
        <v>1033</v>
      </c>
      <c r="G485" s="169" t="s">
        <v>184</v>
      </c>
      <c r="H485" s="590">
        <v>6432.3817900000004</v>
      </c>
      <c r="I485" s="169">
        <v>1</v>
      </c>
      <c r="J485" s="590">
        <v>6432.3817900000004</v>
      </c>
      <c r="K485" s="590">
        <v>6432.3817900000004</v>
      </c>
      <c r="L485" s="169">
        <v>1</v>
      </c>
      <c r="M485" s="590">
        <v>6432.3817900000004</v>
      </c>
      <c r="N485" s="6" t="s">
        <v>1038</v>
      </c>
      <c r="O485" s="168">
        <v>45363</v>
      </c>
      <c r="P485" s="33" t="str">
        <f>HYPERLINK("https://my.zakupivli.pro/remote/dispatcher/state_purchase_view/49743496", "UA-2024-03-12-011359-a")</f>
        <v>UA-2024-03-12-011359-a</v>
      </c>
      <c r="Q485" s="130"/>
      <c r="R485" s="130"/>
      <c r="S485" s="130"/>
      <c r="T485" s="131"/>
      <c r="U485" s="177" t="s">
        <v>93</v>
      </c>
      <c r="V485" s="130"/>
    </row>
    <row r="486" spans="1:22" ht="62.4" x14ac:dyDescent="0.3">
      <c r="A486" s="130">
        <v>480</v>
      </c>
      <c r="B486" s="169" t="s">
        <v>40</v>
      </c>
      <c r="C486" s="44" t="s">
        <v>884</v>
      </c>
      <c r="D486" s="130"/>
      <c r="E486" s="169" t="s">
        <v>88</v>
      </c>
      <c r="F486" s="44" t="s">
        <v>1034</v>
      </c>
      <c r="G486" s="169" t="s">
        <v>184</v>
      </c>
      <c r="H486" s="590">
        <v>580.86604999999997</v>
      </c>
      <c r="I486" s="130">
        <v>1</v>
      </c>
      <c r="J486" s="590">
        <v>580.86604999999997</v>
      </c>
      <c r="K486" s="590">
        <v>580.86604999999997</v>
      </c>
      <c r="L486" s="169">
        <v>1</v>
      </c>
      <c r="M486" s="590">
        <v>580.86604999999997</v>
      </c>
      <c r="N486" s="6" t="s">
        <v>1039</v>
      </c>
      <c r="O486" s="168">
        <v>45363</v>
      </c>
      <c r="P486" s="33" t="str">
        <f>HYPERLINK("https://my.zakupivli.pro/remote/dispatcher/state_purchase_view/49737240", "UA-2024-03-12-008558-a")</f>
        <v>UA-2024-03-12-008558-a</v>
      </c>
      <c r="Q486" s="169">
        <v>580.86604999999997</v>
      </c>
      <c r="R486" s="169">
        <v>1</v>
      </c>
      <c r="S486" s="169">
        <v>580.86604999999997</v>
      </c>
      <c r="T486" s="131">
        <v>45362</v>
      </c>
      <c r="U486" s="130"/>
      <c r="V486" s="169" t="s">
        <v>59</v>
      </c>
    </row>
    <row r="487" spans="1:22" ht="62.4" x14ac:dyDescent="0.3">
      <c r="A487" s="130">
        <v>481</v>
      </c>
      <c r="B487" s="169" t="s">
        <v>40</v>
      </c>
      <c r="C487" s="44" t="s">
        <v>884</v>
      </c>
      <c r="D487" s="130"/>
      <c r="E487" s="169" t="s">
        <v>88</v>
      </c>
      <c r="F487" s="44" t="s">
        <v>1035</v>
      </c>
      <c r="G487" s="169" t="s">
        <v>184</v>
      </c>
      <c r="H487" s="590">
        <v>124.41112</v>
      </c>
      <c r="I487" s="130">
        <v>1</v>
      </c>
      <c r="J487" s="590">
        <v>124.41112</v>
      </c>
      <c r="K487" s="590">
        <v>124.41112</v>
      </c>
      <c r="L487" s="169">
        <v>1</v>
      </c>
      <c r="M487" s="590">
        <v>124.41112</v>
      </c>
      <c r="N487" s="6" t="s">
        <v>1040</v>
      </c>
      <c r="O487" s="168">
        <v>45363</v>
      </c>
      <c r="P487" s="33" t="str">
        <f>HYPERLINK("https://my.zakupivli.pro/remote/dispatcher/state_purchase_view/49736995", "UA-2024-03-12-008416-a")</f>
        <v>UA-2024-03-12-008416-a</v>
      </c>
      <c r="Q487" s="169">
        <v>124.41112</v>
      </c>
      <c r="R487" s="169">
        <v>1</v>
      </c>
      <c r="S487" s="169">
        <v>124.41112</v>
      </c>
      <c r="T487" s="168">
        <v>45362</v>
      </c>
      <c r="U487" s="130"/>
      <c r="V487" s="169" t="s">
        <v>59</v>
      </c>
    </row>
    <row r="488" spans="1:22" ht="62.4" x14ac:dyDescent="0.3">
      <c r="A488" s="130">
        <v>482</v>
      </c>
      <c r="B488" s="169" t="s">
        <v>40</v>
      </c>
      <c r="C488" s="44" t="s">
        <v>884</v>
      </c>
      <c r="D488" s="130"/>
      <c r="E488" s="169" t="s">
        <v>88</v>
      </c>
      <c r="F488" s="44" t="s">
        <v>1036</v>
      </c>
      <c r="G488" s="169" t="s">
        <v>184</v>
      </c>
      <c r="H488" s="590">
        <v>359.96701000000002</v>
      </c>
      <c r="I488" s="130">
        <v>1</v>
      </c>
      <c r="J488" s="590">
        <v>359.96701000000002</v>
      </c>
      <c r="K488" s="590">
        <v>359.96701000000002</v>
      </c>
      <c r="L488" s="169">
        <v>1</v>
      </c>
      <c r="M488" s="590">
        <v>359.96701000000002</v>
      </c>
      <c r="N488" s="6" t="s">
        <v>1041</v>
      </c>
      <c r="O488" s="168">
        <v>45363</v>
      </c>
      <c r="P488" s="33" t="str">
        <f>HYPERLINK("https://my.zakupivli.pro/remote/dispatcher/state_purchase_view/49736304", "UA-2024-03-12-008106-a")</f>
        <v>UA-2024-03-12-008106-a</v>
      </c>
      <c r="Q488" s="169">
        <v>359.96701000000002</v>
      </c>
      <c r="R488" s="169">
        <v>1</v>
      </c>
      <c r="S488" s="169">
        <v>359.96701000000002</v>
      </c>
      <c r="T488" s="168">
        <v>45362</v>
      </c>
      <c r="U488" s="130"/>
      <c r="V488" s="169" t="s">
        <v>59</v>
      </c>
    </row>
    <row r="489" spans="1:22" ht="62.4" x14ac:dyDescent="0.3">
      <c r="A489" s="130">
        <v>483</v>
      </c>
      <c r="B489" s="169" t="s">
        <v>40</v>
      </c>
      <c r="C489" s="44" t="s">
        <v>884</v>
      </c>
      <c r="D489" s="130"/>
      <c r="E489" s="169" t="s">
        <v>88</v>
      </c>
      <c r="F489" s="44" t="s">
        <v>1037</v>
      </c>
      <c r="G489" s="169" t="s">
        <v>184</v>
      </c>
      <c r="H489" s="590">
        <v>596.19745</v>
      </c>
      <c r="I489" s="130">
        <v>1</v>
      </c>
      <c r="J489" s="590">
        <v>596.19745</v>
      </c>
      <c r="K489" s="590">
        <v>596.19745</v>
      </c>
      <c r="L489" s="169">
        <v>1</v>
      </c>
      <c r="M489" s="590">
        <v>596.19745</v>
      </c>
      <c r="N489" s="6" t="s">
        <v>1042</v>
      </c>
      <c r="O489" s="168">
        <v>45363</v>
      </c>
      <c r="P489" s="33" t="str">
        <f>HYPERLINK("https://my.zakupivli.pro/remote/dispatcher/state_purchase_view/49735637", "UA-2024-03-12-007781-a")</f>
        <v>UA-2024-03-12-007781-a</v>
      </c>
      <c r="Q489" s="169">
        <v>596.19745</v>
      </c>
      <c r="R489" s="169">
        <v>1</v>
      </c>
      <c r="S489" s="169">
        <v>596.19745</v>
      </c>
      <c r="T489" s="168">
        <v>45362</v>
      </c>
      <c r="U489" s="130"/>
      <c r="V489" s="169" t="s">
        <v>59</v>
      </c>
    </row>
    <row r="490" spans="1:22" ht="62.4" x14ac:dyDescent="0.3">
      <c r="A490" s="130">
        <v>484</v>
      </c>
      <c r="B490" s="169" t="s">
        <v>21</v>
      </c>
      <c r="C490" s="44" t="s">
        <v>30</v>
      </c>
      <c r="D490" s="130"/>
      <c r="E490" s="169" t="s">
        <v>75</v>
      </c>
      <c r="F490" s="44" t="s">
        <v>908</v>
      </c>
      <c r="G490" s="130" t="s">
        <v>21</v>
      </c>
      <c r="H490" s="590"/>
      <c r="I490" s="130">
        <v>15</v>
      </c>
      <c r="J490" s="590">
        <v>76.08</v>
      </c>
      <c r="K490" s="590"/>
      <c r="L490" s="169">
        <v>15</v>
      </c>
      <c r="M490" s="590">
        <v>76.08</v>
      </c>
      <c r="N490" s="6" t="s">
        <v>1043</v>
      </c>
      <c r="O490" s="168">
        <v>45363</v>
      </c>
      <c r="P490" s="33" t="str">
        <f>HYPERLINK("https://my.zakupivli.pro/remote/dispatcher/state_purchase_view/49733918", "UA-2024-03-12-007076-a")</f>
        <v>UA-2024-03-12-007076-a</v>
      </c>
      <c r="Q490" s="130"/>
      <c r="R490" s="169">
        <v>15</v>
      </c>
      <c r="S490" s="169">
        <v>76.08</v>
      </c>
      <c r="T490" s="131">
        <v>45363</v>
      </c>
      <c r="U490" s="130"/>
      <c r="V490" s="169" t="s">
        <v>59</v>
      </c>
    </row>
    <row r="491" spans="1:22" ht="124.8" x14ac:dyDescent="0.3">
      <c r="A491" s="130">
        <v>485</v>
      </c>
      <c r="B491" s="170" t="s">
        <v>40</v>
      </c>
      <c r="C491" s="44" t="s">
        <v>41</v>
      </c>
      <c r="D491" s="130"/>
      <c r="E491" s="170" t="s">
        <v>88</v>
      </c>
      <c r="F491" s="154" t="s">
        <v>853</v>
      </c>
      <c r="G491" s="130" t="s">
        <v>184</v>
      </c>
      <c r="H491" s="590">
        <v>46627.971120000002</v>
      </c>
      <c r="I491" s="130">
        <v>1</v>
      </c>
      <c r="J491" s="590">
        <v>46627.971120000002</v>
      </c>
      <c r="K491" s="590">
        <v>46627.971120000002</v>
      </c>
      <c r="L491" s="170">
        <v>1</v>
      </c>
      <c r="M491" s="590">
        <v>46627.971120000002</v>
      </c>
      <c r="N491" s="6" t="s">
        <v>1044</v>
      </c>
      <c r="O491" s="131">
        <v>45364</v>
      </c>
      <c r="P491" s="33" t="str">
        <f>HYPERLINK("https://my.zakupivli.pro/remote/dispatcher/state_purchase_view/49754998", "UA-2024-03-13-002658-a")</f>
        <v>UA-2024-03-13-002658-a</v>
      </c>
      <c r="Q491" s="130"/>
      <c r="R491" s="130"/>
      <c r="S491" s="130"/>
      <c r="T491" s="131"/>
      <c r="U491" s="183" t="s">
        <v>93</v>
      </c>
      <c r="V491" s="130"/>
    </row>
    <row r="492" spans="1:22" ht="62.4" x14ac:dyDescent="0.3">
      <c r="A492" s="130">
        <v>486</v>
      </c>
      <c r="B492" s="171" t="s">
        <v>21</v>
      </c>
      <c r="C492" s="44" t="s">
        <v>177</v>
      </c>
      <c r="D492" s="130"/>
      <c r="E492" s="171" t="s">
        <v>75</v>
      </c>
      <c r="F492" s="44" t="s">
        <v>1045</v>
      </c>
      <c r="G492" s="171" t="s">
        <v>185</v>
      </c>
      <c r="H492" s="590"/>
      <c r="I492" s="130">
        <v>25</v>
      </c>
      <c r="J492" s="590">
        <v>62.424999999999997</v>
      </c>
      <c r="K492" s="590"/>
      <c r="L492" s="171">
        <v>25</v>
      </c>
      <c r="M492" s="590">
        <v>62.424999999999997</v>
      </c>
      <c r="N492" s="6" t="s">
        <v>1049</v>
      </c>
      <c r="O492" s="131">
        <v>45365</v>
      </c>
      <c r="P492" s="33" t="str">
        <f>HYPERLINK("https://my.zakupivli.pro/remote/dispatcher/state_purchase_view/49800155", "UA-2024-03-14-009075-a")</f>
        <v>UA-2024-03-14-009075-a</v>
      </c>
      <c r="Q492" s="130"/>
      <c r="R492" s="171">
        <v>25</v>
      </c>
      <c r="S492" s="171">
        <v>62.424999999999997</v>
      </c>
      <c r="T492" s="172">
        <v>45365</v>
      </c>
      <c r="U492" s="130"/>
      <c r="V492" s="171" t="s">
        <v>59</v>
      </c>
    </row>
    <row r="493" spans="1:22" ht="62.4" x14ac:dyDescent="0.3">
      <c r="A493" s="130">
        <v>487</v>
      </c>
      <c r="B493" s="171" t="s">
        <v>21</v>
      </c>
      <c r="C493" s="44" t="s">
        <v>733</v>
      </c>
      <c r="D493" s="130"/>
      <c r="E493" s="171" t="s">
        <v>75</v>
      </c>
      <c r="F493" s="44" t="s">
        <v>1046</v>
      </c>
      <c r="G493" s="171" t="s">
        <v>186</v>
      </c>
      <c r="H493" s="590"/>
      <c r="I493" s="130">
        <v>37</v>
      </c>
      <c r="J493" s="590">
        <v>567.5</v>
      </c>
      <c r="K493" s="590"/>
      <c r="L493" s="171">
        <v>37</v>
      </c>
      <c r="M493" s="590">
        <v>567.5</v>
      </c>
      <c r="N493" s="6" t="s">
        <v>1050</v>
      </c>
      <c r="O493" s="172">
        <v>45365</v>
      </c>
      <c r="P493" s="33" t="str">
        <f>HYPERLINK("https://my.zakupivli.pro/remote/dispatcher/state_purchase_view/49788870", "UA-2024-03-14-004029-a")</f>
        <v>UA-2024-03-14-004029-a</v>
      </c>
      <c r="Q493" s="130"/>
      <c r="R493" s="171">
        <v>37</v>
      </c>
      <c r="S493" s="117">
        <v>567.5</v>
      </c>
      <c r="T493" s="172">
        <v>45365</v>
      </c>
      <c r="U493" s="130"/>
      <c r="V493" s="171" t="s">
        <v>59</v>
      </c>
    </row>
    <row r="494" spans="1:22" ht="62.4" x14ac:dyDescent="0.3">
      <c r="A494" s="130">
        <v>488</v>
      </c>
      <c r="B494" s="171" t="s">
        <v>21</v>
      </c>
      <c r="C494" s="44" t="s">
        <v>36</v>
      </c>
      <c r="D494" s="130"/>
      <c r="E494" s="171" t="s">
        <v>75</v>
      </c>
      <c r="F494" s="44" t="s">
        <v>1047</v>
      </c>
      <c r="G494" s="171" t="s">
        <v>186</v>
      </c>
      <c r="H494" s="590"/>
      <c r="I494" s="130">
        <v>6</v>
      </c>
      <c r="J494" s="590">
        <v>917.08334000000002</v>
      </c>
      <c r="K494" s="590"/>
      <c r="L494" s="171">
        <v>6</v>
      </c>
      <c r="M494" s="590">
        <v>917.08334000000002</v>
      </c>
      <c r="N494" s="6" t="s">
        <v>1051</v>
      </c>
      <c r="O494" s="172">
        <v>45365</v>
      </c>
      <c r="P494" s="33" t="str">
        <f>HYPERLINK("https://my.zakupivli.pro/remote/dispatcher/state_purchase_view/49783236", "UA-2024-03-14-001638-a")</f>
        <v>UA-2024-03-14-001638-a</v>
      </c>
      <c r="Q494" s="130"/>
      <c r="R494" s="171">
        <v>6</v>
      </c>
      <c r="S494" s="171">
        <v>917.08334000000002</v>
      </c>
      <c r="T494" s="172">
        <v>45365</v>
      </c>
      <c r="U494" s="130"/>
      <c r="V494" s="171" t="s">
        <v>59</v>
      </c>
    </row>
    <row r="495" spans="1:22" ht="62.4" x14ac:dyDescent="0.3">
      <c r="A495" s="130">
        <v>489</v>
      </c>
      <c r="B495" s="171" t="s">
        <v>21</v>
      </c>
      <c r="C495" s="44" t="s">
        <v>36</v>
      </c>
      <c r="D495" s="130"/>
      <c r="E495" s="171" t="s">
        <v>75</v>
      </c>
      <c r="F495" s="44" t="s">
        <v>1048</v>
      </c>
      <c r="G495" s="171" t="s">
        <v>186</v>
      </c>
      <c r="H495" s="590"/>
      <c r="I495" s="130">
        <v>8</v>
      </c>
      <c r="J495" s="590">
        <v>804.06665999999996</v>
      </c>
      <c r="K495" s="590"/>
      <c r="L495" s="171">
        <v>8</v>
      </c>
      <c r="M495" s="590">
        <v>804.06665999999996</v>
      </c>
      <c r="N495" s="6" t="s">
        <v>1052</v>
      </c>
      <c r="O495" s="172">
        <v>45365</v>
      </c>
      <c r="P495" s="33" t="str">
        <f>HYPERLINK("https://my.zakupivli.pro/remote/dispatcher/state_purchase_view/49783236", "UA-2024-03-14-001638-a")</f>
        <v>UA-2024-03-14-001638-a</v>
      </c>
      <c r="Q495" s="130"/>
      <c r="R495" s="171">
        <v>8</v>
      </c>
      <c r="S495" s="171">
        <v>804.06665999999996</v>
      </c>
      <c r="T495" s="172">
        <v>45365</v>
      </c>
      <c r="U495" s="130"/>
      <c r="V495" s="171" t="s">
        <v>59</v>
      </c>
    </row>
    <row r="496" spans="1:22" ht="124.8" x14ac:dyDescent="0.3">
      <c r="A496" s="130">
        <v>490</v>
      </c>
      <c r="B496" s="173" t="s">
        <v>40</v>
      </c>
      <c r="C496" s="44" t="s">
        <v>41</v>
      </c>
      <c r="D496" s="130"/>
      <c r="E496" s="173" t="s">
        <v>88</v>
      </c>
      <c r="F496" s="44" t="s">
        <v>1053</v>
      </c>
      <c r="G496" s="130" t="s">
        <v>184</v>
      </c>
      <c r="H496" s="590">
        <v>806.16314</v>
      </c>
      <c r="I496" s="130">
        <v>1</v>
      </c>
      <c r="J496" s="590">
        <v>806.16314</v>
      </c>
      <c r="K496" s="590">
        <v>806.16314</v>
      </c>
      <c r="L496" s="173">
        <v>1</v>
      </c>
      <c r="M496" s="590">
        <v>806.16314</v>
      </c>
      <c r="N496" s="6" t="s">
        <v>1056</v>
      </c>
      <c r="O496" s="131">
        <v>45366</v>
      </c>
      <c r="P496" s="33" t="str">
        <f>HYPERLINK("https://my.zakupivli.pro/remote/dispatcher/state_purchase_view/49830616", "UA-2024-03-15-009363-a")</f>
        <v>UA-2024-03-15-009363-a</v>
      </c>
      <c r="Q496" s="173"/>
      <c r="R496" s="173"/>
      <c r="S496" s="173"/>
      <c r="T496" s="131"/>
      <c r="U496" s="183" t="s">
        <v>93</v>
      </c>
      <c r="V496" s="130"/>
    </row>
    <row r="497" spans="1:22" ht="124.8" x14ac:dyDescent="0.3">
      <c r="A497" s="130">
        <v>491</v>
      </c>
      <c r="B497" s="173" t="s">
        <v>40</v>
      </c>
      <c r="C497" s="44" t="s">
        <v>41</v>
      </c>
      <c r="D497" s="130"/>
      <c r="E497" s="173" t="s">
        <v>88</v>
      </c>
      <c r="F497" s="44" t="s">
        <v>1054</v>
      </c>
      <c r="G497" s="130" t="s">
        <v>184</v>
      </c>
      <c r="H497" s="590">
        <v>840.49570000000006</v>
      </c>
      <c r="I497" s="130">
        <v>1</v>
      </c>
      <c r="J497" s="590">
        <v>840.49570000000006</v>
      </c>
      <c r="K497" s="590">
        <v>840.49570000000006</v>
      </c>
      <c r="L497" s="173">
        <v>1</v>
      </c>
      <c r="M497" s="590">
        <v>840.49570000000006</v>
      </c>
      <c r="N497" s="6" t="s">
        <v>1057</v>
      </c>
      <c r="O497" s="174">
        <v>45366</v>
      </c>
      <c r="P497" s="33" t="str">
        <f>HYPERLINK("https://my.zakupivli.pro/remote/dispatcher/state_purchase_view/49830616", "UA-2024-03-15-009363-a")</f>
        <v>UA-2024-03-15-009363-a</v>
      </c>
      <c r="Q497" s="130"/>
      <c r="R497" s="130"/>
      <c r="S497" s="130"/>
      <c r="T497" s="131"/>
      <c r="U497" s="183" t="s">
        <v>93</v>
      </c>
      <c r="V497" s="130"/>
    </row>
    <row r="498" spans="1:22" ht="140.4" x14ac:dyDescent="0.3">
      <c r="A498" s="130">
        <v>492</v>
      </c>
      <c r="B498" s="173" t="s">
        <v>21</v>
      </c>
      <c r="C498" s="44" t="s">
        <v>405</v>
      </c>
      <c r="D498" s="130"/>
      <c r="E498" s="173" t="s">
        <v>75</v>
      </c>
      <c r="F498" s="44" t="s">
        <v>1055</v>
      </c>
      <c r="G498" s="130" t="s">
        <v>186</v>
      </c>
      <c r="H498" s="590"/>
      <c r="I498" s="130">
        <v>24</v>
      </c>
      <c r="J498" s="590">
        <v>2135.6806999999999</v>
      </c>
      <c r="K498" s="590"/>
      <c r="L498" s="173">
        <v>24</v>
      </c>
      <c r="M498" s="590">
        <v>2135.6806999999999</v>
      </c>
      <c r="N498" s="6" t="s">
        <v>1058</v>
      </c>
      <c r="O498" s="174">
        <v>45366</v>
      </c>
      <c r="P498" s="33" t="str">
        <f>HYPERLINK("https://my.zakupivli.pro/remote/dispatcher/state_purchase_view/49814380", "UA-2024-03-15-002037-a")</f>
        <v>UA-2024-03-15-002037-a</v>
      </c>
      <c r="Q498" s="130"/>
      <c r="R498" s="173">
        <v>24</v>
      </c>
      <c r="S498" s="173">
        <v>2135.6806999999999</v>
      </c>
      <c r="T498" s="174">
        <v>45366</v>
      </c>
      <c r="U498" s="130"/>
      <c r="V498" s="173" t="s">
        <v>59</v>
      </c>
    </row>
    <row r="499" spans="1:22" ht="62.4" x14ac:dyDescent="0.3">
      <c r="A499" s="130">
        <v>493</v>
      </c>
      <c r="B499" s="175" t="s">
        <v>21</v>
      </c>
      <c r="C499" s="44" t="s">
        <v>412</v>
      </c>
      <c r="D499" s="130"/>
      <c r="E499" s="175" t="s">
        <v>88</v>
      </c>
      <c r="F499" s="44" t="s">
        <v>1059</v>
      </c>
      <c r="G499" s="130" t="s">
        <v>185</v>
      </c>
      <c r="H499" s="590">
        <v>16.745000000000001</v>
      </c>
      <c r="I499" s="130">
        <v>3</v>
      </c>
      <c r="J499" s="590">
        <v>50.234999999999999</v>
      </c>
      <c r="K499" s="590">
        <v>16.745000000000001</v>
      </c>
      <c r="L499" s="175">
        <v>3</v>
      </c>
      <c r="M499" s="590">
        <v>50.234999999999999</v>
      </c>
      <c r="N499" s="6" t="s">
        <v>1060</v>
      </c>
      <c r="O499" s="131">
        <v>45369</v>
      </c>
      <c r="P499" s="33" t="str">
        <f>HYPERLINK("https://my.zakupivli.pro/remote/dispatcher/state_purchase_view/49855542", "UA-2024-03-18-007381-a")</f>
        <v>UA-2024-03-18-007381-a</v>
      </c>
      <c r="Q499" s="175">
        <v>16.745000000000001</v>
      </c>
      <c r="R499" s="175">
        <v>3</v>
      </c>
      <c r="S499" s="175">
        <v>50.234999999999999</v>
      </c>
      <c r="T499" s="176">
        <v>45369</v>
      </c>
      <c r="U499" s="130"/>
      <c r="V499" s="175" t="s">
        <v>59</v>
      </c>
    </row>
    <row r="500" spans="1:22" ht="62.4" x14ac:dyDescent="0.3">
      <c r="A500" s="130">
        <v>494</v>
      </c>
      <c r="B500" s="130" t="s">
        <v>21</v>
      </c>
      <c r="C500" s="41" t="s">
        <v>372</v>
      </c>
      <c r="D500" s="130"/>
      <c r="E500" s="177" t="s">
        <v>75</v>
      </c>
      <c r="F500" s="41" t="s">
        <v>1061</v>
      </c>
      <c r="G500" s="130" t="s">
        <v>186</v>
      </c>
      <c r="I500" s="130">
        <v>52</v>
      </c>
      <c r="J500" s="590">
        <v>1075</v>
      </c>
      <c r="K500" s="590"/>
      <c r="L500" s="177">
        <v>52</v>
      </c>
      <c r="M500" s="590">
        <v>1075</v>
      </c>
      <c r="N500" s="6" t="s">
        <v>1062</v>
      </c>
      <c r="O500" s="131">
        <v>45371</v>
      </c>
      <c r="P500" s="33" t="str">
        <f>HYPERLINK("https://my.zakupivli.pro/remote/dispatcher/state_purchase_view/49910924", "UA-2024-03-20-005051-a")</f>
        <v>UA-2024-03-20-005051-a</v>
      </c>
      <c r="Q500" s="130"/>
      <c r="R500" s="130">
        <v>52</v>
      </c>
      <c r="S500" s="130">
        <v>1025.93885</v>
      </c>
      <c r="T500" s="131" t="s">
        <v>1172</v>
      </c>
      <c r="U500" s="130"/>
      <c r="V500" s="130"/>
    </row>
    <row r="501" spans="1:22" ht="62.4" x14ac:dyDescent="0.3">
      <c r="A501" s="130">
        <v>495</v>
      </c>
      <c r="B501" s="178" t="s">
        <v>21</v>
      </c>
      <c r="C501" s="44" t="s">
        <v>1064</v>
      </c>
      <c r="D501" s="130"/>
      <c r="E501" s="178" t="s">
        <v>75</v>
      </c>
      <c r="F501" s="44" t="s">
        <v>1063</v>
      </c>
      <c r="G501" s="130" t="s">
        <v>185</v>
      </c>
      <c r="H501" s="590"/>
      <c r="I501" s="130">
        <v>25</v>
      </c>
      <c r="J501" s="590">
        <v>54.563330000000001</v>
      </c>
      <c r="K501" s="590"/>
      <c r="L501" s="178">
        <v>25</v>
      </c>
      <c r="M501" s="590">
        <v>54.563330000000001</v>
      </c>
      <c r="N501" s="6" t="s">
        <v>1065</v>
      </c>
      <c r="O501" s="131">
        <v>45372</v>
      </c>
      <c r="P501" s="120" t="str">
        <f>HYPERLINK("https://my.zakupivli.pro/remote/dispatcher/state_purchase_view/49949189", "UA-2024-03-21-008100-a")</f>
        <v>UA-2024-03-21-008100-a</v>
      </c>
      <c r="Q501" s="130"/>
      <c r="R501" s="178">
        <v>25</v>
      </c>
      <c r="S501" s="178">
        <v>54.563330000000001</v>
      </c>
      <c r="T501" s="131">
        <v>45372</v>
      </c>
      <c r="U501" s="130"/>
      <c r="V501" s="178" t="s">
        <v>59</v>
      </c>
    </row>
    <row r="502" spans="1:22" ht="62.4" x14ac:dyDescent="0.3">
      <c r="A502" s="130">
        <v>496</v>
      </c>
      <c r="B502" s="179" t="s">
        <v>21</v>
      </c>
      <c r="C502" s="44" t="s">
        <v>1068</v>
      </c>
      <c r="D502" s="130"/>
      <c r="E502" s="179" t="s">
        <v>75</v>
      </c>
      <c r="F502" s="44" t="s">
        <v>1066</v>
      </c>
      <c r="G502" s="130" t="s">
        <v>186</v>
      </c>
      <c r="H502" s="590"/>
      <c r="I502" s="130">
        <v>3</v>
      </c>
      <c r="J502" s="590">
        <v>82.216300000000004</v>
      </c>
      <c r="K502" s="590"/>
      <c r="L502" s="179">
        <v>3</v>
      </c>
      <c r="M502" s="590">
        <v>82.216300000000004</v>
      </c>
      <c r="N502" s="6" t="s">
        <v>1070</v>
      </c>
      <c r="O502" s="131">
        <v>45376</v>
      </c>
      <c r="P502" s="33" t="str">
        <f>HYPERLINK("https://my.zakupivli.pro/remote/dispatcher/state_purchase_view/50009434", "UA-2024-03-25-008603-a")</f>
        <v>UA-2024-03-25-008603-a</v>
      </c>
      <c r="Q502" s="130"/>
      <c r="R502" s="179">
        <v>3</v>
      </c>
      <c r="S502" s="179">
        <v>82.216300000000004</v>
      </c>
      <c r="T502" s="180">
        <v>45376</v>
      </c>
      <c r="U502" s="130"/>
      <c r="V502" s="179" t="s">
        <v>59</v>
      </c>
    </row>
    <row r="503" spans="1:22" ht="62.4" x14ac:dyDescent="0.3">
      <c r="A503" s="130">
        <v>497</v>
      </c>
      <c r="B503" s="179" t="s">
        <v>21</v>
      </c>
      <c r="C503" s="44" t="s">
        <v>1069</v>
      </c>
      <c r="D503" s="130"/>
      <c r="E503" s="179" t="s">
        <v>75</v>
      </c>
      <c r="F503" s="44" t="s">
        <v>1067</v>
      </c>
      <c r="G503" s="130" t="s">
        <v>186</v>
      </c>
      <c r="H503" s="590"/>
      <c r="I503" s="130">
        <v>9</v>
      </c>
      <c r="J503" s="590">
        <v>81.835599999999999</v>
      </c>
      <c r="K503" s="590"/>
      <c r="L503" s="179">
        <v>9</v>
      </c>
      <c r="M503" s="590">
        <v>81.835599999999999</v>
      </c>
      <c r="N503" s="6" t="s">
        <v>1071</v>
      </c>
      <c r="O503" s="180">
        <v>45376</v>
      </c>
      <c r="P503" s="33" t="str">
        <f>HYPERLINK("https://my.zakupivli.pro/remote/dispatcher/state_purchase_view/50008319", "UA-2024-03-25-008156-a")</f>
        <v>UA-2024-03-25-008156-a</v>
      </c>
      <c r="Q503" s="130"/>
      <c r="R503" s="179">
        <v>9</v>
      </c>
      <c r="S503" s="179">
        <v>81.835599999999999</v>
      </c>
      <c r="T503" s="180">
        <v>45376</v>
      </c>
      <c r="U503" s="130"/>
      <c r="V503" s="179" t="s">
        <v>59</v>
      </c>
    </row>
    <row r="504" spans="1:22" ht="62.4" x14ac:dyDescent="0.3">
      <c r="A504" s="130">
        <v>498</v>
      </c>
      <c r="B504" s="130" t="s">
        <v>40</v>
      </c>
      <c r="C504" s="44" t="s">
        <v>41</v>
      </c>
      <c r="D504" s="130"/>
      <c r="E504" s="179" t="s">
        <v>88</v>
      </c>
      <c r="F504" s="44" t="s">
        <v>1072</v>
      </c>
      <c r="G504" s="130" t="s">
        <v>184</v>
      </c>
      <c r="H504" s="590">
        <v>338.43669</v>
      </c>
      <c r="I504" s="130">
        <v>1</v>
      </c>
      <c r="J504" s="590">
        <v>338.43669</v>
      </c>
      <c r="K504" s="590">
        <v>338.43669</v>
      </c>
      <c r="L504" s="179">
        <v>1</v>
      </c>
      <c r="M504" s="590">
        <v>338.43669</v>
      </c>
      <c r="N504" s="6" t="s">
        <v>1075</v>
      </c>
      <c r="O504" s="180">
        <v>45376</v>
      </c>
      <c r="P504" s="33" t="str">
        <f>HYPERLINK("https://my.zakupivli.pro/remote/dispatcher/state_purchase_view/49993551", "UA-2024-03-25-001536-a")</f>
        <v>UA-2024-03-25-001536-a</v>
      </c>
      <c r="Q504" s="179">
        <v>338.43669</v>
      </c>
      <c r="R504" s="179">
        <v>1</v>
      </c>
      <c r="S504" s="179">
        <v>338.43669</v>
      </c>
      <c r="T504" s="180">
        <v>45373</v>
      </c>
      <c r="U504" s="130"/>
      <c r="V504" s="179" t="s">
        <v>59</v>
      </c>
    </row>
    <row r="505" spans="1:22" ht="62.4" x14ac:dyDescent="0.3">
      <c r="A505" s="130">
        <v>499</v>
      </c>
      <c r="B505" s="179" t="s">
        <v>40</v>
      </c>
      <c r="C505" s="44" t="s">
        <v>41</v>
      </c>
      <c r="D505" s="130"/>
      <c r="E505" s="179" t="s">
        <v>88</v>
      </c>
      <c r="F505" s="44" t="s">
        <v>1073</v>
      </c>
      <c r="G505" s="179" t="s">
        <v>184</v>
      </c>
      <c r="H505" s="590">
        <v>677.26585</v>
      </c>
      <c r="I505" s="179">
        <v>1</v>
      </c>
      <c r="J505" s="590">
        <v>677.26585</v>
      </c>
      <c r="K505" s="590">
        <v>677.26585</v>
      </c>
      <c r="L505" s="179">
        <v>1</v>
      </c>
      <c r="M505" s="590">
        <v>677.26585</v>
      </c>
      <c r="N505" s="6" t="s">
        <v>1076</v>
      </c>
      <c r="O505" s="180">
        <v>45376</v>
      </c>
      <c r="P505" s="33" t="str">
        <f>HYPERLINK("https://my.zakupivli.pro/remote/dispatcher/state_purchase_view/49993454", "UA-2024-03-25-001472-a")</f>
        <v>UA-2024-03-25-001472-a</v>
      </c>
      <c r="Q505" s="179">
        <v>677.26585</v>
      </c>
      <c r="R505" s="179">
        <v>1</v>
      </c>
      <c r="S505" s="179">
        <v>677.26585</v>
      </c>
      <c r="T505" s="180">
        <v>45373</v>
      </c>
      <c r="U505" s="130"/>
      <c r="V505" s="179" t="s">
        <v>59</v>
      </c>
    </row>
    <row r="506" spans="1:22" ht="62.4" x14ac:dyDescent="0.3">
      <c r="A506" s="130">
        <v>500</v>
      </c>
      <c r="B506" s="179" t="s">
        <v>40</v>
      </c>
      <c r="C506" s="44" t="s">
        <v>41</v>
      </c>
      <c r="D506" s="130"/>
      <c r="E506" s="179" t="s">
        <v>88</v>
      </c>
      <c r="F506" s="44" t="s">
        <v>1074</v>
      </c>
      <c r="G506" s="179" t="s">
        <v>184</v>
      </c>
      <c r="H506" s="590">
        <v>440.17205000000001</v>
      </c>
      <c r="I506" s="179">
        <v>1</v>
      </c>
      <c r="J506" s="590">
        <v>440.17205000000001</v>
      </c>
      <c r="K506" s="590">
        <v>440.17205000000001</v>
      </c>
      <c r="L506" s="179">
        <v>1</v>
      </c>
      <c r="M506" s="590">
        <v>440.17205000000001</v>
      </c>
      <c r="N506" s="6" t="s">
        <v>1077</v>
      </c>
      <c r="O506" s="180">
        <v>45376</v>
      </c>
      <c r="P506" s="33" t="str">
        <f>HYPERLINK("https://my.zakupivli.pro/remote/dispatcher/state_purchase_view/49993314", "UA-2024-03-25-001382-a")</f>
        <v>UA-2024-03-25-001382-a</v>
      </c>
      <c r="Q506" s="179">
        <v>440.17205000000001</v>
      </c>
      <c r="R506" s="179">
        <v>1</v>
      </c>
      <c r="S506" s="179">
        <v>440.17205000000001</v>
      </c>
      <c r="T506" s="180">
        <v>45373</v>
      </c>
      <c r="U506" s="130"/>
      <c r="V506" s="179" t="s">
        <v>59</v>
      </c>
    </row>
    <row r="507" spans="1:22" ht="62.4" x14ac:dyDescent="0.3">
      <c r="A507" s="130">
        <v>501</v>
      </c>
      <c r="B507" s="179" t="s">
        <v>40</v>
      </c>
      <c r="C507" s="44" t="s">
        <v>41</v>
      </c>
      <c r="D507" s="130"/>
      <c r="E507" s="179" t="s">
        <v>88</v>
      </c>
      <c r="F507" s="44" t="s">
        <v>1078</v>
      </c>
      <c r="G507" s="179" t="s">
        <v>184</v>
      </c>
      <c r="H507" s="590">
        <v>423.59964000000002</v>
      </c>
      <c r="I507" s="179">
        <v>1</v>
      </c>
      <c r="J507" s="590">
        <v>423.59964000000002</v>
      </c>
      <c r="K507" s="590">
        <v>423.59964000000002</v>
      </c>
      <c r="L507" s="179">
        <v>1</v>
      </c>
      <c r="M507" s="590">
        <v>423.59964000000002</v>
      </c>
      <c r="N507" s="6" t="s">
        <v>1083</v>
      </c>
      <c r="O507" s="180">
        <v>45376</v>
      </c>
      <c r="P507" s="33" t="str">
        <f>HYPERLINK("https://my.zakupivli.pro/remote/dispatcher/state_purchase_view/49992857", "UA-2024-03-25-001186-a")</f>
        <v>UA-2024-03-25-001186-a</v>
      </c>
      <c r="Q507" s="179">
        <v>423.59964000000002</v>
      </c>
      <c r="R507" s="179">
        <v>1</v>
      </c>
      <c r="S507" s="179">
        <v>423.59964000000002</v>
      </c>
      <c r="T507" s="180">
        <v>45373</v>
      </c>
      <c r="U507" s="130"/>
      <c r="V507" s="179" t="s">
        <v>59</v>
      </c>
    </row>
    <row r="508" spans="1:22" ht="62.4" x14ac:dyDescent="0.3">
      <c r="A508" s="130">
        <v>502</v>
      </c>
      <c r="B508" s="179" t="s">
        <v>40</v>
      </c>
      <c r="C508" s="44" t="s">
        <v>41</v>
      </c>
      <c r="D508" s="130"/>
      <c r="E508" s="179" t="s">
        <v>88</v>
      </c>
      <c r="F508" s="44" t="s">
        <v>1079</v>
      </c>
      <c r="G508" s="179" t="s">
        <v>184</v>
      </c>
      <c r="H508" s="590">
        <v>567010.35</v>
      </c>
      <c r="I508" s="179">
        <v>1</v>
      </c>
      <c r="J508" s="590">
        <v>567010.35</v>
      </c>
      <c r="K508" s="590">
        <v>567010.35</v>
      </c>
      <c r="L508" s="179">
        <v>1</v>
      </c>
      <c r="M508" s="590">
        <v>567010.35</v>
      </c>
      <c r="N508" s="6" t="s">
        <v>1084</v>
      </c>
      <c r="O508" s="180">
        <v>45376</v>
      </c>
      <c r="P508" s="33" t="str">
        <f>HYPERLINK("https://my.zakupivli.pro/remote/dispatcher/state_purchase_view/49992163", "UA-2024-03-25-000945-a")</f>
        <v>UA-2024-03-25-000945-a</v>
      </c>
      <c r="Q508" s="179">
        <v>567010.35</v>
      </c>
      <c r="R508" s="179">
        <v>1</v>
      </c>
      <c r="S508" s="179">
        <v>567010.35</v>
      </c>
      <c r="T508" s="180">
        <v>45373</v>
      </c>
      <c r="U508" s="130"/>
      <c r="V508" s="179" t="s">
        <v>59</v>
      </c>
    </row>
    <row r="509" spans="1:22" ht="62.4" x14ac:dyDescent="0.3">
      <c r="A509" s="130">
        <v>503</v>
      </c>
      <c r="B509" s="179" t="s">
        <v>40</v>
      </c>
      <c r="C509" s="44" t="s">
        <v>41</v>
      </c>
      <c r="D509" s="130"/>
      <c r="E509" s="179" t="s">
        <v>88</v>
      </c>
      <c r="F509" s="44" t="s">
        <v>1080</v>
      </c>
      <c r="G509" s="179" t="s">
        <v>184</v>
      </c>
      <c r="H509" s="590">
        <v>1056.9045599999999</v>
      </c>
      <c r="I509" s="179">
        <v>1</v>
      </c>
      <c r="J509" s="590">
        <v>1056.9045599999999</v>
      </c>
      <c r="K509" s="590">
        <v>1056.9045599999999</v>
      </c>
      <c r="L509" s="179">
        <v>1</v>
      </c>
      <c r="M509" s="590">
        <v>1056.9045599999999</v>
      </c>
      <c r="N509" s="6" t="s">
        <v>1085</v>
      </c>
      <c r="O509" s="180">
        <v>45376</v>
      </c>
      <c r="P509" s="33" t="str">
        <f>HYPERLINK("https://my.zakupivli.pro/remote/dispatcher/state_purchase_view/49991885", "UA-2024-03-25-000827-a")</f>
        <v>UA-2024-03-25-000827-a</v>
      </c>
      <c r="Q509" s="179">
        <v>1056.9045599999999</v>
      </c>
      <c r="R509" s="179">
        <v>1</v>
      </c>
      <c r="S509" s="179">
        <v>1056.9045599999999</v>
      </c>
      <c r="T509" s="180">
        <v>45373</v>
      </c>
      <c r="U509" s="130"/>
      <c r="V509" s="179" t="s">
        <v>59</v>
      </c>
    </row>
    <row r="510" spans="1:22" ht="62.4" x14ac:dyDescent="0.3">
      <c r="A510" s="130">
        <v>504</v>
      </c>
      <c r="B510" s="179" t="s">
        <v>40</v>
      </c>
      <c r="C510" s="44" t="s">
        <v>41</v>
      </c>
      <c r="D510" s="130"/>
      <c r="E510" s="179" t="s">
        <v>88</v>
      </c>
      <c r="F510" s="44" t="s">
        <v>1081</v>
      </c>
      <c r="G510" s="179" t="s">
        <v>184</v>
      </c>
      <c r="H510" s="590">
        <v>442.95051000000001</v>
      </c>
      <c r="I510" s="179">
        <v>1</v>
      </c>
      <c r="J510" s="590">
        <v>442.95051000000001</v>
      </c>
      <c r="K510" s="590">
        <v>442.95051000000001</v>
      </c>
      <c r="L510" s="179">
        <v>1</v>
      </c>
      <c r="M510" s="590">
        <v>442.95051000000001</v>
      </c>
      <c r="N510" s="6" t="s">
        <v>1086</v>
      </c>
      <c r="O510" s="180">
        <v>45376</v>
      </c>
      <c r="P510" s="33" t="str">
        <f>HYPERLINK("https://my.zakupivli.pro/remote/dispatcher/state_purchase_view/49991401", "UA-2024-03-25-000641-a")</f>
        <v>UA-2024-03-25-000641-a</v>
      </c>
      <c r="Q510" s="179">
        <v>442.95051000000001</v>
      </c>
      <c r="R510" s="179">
        <v>1</v>
      </c>
      <c r="S510" s="179">
        <v>442.95051000000001</v>
      </c>
      <c r="T510" s="180">
        <v>45373</v>
      </c>
      <c r="U510" s="130"/>
      <c r="V510" s="179" t="s">
        <v>59</v>
      </c>
    </row>
    <row r="511" spans="1:22" ht="62.4" x14ac:dyDescent="0.3">
      <c r="A511" s="130">
        <v>505</v>
      </c>
      <c r="B511" s="179" t="s">
        <v>40</v>
      </c>
      <c r="C511" s="44" t="s">
        <v>41</v>
      </c>
      <c r="D511" s="130"/>
      <c r="E511" s="179" t="s">
        <v>88</v>
      </c>
      <c r="F511" s="44" t="s">
        <v>1082</v>
      </c>
      <c r="G511" s="179" t="s">
        <v>184</v>
      </c>
      <c r="H511" s="590">
        <v>667.58050000000003</v>
      </c>
      <c r="I511" s="179">
        <v>1</v>
      </c>
      <c r="J511" s="590">
        <v>667.58050000000003</v>
      </c>
      <c r="K511" s="590">
        <v>667.58050000000003</v>
      </c>
      <c r="L511" s="179">
        <v>1</v>
      </c>
      <c r="M511" s="590">
        <v>667.58050000000003</v>
      </c>
      <c r="N511" s="6" t="s">
        <v>1087</v>
      </c>
      <c r="O511" s="180">
        <v>45376</v>
      </c>
      <c r="P511" s="33" t="str">
        <f>HYPERLINK("https://my.zakupivli.pro/remote/dispatcher/state_purchase_view/49991359", "UA-2024-03-25-000613-a")</f>
        <v>UA-2024-03-25-000613-a</v>
      </c>
      <c r="Q511" s="179">
        <v>667.58050000000003</v>
      </c>
      <c r="R511" s="179">
        <v>1</v>
      </c>
      <c r="S511" s="179">
        <v>667.58050000000003</v>
      </c>
      <c r="T511" s="180">
        <v>45373</v>
      </c>
      <c r="U511" s="130"/>
      <c r="V511" s="179" t="s">
        <v>59</v>
      </c>
    </row>
    <row r="512" spans="1:22" ht="62.4" x14ac:dyDescent="0.3">
      <c r="A512" s="130">
        <v>506</v>
      </c>
      <c r="B512" s="179" t="s">
        <v>40</v>
      </c>
      <c r="C512" s="44" t="s">
        <v>41</v>
      </c>
      <c r="D512" s="130"/>
      <c r="E512" s="179" t="s">
        <v>88</v>
      </c>
      <c r="F512" s="44" t="s">
        <v>1088</v>
      </c>
      <c r="G512" s="179" t="s">
        <v>184</v>
      </c>
      <c r="H512" s="590">
        <v>760.82086000000004</v>
      </c>
      <c r="I512" s="179">
        <v>1</v>
      </c>
      <c r="J512" s="590">
        <v>760.82086000000004</v>
      </c>
      <c r="K512" s="590">
        <v>760.82086000000004</v>
      </c>
      <c r="L512" s="179">
        <v>1</v>
      </c>
      <c r="M512" s="590">
        <v>760.82086000000004</v>
      </c>
      <c r="N512" s="6" t="s">
        <v>1093</v>
      </c>
      <c r="O512" s="180">
        <v>45376</v>
      </c>
      <c r="P512" s="33" t="str">
        <f>HYPERLINK("https://my.zakupivli.pro/remote/dispatcher/state_purchase_view/49991087", "UA-2024-03-25-000494-a")</f>
        <v>UA-2024-03-25-000494-a</v>
      </c>
      <c r="Q512" s="179">
        <v>760.82086000000004</v>
      </c>
      <c r="R512" s="179">
        <v>1</v>
      </c>
      <c r="S512" s="179">
        <v>760.82086000000004</v>
      </c>
      <c r="T512" s="180">
        <v>45373</v>
      </c>
      <c r="U512" s="130"/>
      <c r="V512" s="179" t="s">
        <v>59</v>
      </c>
    </row>
    <row r="513" spans="1:22" ht="62.4" x14ac:dyDescent="0.3">
      <c r="A513" s="130">
        <v>507</v>
      </c>
      <c r="B513" s="179" t="s">
        <v>40</v>
      </c>
      <c r="C513" s="44" t="s">
        <v>41</v>
      </c>
      <c r="D513" s="130"/>
      <c r="E513" s="179" t="s">
        <v>88</v>
      </c>
      <c r="F513" s="44" t="s">
        <v>1089</v>
      </c>
      <c r="G513" s="179" t="s">
        <v>184</v>
      </c>
      <c r="H513" s="590">
        <v>915.53321000000005</v>
      </c>
      <c r="I513" s="179">
        <v>1</v>
      </c>
      <c r="J513" s="590">
        <v>915.53321000000005</v>
      </c>
      <c r="K513" s="590">
        <v>915.53321000000005</v>
      </c>
      <c r="L513" s="179">
        <v>1</v>
      </c>
      <c r="M513" s="590">
        <v>915.53321000000005</v>
      </c>
      <c r="N513" s="6" t="s">
        <v>1094</v>
      </c>
      <c r="O513" s="180">
        <v>45376</v>
      </c>
      <c r="P513" s="33" t="str">
        <f>HYPERLINK("https://my.zakupivli.pro/remote/dispatcher/state_purchase_view/49990900", "UA-2024-03-25-000416-a")</f>
        <v>UA-2024-03-25-000416-a</v>
      </c>
      <c r="Q513" s="179">
        <v>915.53321000000005</v>
      </c>
      <c r="R513" s="179">
        <v>1</v>
      </c>
      <c r="S513" s="179">
        <v>915.53321000000005</v>
      </c>
      <c r="T513" s="180">
        <v>45373</v>
      </c>
      <c r="U513" s="130"/>
      <c r="V513" s="179" t="s">
        <v>59</v>
      </c>
    </row>
    <row r="514" spans="1:22" ht="62.4" x14ac:dyDescent="0.3">
      <c r="A514" s="130">
        <v>508</v>
      </c>
      <c r="B514" s="179" t="s">
        <v>40</v>
      </c>
      <c r="C514" s="44" t="s">
        <v>41</v>
      </c>
      <c r="D514" s="130"/>
      <c r="E514" s="179" t="s">
        <v>88</v>
      </c>
      <c r="F514" s="44" t="s">
        <v>1090</v>
      </c>
      <c r="G514" s="179" t="s">
        <v>184</v>
      </c>
      <c r="H514" s="590">
        <v>847.72888999999998</v>
      </c>
      <c r="I514" s="179">
        <v>1</v>
      </c>
      <c r="J514" s="590">
        <v>847.72888999999998</v>
      </c>
      <c r="K514" s="590">
        <v>847.72888999999998</v>
      </c>
      <c r="L514" s="179">
        <v>1</v>
      </c>
      <c r="M514" s="590">
        <v>847.72888999999998</v>
      </c>
      <c r="N514" s="6" t="s">
        <v>1095</v>
      </c>
      <c r="O514" s="180">
        <v>45376</v>
      </c>
      <c r="P514" s="33" t="str">
        <f>HYPERLINK("https://my.zakupivli.pro/remote/dispatcher/state_purchase_view/49990848", "UA-2024-03-25-000383-a")</f>
        <v>UA-2024-03-25-000383-a</v>
      </c>
      <c r="Q514" s="179">
        <v>847.72888999999998</v>
      </c>
      <c r="R514" s="179">
        <v>1</v>
      </c>
      <c r="S514" s="179">
        <v>847.72888999999998</v>
      </c>
      <c r="T514" s="180">
        <v>45373</v>
      </c>
      <c r="U514" s="130"/>
      <c r="V514" s="179" t="s">
        <v>59</v>
      </c>
    </row>
    <row r="515" spans="1:22" ht="62.4" x14ac:dyDescent="0.3">
      <c r="A515" s="130">
        <v>509</v>
      </c>
      <c r="B515" s="179" t="s">
        <v>40</v>
      </c>
      <c r="C515" s="44" t="s">
        <v>41</v>
      </c>
      <c r="D515" s="130"/>
      <c r="E515" s="179" t="s">
        <v>88</v>
      </c>
      <c r="F515" s="44" t="s">
        <v>1091</v>
      </c>
      <c r="G515" s="179" t="s">
        <v>184</v>
      </c>
      <c r="H515" s="590">
        <v>931.63234999999997</v>
      </c>
      <c r="I515" s="179">
        <v>1</v>
      </c>
      <c r="J515" s="590">
        <v>931.63234999999997</v>
      </c>
      <c r="K515" s="590">
        <v>931.63234999999997</v>
      </c>
      <c r="L515" s="179">
        <v>931.63234999999997</v>
      </c>
      <c r="M515" s="590">
        <v>931.63234999999997</v>
      </c>
      <c r="N515" s="6" t="s">
        <v>1096</v>
      </c>
      <c r="O515" s="180">
        <v>45376</v>
      </c>
      <c r="P515" s="33" t="str">
        <f>HYPERLINK("https://my.zakupivli.pro/remote/dispatcher/state_purchase_view/49990556", "UA-2024-03-25-000272-a")</f>
        <v>UA-2024-03-25-000272-a</v>
      </c>
      <c r="Q515" s="179">
        <v>931.63234999999997</v>
      </c>
      <c r="R515" s="179">
        <v>931.63234999999997</v>
      </c>
      <c r="S515" s="179">
        <v>931.63234999999997</v>
      </c>
      <c r="T515" s="180">
        <v>45373</v>
      </c>
      <c r="U515" s="130"/>
      <c r="V515" s="179" t="s">
        <v>59</v>
      </c>
    </row>
    <row r="516" spans="1:22" ht="62.4" x14ac:dyDescent="0.3">
      <c r="A516" s="130">
        <v>510</v>
      </c>
      <c r="B516" s="179" t="s">
        <v>40</v>
      </c>
      <c r="C516" s="44" t="s">
        <v>41</v>
      </c>
      <c r="D516" s="130"/>
      <c r="E516" s="179" t="s">
        <v>88</v>
      </c>
      <c r="F516" s="44" t="s">
        <v>1092</v>
      </c>
      <c r="G516" s="179" t="s">
        <v>184</v>
      </c>
      <c r="H516" s="590">
        <v>1096.11652</v>
      </c>
      <c r="I516" s="130">
        <v>1</v>
      </c>
      <c r="J516" s="590">
        <v>1096.11652</v>
      </c>
      <c r="K516" s="590">
        <v>1096.11652</v>
      </c>
      <c r="L516" s="179">
        <v>1</v>
      </c>
      <c r="M516" s="590">
        <v>1096.11652</v>
      </c>
      <c r="N516" s="6" t="s">
        <v>1097</v>
      </c>
      <c r="O516" s="180">
        <v>45376</v>
      </c>
      <c r="P516" s="33" t="str">
        <f>HYPERLINK("https://my.zakupivli.pro/remote/dispatcher/state_purchase_view/49990340", "UA-2024-03-25-000171-a")</f>
        <v>UA-2024-03-25-000171-a</v>
      </c>
      <c r="Q516" s="179">
        <v>1096.11652</v>
      </c>
      <c r="R516" s="179">
        <v>1</v>
      </c>
      <c r="S516" s="179">
        <v>1096.11652</v>
      </c>
      <c r="T516" s="180">
        <v>45373</v>
      </c>
      <c r="U516" s="130"/>
      <c r="V516" s="179" t="s">
        <v>59</v>
      </c>
    </row>
    <row r="517" spans="1:22" ht="156" x14ac:dyDescent="0.3">
      <c r="A517" s="130">
        <v>511</v>
      </c>
      <c r="B517" s="130" t="s">
        <v>21</v>
      </c>
      <c r="C517" s="41" t="s">
        <v>183</v>
      </c>
      <c r="D517" s="130"/>
      <c r="E517" s="181" t="s">
        <v>88</v>
      </c>
      <c r="F517" s="44" t="s">
        <v>1098</v>
      </c>
      <c r="G517" s="130" t="s">
        <v>21</v>
      </c>
      <c r="H517" s="590">
        <v>7694.4</v>
      </c>
      <c r="I517" s="130">
        <v>1</v>
      </c>
      <c r="J517" s="590">
        <v>7694.4</v>
      </c>
      <c r="K517" s="590">
        <v>7694.4</v>
      </c>
      <c r="L517" s="181">
        <v>1</v>
      </c>
      <c r="M517" s="590">
        <v>7694.4</v>
      </c>
      <c r="N517" s="6" t="s">
        <v>1099</v>
      </c>
      <c r="O517" s="180">
        <v>45379</v>
      </c>
      <c r="P517" s="33" t="str">
        <f>HYPERLINK("https://my.zakupivli.pro/remote/dispatcher/state_purchase_view/50096341", "UA-2024-03-28-009986-a")</f>
        <v>UA-2024-03-28-009986-a</v>
      </c>
      <c r="Q517" s="117">
        <v>7694.4</v>
      </c>
      <c r="R517" s="181">
        <v>1</v>
      </c>
      <c r="S517" s="117">
        <v>7694.4</v>
      </c>
      <c r="T517" s="182">
        <v>45379</v>
      </c>
      <c r="U517" s="130"/>
      <c r="V517" s="181" t="s">
        <v>59</v>
      </c>
    </row>
    <row r="518" spans="1:22" ht="62.4" x14ac:dyDescent="0.3">
      <c r="A518" s="130">
        <v>512</v>
      </c>
      <c r="B518" s="184" t="s">
        <v>40</v>
      </c>
      <c r="C518" s="44" t="s">
        <v>73</v>
      </c>
      <c r="D518" s="130"/>
      <c r="E518" s="184" t="s">
        <v>75</v>
      </c>
      <c r="F518" s="44" t="s">
        <v>1100</v>
      </c>
      <c r="G518" s="130" t="s">
        <v>184</v>
      </c>
      <c r="H518" s="590">
        <v>96.452979999999997</v>
      </c>
      <c r="I518" s="130">
        <v>1</v>
      </c>
      <c r="J518" s="590">
        <v>96.452979999999997</v>
      </c>
      <c r="K518" s="590">
        <v>96.452979999999997</v>
      </c>
      <c r="L518" s="184">
        <v>1</v>
      </c>
      <c r="M518" s="590">
        <v>96.452979999999997</v>
      </c>
      <c r="N518" s="6" t="s">
        <v>1106</v>
      </c>
      <c r="O518" s="131">
        <v>45383</v>
      </c>
      <c r="P518" s="33" t="str">
        <f>HYPERLINK("https://my.zakupivli.pro/remote/dispatcher/state_purchase_view/50133163", "UA-2024-04-01-005782-a")</f>
        <v>UA-2024-04-01-005782-a</v>
      </c>
      <c r="Q518" s="184">
        <v>96.452979999999997</v>
      </c>
      <c r="R518" s="184">
        <v>1</v>
      </c>
      <c r="S518" s="184">
        <v>96.452979999999997</v>
      </c>
      <c r="T518" s="185">
        <v>45383</v>
      </c>
      <c r="U518" s="130"/>
      <c r="V518" s="184" t="s">
        <v>59</v>
      </c>
    </row>
    <row r="519" spans="1:22" ht="62.4" x14ac:dyDescent="0.3">
      <c r="A519" s="130">
        <v>513</v>
      </c>
      <c r="B519" s="184" t="s">
        <v>40</v>
      </c>
      <c r="C519" s="44" t="s">
        <v>73</v>
      </c>
      <c r="D519" s="130"/>
      <c r="E519" s="184" t="s">
        <v>75</v>
      </c>
      <c r="F519" s="44" t="s">
        <v>1101</v>
      </c>
      <c r="G519" s="184" t="s">
        <v>184</v>
      </c>
      <c r="H519" s="590">
        <v>113.94756</v>
      </c>
      <c r="I519" s="130">
        <v>1</v>
      </c>
      <c r="J519" s="590">
        <v>113.94756</v>
      </c>
      <c r="K519" s="590">
        <v>113.94756</v>
      </c>
      <c r="L519" s="184">
        <v>1</v>
      </c>
      <c r="M519" s="590">
        <v>113.94756</v>
      </c>
      <c r="N519" s="6" t="s">
        <v>1107</v>
      </c>
      <c r="O519" s="185">
        <v>45383</v>
      </c>
      <c r="P519" s="33" t="str">
        <f>HYPERLINK("https://my.zakupivli.pro/remote/dispatcher/state_purchase_view/50132155", "UA-2024-04-01-005332-a")</f>
        <v>UA-2024-04-01-005332-a</v>
      </c>
      <c r="Q519" s="184">
        <v>113.94756</v>
      </c>
      <c r="R519" s="184">
        <v>1</v>
      </c>
      <c r="S519" s="184">
        <v>113.94756</v>
      </c>
      <c r="T519" s="185">
        <v>45383</v>
      </c>
      <c r="U519" s="130"/>
      <c r="V519" s="184" t="s">
        <v>59</v>
      </c>
    </row>
    <row r="520" spans="1:22" ht="62.4" x14ac:dyDescent="0.3">
      <c r="A520" s="130">
        <v>514</v>
      </c>
      <c r="B520" s="184" t="s">
        <v>40</v>
      </c>
      <c r="C520" s="44" t="s">
        <v>73</v>
      </c>
      <c r="D520" s="130"/>
      <c r="E520" s="184" t="s">
        <v>75</v>
      </c>
      <c r="F520" s="44" t="s">
        <v>1102</v>
      </c>
      <c r="G520" s="184" t="s">
        <v>184</v>
      </c>
      <c r="H520" s="590">
        <v>151.39293000000001</v>
      </c>
      <c r="I520" s="130">
        <v>1</v>
      </c>
      <c r="J520" s="590">
        <v>151.39293000000001</v>
      </c>
      <c r="K520" s="590">
        <v>151.39293000000001</v>
      </c>
      <c r="L520" s="184">
        <v>1</v>
      </c>
      <c r="M520" s="590">
        <v>151.39293000000001</v>
      </c>
      <c r="N520" s="6" t="s">
        <v>1108</v>
      </c>
      <c r="O520" s="185">
        <v>45383</v>
      </c>
      <c r="P520" s="33" t="str">
        <f>HYPERLINK("https://my.zakupivli.pro/remote/dispatcher/state_purchase_view/50131614", "UA-2024-04-01-005080-a")</f>
        <v>UA-2024-04-01-005080-a</v>
      </c>
      <c r="Q520" s="184">
        <v>151.39293000000001</v>
      </c>
      <c r="R520" s="184">
        <v>1</v>
      </c>
      <c r="S520" s="184">
        <v>151.39293000000001</v>
      </c>
      <c r="T520" s="185">
        <v>45383</v>
      </c>
      <c r="U520" s="130"/>
      <c r="V520" s="184" t="s">
        <v>59</v>
      </c>
    </row>
    <row r="521" spans="1:22" ht="62.4" x14ac:dyDescent="0.3">
      <c r="A521" s="130">
        <v>515</v>
      </c>
      <c r="B521" s="184" t="s">
        <v>40</v>
      </c>
      <c r="C521" s="44" t="s">
        <v>73</v>
      </c>
      <c r="D521" s="130"/>
      <c r="E521" s="184" t="s">
        <v>75</v>
      </c>
      <c r="F521" s="44" t="s">
        <v>1103</v>
      </c>
      <c r="G521" s="184" t="s">
        <v>184</v>
      </c>
      <c r="H521" s="590">
        <v>194.86904000000001</v>
      </c>
      <c r="I521" s="130">
        <v>1</v>
      </c>
      <c r="J521" s="590">
        <v>194.86904000000001</v>
      </c>
      <c r="K521" s="590">
        <v>194.86904000000001</v>
      </c>
      <c r="L521" s="184">
        <v>1</v>
      </c>
      <c r="M521" s="590">
        <v>194.86904000000001</v>
      </c>
      <c r="N521" s="6" t="s">
        <v>1109</v>
      </c>
      <c r="O521" s="185">
        <v>45383</v>
      </c>
      <c r="P521" s="33" t="str">
        <f>HYPERLINK("https://my.zakupivli.pro/remote/dispatcher/state_purchase_view/50128934", "UA-2024-04-01-003935-a")</f>
        <v>UA-2024-04-01-003935-a</v>
      </c>
      <c r="Q521" s="184">
        <v>194.86904000000001</v>
      </c>
      <c r="R521" s="184">
        <v>1</v>
      </c>
      <c r="S521" s="184">
        <v>194.86904000000001</v>
      </c>
      <c r="T521" s="185">
        <v>45383</v>
      </c>
      <c r="U521" s="130"/>
      <c r="V521" s="184" t="s">
        <v>59</v>
      </c>
    </row>
    <row r="522" spans="1:22" ht="62.4" x14ac:dyDescent="0.3">
      <c r="A522" s="130">
        <v>516</v>
      </c>
      <c r="B522" s="184" t="s">
        <v>40</v>
      </c>
      <c r="C522" s="44" t="s">
        <v>73</v>
      </c>
      <c r="D522" s="130"/>
      <c r="E522" s="184" t="s">
        <v>75</v>
      </c>
      <c r="F522" s="44" t="s">
        <v>1104</v>
      </c>
      <c r="G522" s="184" t="s">
        <v>184</v>
      </c>
      <c r="H522" s="590">
        <v>109.06793999999999</v>
      </c>
      <c r="I522" s="130">
        <v>1</v>
      </c>
      <c r="J522" s="590">
        <v>109.06793999999999</v>
      </c>
      <c r="K522" s="590">
        <v>109.06793999999999</v>
      </c>
      <c r="L522" s="184">
        <v>1</v>
      </c>
      <c r="M522" s="590">
        <v>109.06793999999999</v>
      </c>
      <c r="N522" s="6" t="s">
        <v>1110</v>
      </c>
      <c r="O522" s="185">
        <v>45383</v>
      </c>
      <c r="P522" s="33" t="str">
        <f>HYPERLINK("https://my.zakupivli.pro/remote/dispatcher/state_purchase_view/50128451", "UA-2024-04-01-003767-a")</f>
        <v>UA-2024-04-01-003767-a</v>
      </c>
      <c r="Q522" s="184">
        <v>109.06793999999999</v>
      </c>
      <c r="R522" s="184">
        <v>1</v>
      </c>
      <c r="S522" s="184">
        <v>109.06793999999999</v>
      </c>
      <c r="T522" s="185">
        <v>45383</v>
      </c>
      <c r="U522" s="130"/>
      <c r="V522" s="184" t="s">
        <v>59</v>
      </c>
    </row>
    <row r="523" spans="1:22" ht="62.4" x14ac:dyDescent="0.3">
      <c r="A523" s="130">
        <v>517</v>
      </c>
      <c r="B523" s="184" t="s">
        <v>40</v>
      </c>
      <c r="C523" s="44" t="s">
        <v>73</v>
      </c>
      <c r="D523" s="130"/>
      <c r="E523" s="184" t="s">
        <v>75</v>
      </c>
      <c r="F523" s="44" t="s">
        <v>1105</v>
      </c>
      <c r="G523" s="184" t="s">
        <v>184</v>
      </c>
      <c r="H523" s="590">
        <v>158.59383</v>
      </c>
      <c r="I523" s="130">
        <v>1</v>
      </c>
      <c r="J523" s="590">
        <v>158.59383</v>
      </c>
      <c r="K523" s="590">
        <v>158.59383</v>
      </c>
      <c r="L523" s="184">
        <v>1</v>
      </c>
      <c r="M523" s="590">
        <v>158.59383</v>
      </c>
      <c r="N523" s="6" t="s">
        <v>1111</v>
      </c>
      <c r="O523" s="185">
        <v>45383</v>
      </c>
      <c r="P523" s="33" t="str">
        <f>HYPERLINK("https://my.zakupivli.pro/remote/dispatcher/state_purchase_view/50127903", "UA-2024-04-01-003479-a")</f>
        <v>UA-2024-04-01-003479-a</v>
      </c>
      <c r="Q523" s="184">
        <v>158.59383</v>
      </c>
      <c r="R523" s="184">
        <v>1</v>
      </c>
      <c r="S523" s="184">
        <v>158.59383</v>
      </c>
      <c r="T523" s="185">
        <v>45383</v>
      </c>
      <c r="U523" s="130"/>
      <c r="V523" s="184" t="s">
        <v>59</v>
      </c>
    </row>
    <row r="524" spans="1:22" ht="62.4" x14ac:dyDescent="0.3">
      <c r="A524" s="130">
        <v>518</v>
      </c>
      <c r="B524" s="186" t="s">
        <v>40</v>
      </c>
      <c r="C524" s="44" t="s">
        <v>41</v>
      </c>
      <c r="D524" s="130"/>
      <c r="E524" s="446" t="s">
        <v>20</v>
      </c>
      <c r="F524" s="44" t="s">
        <v>1112</v>
      </c>
      <c r="G524" s="186" t="s">
        <v>184</v>
      </c>
      <c r="H524" s="590">
        <v>149.49813</v>
      </c>
      <c r="I524" s="130">
        <v>1</v>
      </c>
      <c r="J524" s="590">
        <v>149.49813</v>
      </c>
      <c r="K524" s="590">
        <v>149.49813</v>
      </c>
      <c r="L524" s="186">
        <v>1</v>
      </c>
      <c r="M524" s="590">
        <v>149.49813</v>
      </c>
      <c r="N524" s="6" t="s">
        <v>1118</v>
      </c>
      <c r="O524" s="131">
        <v>45385</v>
      </c>
      <c r="P524" s="33" t="str">
        <f>HYPERLINK("https://my.zakupivli.pro/remote/dispatcher/state_purchase_view/50192772", "UA-2024-04-03-008285-a")</f>
        <v>UA-2024-04-03-008285-a</v>
      </c>
      <c r="Q524" s="186">
        <v>149.49813</v>
      </c>
      <c r="R524" s="186">
        <v>1</v>
      </c>
      <c r="S524" s="186">
        <v>149.49813</v>
      </c>
      <c r="T524" s="187">
        <v>45385</v>
      </c>
      <c r="U524" s="130"/>
      <c r="V524" s="186" t="s">
        <v>59</v>
      </c>
    </row>
    <row r="525" spans="1:22" ht="62.4" x14ac:dyDescent="0.3">
      <c r="A525" s="130">
        <v>519</v>
      </c>
      <c r="B525" s="186" t="s">
        <v>40</v>
      </c>
      <c r="C525" s="44" t="s">
        <v>41</v>
      </c>
      <c r="D525" s="130"/>
      <c r="E525" s="446" t="s">
        <v>20</v>
      </c>
      <c r="F525" s="44" t="s">
        <v>1113</v>
      </c>
      <c r="G525" s="186" t="s">
        <v>184</v>
      </c>
      <c r="H525" s="590">
        <v>76818.37</v>
      </c>
      <c r="I525" s="130">
        <v>1</v>
      </c>
      <c r="J525" s="590">
        <v>76818.37</v>
      </c>
      <c r="K525" s="590">
        <v>76818.37</v>
      </c>
      <c r="L525" s="186">
        <v>1</v>
      </c>
      <c r="M525" s="590">
        <v>76818.37</v>
      </c>
      <c r="N525" s="6" t="s">
        <v>1119</v>
      </c>
      <c r="O525" s="187">
        <v>45385</v>
      </c>
      <c r="P525" s="33" t="str">
        <f>HYPERLINK("https://my.zakupivli.pro/remote/dispatcher/state_purchase_view/50192096", "UA-2024-04-03-008011-a")</f>
        <v>UA-2024-04-03-008011-a</v>
      </c>
      <c r="Q525" s="186">
        <v>76818.37</v>
      </c>
      <c r="R525" s="186">
        <v>1</v>
      </c>
      <c r="S525" s="186">
        <v>76818.37</v>
      </c>
      <c r="T525" s="187">
        <v>45385</v>
      </c>
      <c r="U525" s="130"/>
      <c r="V525" s="186" t="s">
        <v>59</v>
      </c>
    </row>
    <row r="526" spans="1:22" ht="62.4" x14ac:dyDescent="0.3">
      <c r="A526" s="130">
        <v>520</v>
      </c>
      <c r="B526" s="186" t="s">
        <v>40</v>
      </c>
      <c r="C526" s="44" t="s">
        <v>41</v>
      </c>
      <c r="D526" s="130"/>
      <c r="E526" s="446" t="s">
        <v>20</v>
      </c>
      <c r="F526" s="44" t="s">
        <v>1114</v>
      </c>
      <c r="G526" s="186" t="s">
        <v>184</v>
      </c>
      <c r="H526" s="590">
        <v>404.08514000000002</v>
      </c>
      <c r="I526" s="130">
        <v>1</v>
      </c>
      <c r="J526" s="590">
        <v>404.08514000000002</v>
      </c>
      <c r="K526" s="590">
        <v>404.08514000000002</v>
      </c>
      <c r="L526" s="186">
        <v>1</v>
      </c>
      <c r="M526" s="590">
        <v>404.08514000000002</v>
      </c>
      <c r="N526" s="6" t="s">
        <v>1120</v>
      </c>
      <c r="O526" s="187">
        <v>45385</v>
      </c>
      <c r="P526" s="33" t="str">
        <f>HYPERLINK("https://my.zakupivli.pro/remote/dispatcher/state_purchase_view/50191401", "UA-2024-04-03-007759-a")</f>
        <v>UA-2024-04-03-007759-a</v>
      </c>
      <c r="Q526" s="186">
        <v>404.08514000000002</v>
      </c>
      <c r="R526" s="186">
        <v>1</v>
      </c>
      <c r="S526" s="186">
        <v>404.08514000000002</v>
      </c>
      <c r="T526" s="187">
        <v>45385</v>
      </c>
      <c r="U526" s="130"/>
      <c r="V526" s="186" t="s">
        <v>59</v>
      </c>
    </row>
    <row r="527" spans="1:22" ht="62.4" x14ac:dyDescent="0.3">
      <c r="A527" s="130">
        <v>521</v>
      </c>
      <c r="B527" s="186" t="s">
        <v>40</v>
      </c>
      <c r="C527" s="44" t="s">
        <v>41</v>
      </c>
      <c r="D527" s="130"/>
      <c r="E527" s="446" t="s">
        <v>20</v>
      </c>
      <c r="F527" s="44" t="s">
        <v>1115</v>
      </c>
      <c r="G527" s="186" t="s">
        <v>184</v>
      </c>
      <c r="H527" s="590">
        <v>302.83715000000001</v>
      </c>
      <c r="I527" s="130">
        <v>1</v>
      </c>
      <c r="J527" s="590">
        <v>302.83715000000001</v>
      </c>
      <c r="K527" s="590">
        <v>302.83715000000001</v>
      </c>
      <c r="L527" s="186">
        <v>1</v>
      </c>
      <c r="M527" s="590">
        <v>302.83715000000001</v>
      </c>
      <c r="N527" s="6" t="s">
        <v>1121</v>
      </c>
      <c r="O527" s="187">
        <v>45385</v>
      </c>
      <c r="P527" s="33" t="str">
        <f>HYPERLINK("https://my.zakupivli.pro/remote/dispatcher/state_purchase_view/50191086", "UA-2024-04-03-007567-a")</f>
        <v>UA-2024-04-03-007567-a</v>
      </c>
      <c r="Q527" s="186">
        <v>302.83715000000001</v>
      </c>
      <c r="R527" s="186">
        <v>1</v>
      </c>
      <c r="S527" s="186">
        <v>302.83715000000001</v>
      </c>
      <c r="T527" s="187">
        <v>45385</v>
      </c>
      <c r="U527" s="130"/>
      <c r="V527" s="186" t="s">
        <v>59</v>
      </c>
    </row>
    <row r="528" spans="1:22" ht="62.4" x14ac:dyDescent="0.3">
      <c r="A528" s="130">
        <v>522</v>
      </c>
      <c r="B528" s="186" t="s">
        <v>21</v>
      </c>
      <c r="C528" s="44" t="s">
        <v>1117</v>
      </c>
      <c r="D528" s="130"/>
      <c r="E528" s="186" t="s">
        <v>75</v>
      </c>
      <c r="F528" s="44" t="s">
        <v>1116</v>
      </c>
      <c r="G528" s="186" t="s">
        <v>186</v>
      </c>
      <c r="H528" s="590"/>
      <c r="I528" s="130">
        <v>4</v>
      </c>
      <c r="J528" s="590">
        <v>337.51</v>
      </c>
      <c r="K528" s="590"/>
      <c r="L528" s="186">
        <v>4</v>
      </c>
      <c r="M528" s="590">
        <v>337.51</v>
      </c>
      <c r="N528" s="6" t="s">
        <v>1122</v>
      </c>
      <c r="O528" s="187">
        <v>45385</v>
      </c>
      <c r="P528" s="33" t="str">
        <f>HYPERLINK("https://my.zakupivli.pro/remote/dispatcher/state_purchase_view/50182890", "UA-2024-04-03-003922-a")</f>
        <v>UA-2024-04-03-003922-a</v>
      </c>
      <c r="Q528" s="130"/>
      <c r="R528" s="130">
        <v>4</v>
      </c>
      <c r="S528" s="130">
        <v>336.94499999999999</v>
      </c>
      <c r="T528" s="131">
        <v>45404</v>
      </c>
      <c r="U528" s="130"/>
      <c r="V528" s="130"/>
    </row>
    <row r="529" spans="1:22" ht="62.4" x14ac:dyDescent="0.3">
      <c r="A529" s="130">
        <v>523</v>
      </c>
      <c r="B529" s="186" t="s">
        <v>21</v>
      </c>
      <c r="C529" s="44" t="s">
        <v>30</v>
      </c>
      <c r="D529" s="130"/>
      <c r="E529" s="186" t="s">
        <v>75</v>
      </c>
      <c r="F529" s="44" t="s">
        <v>908</v>
      </c>
      <c r="G529" s="130" t="s">
        <v>185</v>
      </c>
      <c r="H529" s="590">
        <v>5.218</v>
      </c>
      <c r="I529" s="130">
        <v>8</v>
      </c>
      <c r="J529" s="590">
        <v>41.744</v>
      </c>
      <c r="K529" s="590">
        <v>5.218</v>
      </c>
      <c r="L529" s="186">
        <v>8</v>
      </c>
      <c r="M529" s="590">
        <v>41.744</v>
      </c>
      <c r="N529" s="6" t="s">
        <v>1125</v>
      </c>
      <c r="O529" s="187">
        <v>45385</v>
      </c>
      <c r="P529" s="33" t="str">
        <f>HYPERLINK("https://my.zakupivli.pro/remote/dispatcher/state_purchase_view/50200329", "UA-2024-04-03-011648-a")</f>
        <v>UA-2024-04-03-011648-a</v>
      </c>
      <c r="Q529" s="186">
        <v>5.218</v>
      </c>
      <c r="R529" s="186">
        <v>8</v>
      </c>
      <c r="S529" s="186">
        <v>41.744</v>
      </c>
      <c r="T529" s="187">
        <v>45385</v>
      </c>
      <c r="U529" s="130"/>
      <c r="V529" s="186" t="s">
        <v>59</v>
      </c>
    </row>
    <row r="530" spans="1:22" ht="62.4" x14ac:dyDescent="0.3">
      <c r="A530" s="130">
        <v>524</v>
      </c>
      <c r="B530" s="186" t="s">
        <v>40</v>
      </c>
      <c r="C530" s="44" t="s">
        <v>41</v>
      </c>
      <c r="D530" s="130"/>
      <c r="E530" s="446" t="s">
        <v>20</v>
      </c>
      <c r="F530" s="44" t="s">
        <v>1124</v>
      </c>
      <c r="G530" s="186" t="s">
        <v>184</v>
      </c>
      <c r="H530" s="590">
        <v>56.332160000000002</v>
      </c>
      <c r="I530" s="130">
        <v>1</v>
      </c>
      <c r="J530" s="590">
        <v>56.332160000000002</v>
      </c>
      <c r="K530" s="590">
        <v>56.332160000000002</v>
      </c>
      <c r="L530" s="186">
        <v>1</v>
      </c>
      <c r="M530" s="590">
        <v>56.332160000000002</v>
      </c>
      <c r="N530" s="6" t="s">
        <v>1126</v>
      </c>
      <c r="O530" s="187">
        <v>45385</v>
      </c>
      <c r="P530" s="33" t="str">
        <f>HYPERLINK("https://my.zakupivli.pro/remote/dispatcher/state_purchase_view/50200087", "UA-2024-04-03-011525-a")</f>
        <v>UA-2024-04-03-011525-a</v>
      </c>
      <c r="Q530" s="186">
        <v>56.332160000000002</v>
      </c>
      <c r="R530" s="186">
        <v>1</v>
      </c>
      <c r="S530" s="186">
        <v>56.332160000000002</v>
      </c>
      <c r="T530" s="187">
        <v>45385</v>
      </c>
      <c r="U530" s="130"/>
      <c r="V530" s="186" t="s">
        <v>59</v>
      </c>
    </row>
    <row r="531" spans="1:22" ht="62.4" x14ac:dyDescent="0.3">
      <c r="A531" s="130">
        <v>525</v>
      </c>
      <c r="B531" s="186" t="s">
        <v>40</v>
      </c>
      <c r="C531" s="44" t="s">
        <v>41</v>
      </c>
      <c r="D531" s="130"/>
      <c r="E531" s="446" t="s">
        <v>20</v>
      </c>
      <c r="F531" s="44" t="s">
        <v>1123</v>
      </c>
      <c r="G531" s="186" t="s">
        <v>184</v>
      </c>
      <c r="H531" s="590">
        <v>282.14161999999999</v>
      </c>
      <c r="I531" s="130">
        <v>1</v>
      </c>
      <c r="J531" s="590">
        <v>282.14161999999999</v>
      </c>
      <c r="K531" s="590">
        <v>282.14161999999999</v>
      </c>
      <c r="L531" s="186">
        <v>1</v>
      </c>
      <c r="M531" s="590">
        <v>282.14161999999999</v>
      </c>
      <c r="N531" s="6" t="s">
        <v>1127</v>
      </c>
      <c r="O531" s="187">
        <v>45385</v>
      </c>
      <c r="P531" s="33" t="str">
        <f>HYPERLINK("https://my.zakupivli.pro/remote/dispatcher/state_purchase_view/50199730", "UA-2024-04-03-011369-a")</f>
        <v>UA-2024-04-03-011369-a</v>
      </c>
      <c r="Q531" s="186">
        <v>282.14161999999999</v>
      </c>
      <c r="R531" s="186">
        <v>1</v>
      </c>
      <c r="S531" s="186">
        <v>282.14161999999999</v>
      </c>
      <c r="T531" s="187">
        <v>45385</v>
      </c>
      <c r="U531" s="130"/>
      <c r="V531" s="186" t="s">
        <v>59</v>
      </c>
    </row>
    <row r="532" spans="1:22" ht="62.4" x14ac:dyDescent="0.3">
      <c r="A532" s="130">
        <v>526</v>
      </c>
      <c r="B532" s="186" t="s">
        <v>21</v>
      </c>
      <c r="C532" s="44" t="s">
        <v>516</v>
      </c>
      <c r="D532" s="130"/>
      <c r="E532" s="186" t="s">
        <v>75</v>
      </c>
      <c r="F532" s="44" t="s">
        <v>1128</v>
      </c>
      <c r="G532" s="130" t="s">
        <v>185</v>
      </c>
      <c r="H532" s="590">
        <v>5.79</v>
      </c>
      <c r="I532" s="130">
        <v>13</v>
      </c>
      <c r="J532" s="590">
        <v>75.27</v>
      </c>
      <c r="K532" s="590">
        <v>5.79</v>
      </c>
      <c r="L532" s="186">
        <v>13</v>
      </c>
      <c r="M532" s="590">
        <v>75.27</v>
      </c>
      <c r="N532" s="6" t="s">
        <v>1129</v>
      </c>
      <c r="O532" s="187">
        <v>45385</v>
      </c>
      <c r="P532" s="33" t="str">
        <f>HYPERLINK("https://my.zakupivli.pro/remote/dispatcher/state_purchase_view/50200587", "UA-2024-04-03-011788-a")</f>
        <v>UA-2024-04-03-011788-a</v>
      </c>
      <c r="Q532" s="117">
        <v>5.79</v>
      </c>
      <c r="R532" s="186">
        <v>13</v>
      </c>
      <c r="S532" s="117">
        <v>75.27</v>
      </c>
      <c r="T532" s="187">
        <v>45385</v>
      </c>
      <c r="U532" s="130"/>
      <c r="V532" s="186" t="s">
        <v>59</v>
      </c>
    </row>
    <row r="533" spans="1:22" ht="124.8" x14ac:dyDescent="0.3">
      <c r="A533" s="130">
        <v>527</v>
      </c>
      <c r="B533" s="190" t="s">
        <v>21</v>
      </c>
      <c r="C533" s="44" t="s">
        <v>175</v>
      </c>
      <c r="D533" s="130"/>
      <c r="E533" s="190" t="s">
        <v>75</v>
      </c>
      <c r="F533" s="44" t="s">
        <v>1130</v>
      </c>
      <c r="G533" s="130" t="s">
        <v>186</v>
      </c>
      <c r="H533" s="590"/>
      <c r="I533" s="130">
        <v>10</v>
      </c>
      <c r="J533" s="590">
        <v>208.57570000000001</v>
      </c>
      <c r="K533" s="590"/>
      <c r="L533" s="190">
        <v>10</v>
      </c>
      <c r="M533" s="590">
        <v>208.57570000000001</v>
      </c>
      <c r="N533" s="6" t="s">
        <v>1131</v>
      </c>
      <c r="O533" s="131">
        <v>45386</v>
      </c>
      <c r="P533" s="120" t="str">
        <f>HYPERLINK("https://my.zakupivli.pro/remote/dispatcher/state_purchase_view/50221480", "UA-2024-04-04-007798-a")</f>
        <v>UA-2024-04-04-007798-a</v>
      </c>
      <c r="Q533" s="130"/>
      <c r="R533" s="190">
        <v>10</v>
      </c>
      <c r="S533" s="190">
        <v>208.57570000000001</v>
      </c>
      <c r="T533" s="191">
        <v>45386</v>
      </c>
      <c r="U533" s="130"/>
      <c r="V533" s="190" t="s">
        <v>59</v>
      </c>
    </row>
    <row r="534" spans="1:22" ht="46.8" x14ac:dyDescent="0.3">
      <c r="A534" s="130">
        <v>528</v>
      </c>
      <c r="B534" s="192" t="s">
        <v>21</v>
      </c>
      <c r="C534" s="44" t="s">
        <v>1133</v>
      </c>
      <c r="D534" s="130"/>
      <c r="E534" s="192" t="s">
        <v>75</v>
      </c>
      <c r="F534" s="44" t="s">
        <v>1132</v>
      </c>
      <c r="G534" s="130" t="s">
        <v>185</v>
      </c>
      <c r="H534" s="590"/>
      <c r="I534" s="130">
        <v>53</v>
      </c>
      <c r="J534" s="590">
        <v>157.46275</v>
      </c>
      <c r="K534" s="590"/>
      <c r="L534" s="192">
        <v>53</v>
      </c>
      <c r="M534" s="590">
        <v>157.46275</v>
      </c>
      <c r="N534" s="6" t="s">
        <v>1134</v>
      </c>
      <c r="O534" s="131">
        <v>45386</v>
      </c>
      <c r="P534" s="42" t="str">
        <f>HYPERLINK("https://my.zakupivli.pro/remote/dispatcher/state_purchase_view/50227478", "UA-2024-04-04-010434-a")</f>
        <v>UA-2024-04-04-010434-a</v>
      </c>
      <c r="Q534" s="130"/>
      <c r="R534" s="130">
        <v>53</v>
      </c>
      <c r="S534" s="130">
        <v>136.929</v>
      </c>
      <c r="T534" s="131">
        <v>45406</v>
      </c>
      <c r="U534" s="130"/>
      <c r="V534" s="130"/>
    </row>
    <row r="535" spans="1:22" ht="62.4" x14ac:dyDescent="0.3">
      <c r="A535" s="130">
        <v>529</v>
      </c>
      <c r="B535" s="193" t="s">
        <v>21</v>
      </c>
      <c r="C535" s="44" t="s">
        <v>1136</v>
      </c>
      <c r="D535" s="130"/>
      <c r="E535" s="193" t="s">
        <v>75</v>
      </c>
      <c r="F535" s="44" t="s">
        <v>1135</v>
      </c>
      <c r="G535" s="130" t="s">
        <v>186</v>
      </c>
      <c r="H535" s="590"/>
      <c r="I535" s="130">
        <v>2</v>
      </c>
      <c r="J535" s="590">
        <v>83.304000000000002</v>
      </c>
      <c r="K535" s="590"/>
      <c r="L535" s="193">
        <v>2</v>
      </c>
      <c r="M535" s="590">
        <v>83.304000000000002</v>
      </c>
      <c r="N535" s="6" t="s">
        <v>1137</v>
      </c>
      <c r="O535" s="131">
        <v>45390</v>
      </c>
      <c r="P535" s="120" t="str">
        <f>HYPERLINK("https://my.zakupivli.pro/remote/dispatcher/state_purchase_view/50272627", "UA-2024-04-08-004905-a")</f>
        <v>UA-2024-04-08-004905-a</v>
      </c>
      <c r="Q535" s="130"/>
      <c r="R535" s="193">
        <v>2</v>
      </c>
      <c r="S535" s="193">
        <v>83.304000000000002</v>
      </c>
      <c r="T535" s="194">
        <v>45390</v>
      </c>
      <c r="U535" s="130"/>
      <c r="V535" s="193" t="s">
        <v>59</v>
      </c>
    </row>
    <row r="536" spans="1:22" ht="62.4" x14ac:dyDescent="0.3">
      <c r="A536" s="130">
        <v>530</v>
      </c>
      <c r="B536" s="195" t="s">
        <v>40</v>
      </c>
      <c r="C536" s="44" t="s">
        <v>541</v>
      </c>
      <c r="D536" s="130"/>
      <c r="E536" s="195" t="s">
        <v>75</v>
      </c>
      <c r="F536" s="44" t="s">
        <v>1138</v>
      </c>
      <c r="G536" s="130" t="s">
        <v>184</v>
      </c>
      <c r="H536" s="590">
        <v>161.09611000000001</v>
      </c>
      <c r="I536" s="130">
        <v>1</v>
      </c>
      <c r="J536" s="590">
        <v>161.09611000000001</v>
      </c>
      <c r="K536" s="590">
        <v>161.09611000000001</v>
      </c>
      <c r="L536" s="195">
        <v>1</v>
      </c>
      <c r="M536" s="590">
        <v>161.09611000000001</v>
      </c>
      <c r="N536" s="6" t="s">
        <v>1144</v>
      </c>
      <c r="O536" s="131">
        <v>45391</v>
      </c>
      <c r="P536" s="120" t="str">
        <f>HYPERLINK("https://my.zakupivli.pro/remote/dispatcher/state_purchase_view/50294092", "UA-2024-04-09-001535-a")</f>
        <v>UA-2024-04-09-001535-a</v>
      </c>
      <c r="Q536" s="195">
        <v>161.09611000000001</v>
      </c>
      <c r="R536" s="195">
        <v>1</v>
      </c>
      <c r="S536" s="195">
        <v>161.09611000000001</v>
      </c>
      <c r="T536" s="196">
        <v>45390</v>
      </c>
      <c r="U536" s="130"/>
      <c r="V536" s="195" t="s">
        <v>59</v>
      </c>
    </row>
    <row r="537" spans="1:22" ht="62.4" x14ac:dyDescent="0.3">
      <c r="A537" s="130">
        <v>531</v>
      </c>
      <c r="B537" s="195" t="s">
        <v>40</v>
      </c>
      <c r="C537" s="44" t="s">
        <v>541</v>
      </c>
      <c r="D537" s="130"/>
      <c r="E537" s="195" t="s">
        <v>75</v>
      </c>
      <c r="F537" s="44" t="s">
        <v>1139</v>
      </c>
      <c r="G537" s="130" t="s">
        <v>184</v>
      </c>
      <c r="H537" s="590">
        <v>172.53681</v>
      </c>
      <c r="I537" s="130">
        <v>1</v>
      </c>
      <c r="J537" s="590">
        <v>172.53681</v>
      </c>
      <c r="K537" s="590">
        <v>172.53681</v>
      </c>
      <c r="L537" s="195">
        <v>1</v>
      </c>
      <c r="M537" s="590">
        <v>172.53681</v>
      </c>
      <c r="N537" s="6" t="s">
        <v>1145</v>
      </c>
      <c r="O537" s="196">
        <v>45391</v>
      </c>
      <c r="P537" s="120" t="str">
        <f>HYPERLINK("https://my.zakupivli.pro/remote/dispatcher/state_purchase_view/50293396", "UA-2024-04-09-001245-a")</f>
        <v>UA-2024-04-09-001245-a</v>
      </c>
      <c r="Q537" s="195">
        <v>172.53681</v>
      </c>
      <c r="R537" s="195">
        <v>1</v>
      </c>
      <c r="S537" s="195">
        <v>172.53681</v>
      </c>
      <c r="T537" s="196">
        <v>45390</v>
      </c>
      <c r="U537" s="130"/>
      <c r="V537" s="195" t="s">
        <v>59</v>
      </c>
    </row>
    <row r="538" spans="1:22" ht="62.4" x14ac:dyDescent="0.3">
      <c r="A538" s="130">
        <v>532</v>
      </c>
      <c r="B538" s="195" t="s">
        <v>21</v>
      </c>
      <c r="C538" s="44" t="s">
        <v>1142</v>
      </c>
      <c r="D538" s="130"/>
      <c r="E538" s="195" t="s">
        <v>75</v>
      </c>
      <c r="F538" s="44" t="s">
        <v>1140</v>
      </c>
      <c r="G538" s="130" t="s">
        <v>186</v>
      </c>
      <c r="H538" s="590"/>
      <c r="I538" s="130">
        <v>3</v>
      </c>
      <c r="J538" s="590">
        <v>71.331670000000003</v>
      </c>
      <c r="K538" s="590"/>
      <c r="L538" s="195">
        <v>3</v>
      </c>
      <c r="M538" s="590">
        <v>71.331670000000003</v>
      </c>
      <c r="N538" s="6" t="s">
        <v>1146</v>
      </c>
      <c r="O538" s="196">
        <v>45391</v>
      </c>
      <c r="P538" s="120" t="str">
        <f>HYPERLINK("https://my.zakupivli.pro/remote/dispatcher/state_purchase_view/50291280", "UA-2024-04-09-000302-a")</f>
        <v>UA-2024-04-09-000302-a</v>
      </c>
      <c r="Q538" s="130"/>
      <c r="R538" s="195">
        <v>3</v>
      </c>
      <c r="S538" s="195">
        <v>71.331670000000003</v>
      </c>
      <c r="T538" s="196">
        <v>45390</v>
      </c>
      <c r="U538" s="130"/>
      <c r="V538" s="195" t="s">
        <v>59</v>
      </c>
    </row>
    <row r="539" spans="1:22" ht="62.4" x14ac:dyDescent="0.3">
      <c r="A539" s="130">
        <v>533</v>
      </c>
      <c r="B539" s="195" t="s">
        <v>21</v>
      </c>
      <c r="C539" s="44" t="s">
        <v>1143</v>
      </c>
      <c r="D539" s="130"/>
      <c r="E539" s="195" t="s">
        <v>75</v>
      </c>
      <c r="F539" s="44" t="s">
        <v>1141</v>
      </c>
      <c r="G539" s="130" t="s">
        <v>186</v>
      </c>
      <c r="H539" s="590"/>
      <c r="I539" s="130">
        <v>2</v>
      </c>
      <c r="J539" s="590">
        <v>69.768339999999995</v>
      </c>
      <c r="K539" s="590"/>
      <c r="L539" s="195">
        <v>2</v>
      </c>
      <c r="M539" s="590">
        <v>69.768339999999995</v>
      </c>
      <c r="N539" s="6" t="s">
        <v>1147</v>
      </c>
      <c r="O539" s="196">
        <v>45391</v>
      </c>
      <c r="P539" s="120" t="str">
        <f>HYPERLINK("https://my.zakupivli.pro/remote/dispatcher/state_purchase_view/50290774", "UA-2024-04-09-000106-a")</f>
        <v>UA-2024-04-09-000106-a</v>
      </c>
      <c r="Q539" s="130"/>
      <c r="R539" s="195">
        <v>2</v>
      </c>
      <c r="S539" s="195">
        <v>69.768339999999995</v>
      </c>
      <c r="T539" s="196">
        <v>45390</v>
      </c>
      <c r="U539" s="130"/>
      <c r="V539" s="195" t="s">
        <v>59</v>
      </c>
    </row>
    <row r="540" spans="1:22" ht="78" x14ac:dyDescent="0.3">
      <c r="A540" s="130">
        <v>534</v>
      </c>
      <c r="B540" s="130" t="s">
        <v>1150</v>
      </c>
      <c r="C540" s="44" t="s">
        <v>1152</v>
      </c>
      <c r="D540" s="130"/>
      <c r="E540" s="195" t="s">
        <v>75</v>
      </c>
      <c r="F540" s="44" t="s">
        <v>1148</v>
      </c>
      <c r="G540" s="130" t="s">
        <v>1149</v>
      </c>
      <c r="H540" s="590">
        <v>45.5</v>
      </c>
      <c r="I540" s="130">
        <v>1</v>
      </c>
      <c r="J540" s="590">
        <v>45.5</v>
      </c>
      <c r="K540" s="590">
        <v>45.5</v>
      </c>
      <c r="L540" s="195">
        <v>1</v>
      </c>
      <c r="M540" s="590">
        <v>45.5</v>
      </c>
      <c r="N540" s="6" t="s">
        <v>1151</v>
      </c>
      <c r="O540" s="131">
        <v>45391</v>
      </c>
      <c r="P540" s="33" t="str">
        <f>HYPERLINK("https://my.zakupivli.pro/remote/dispatcher/state_purchase_view/50317147", "UA-2024-04-09-011832-a")</f>
        <v>UA-2024-04-09-011832-a</v>
      </c>
      <c r="Q540" s="117">
        <v>45.5</v>
      </c>
      <c r="R540" s="195">
        <v>1</v>
      </c>
      <c r="S540" s="117">
        <v>45.5</v>
      </c>
      <c r="T540" s="196">
        <v>45391</v>
      </c>
      <c r="U540" s="130"/>
      <c r="V540" s="195" t="s">
        <v>59</v>
      </c>
    </row>
    <row r="541" spans="1:22" ht="46.8" x14ac:dyDescent="0.3">
      <c r="A541" s="130">
        <v>535</v>
      </c>
      <c r="B541" s="197" t="s">
        <v>21</v>
      </c>
      <c r="C541" s="44" t="s">
        <v>32</v>
      </c>
      <c r="D541" s="130"/>
      <c r="E541" s="446" t="s">
        <v>20</v>
      </c>
      <c r="F541" s="44" t="s">
        <v>1153</v>
      </c>
      <c r="G541" s="130" t="s">
        <v>186</v>
      </c>
      <c r="H541" s="590"/>
      <c r="I541" s="130">
        <v>16</v>
      </c>
      <c r="J541" s="590">
        <v>11816.075000000001</v>
      </c>
      <c r="K541" s="590"/>
      <c r="L541" s="197">
        <v>16</v>
      </c>
      <c r="M541" s="590">
        <v>11816.075000000001</v>
      </c>
      <c r="N541" s="6" t="s">
        <v>1156</v>
      </c>
      <c r="O541" s="131">
        <v>45392</v>
      </c>
      <c r="P541" s="33" t="str">
        <f>HYPERLINK("https://my.zakupivli.pro/remote/dispatcher/state_purchase_view/50343438", "UA-2024-04-10-010420-a")</f>
        <v>UA-2024-04-10-010420-a</v>
      </c>
      <c r="Q541" s="130"/>
      <c r="R541" s="130">
        <v>16</v>
      </c>
      <c r="S541" s="130">
        <v>11797.116</v>
      </c>
      <c r="T541" s="131"/>
      <c r="U541" s="130"/>
      <c r="V541" s="130"/>
    </row>
    <row r="542" spans="1:22" ht="62.4" x14ac:dyDescent="0.3">
      <c r="A542" s="130">
        <v>536</v>
      </c>
      <c r="B542" s="197" t="s">
        <v>21</v>
      </c>
      <c r="C542" s="44" t="s">
        <v>1155</v>
      </c>
      <c r="D542" s="130"/>
      <c r="E542" s="197" t="s">
        <v>75</v>
      </c>
      <c r="F542" s="44" t="s">
        <v>1154</v>
      </c>
      <c r="G542" s="130" t="s">
        <v>1158</v>
      </c>
      <c r="H542" s="590"/>
      <c r="I542" s="130">
        <v>750</v>
      </c>
      <c r="J542" s="590">
        <v>78.674999999999997</v>
      </c>
      <c r="K542" s="590"/>
      <c r="L542" s="197">
        <v>750</v>
      </c>
      <c r="M542" s="590">
        <v>78.674999999999997</v>
      </c>
      <c r="N542" s="6" t="s">
        <v>1157</v>
      </c>
      <c r="O542" s="198">
        <v>45392</v>
      </c>
      <c r="P542" s="33" t="str">
        <f>HYPERLINK("https://my.zakupivli.pro/remote/dispatcher/state_purchase_view/50326211", "UA-2024-04-10-002649-a")</f>
        <v>UA-2024-04-10-002649-a</v>
      </c>
      <c r="Q542" s="130"/>
      <c r="R542" s="197">
        <v>750</v>
      </c>
      <c r="S542" s="197">
        <v>78.674999999999997</v>
      </c>
      <c r="T542" s="198">
        <v>45392</v>
      </c>
      <c r="U542" s="130"/>
      <c r="V542" s="197" t="s">
        <v>59</v>
      </c>
    </row>
    <row r="543" spans="1:22" ht="62.4" x14ac:dyDescent="0.3">
      <c r="A543" s="130">
        <v>537</v>
      </c>
      <c r="B543" s="200" t="s">
        <v>40</v>
      </c>
      <c r="C543" s="44" t="s">
        <v>73</v>
      </c>
      <c r="D543" s="130"/>
      <c r="E543" s="200" t="s">
        <v>75</v>
      </c>
      <c r="F543" s="44" t="s">
        <v>1159</v>
      </c>
      <c r="G543" s="130" t="s">
        <v>184</v>
      </c>
      <c r="H543" s="590">
        <v>159.22534999999999</v>
      </c>
      <c r="I543" s="130">
        <v>1</v>
      </c>
      <c r="J543" s="590">
        <v>159.22534999999999</v>
      </c>
      <c r="K543" s="590">
        <v>159.22534999999999</v>
      </c>
      <c r="L543" s="200">
        <v>1</v>
      </c>
      <c r="M543" s="590">
        <v>159.22534999999999</v>
      </c>
      <c r="N543" s="6" t="s">
        <v>1160</v>
      </c>
      <c r="O543" s="131">
        <v>45393</v>
      </c>
      <c r="P543" s="33" t="str">
        <f>HYPERLINK("https://my.zakupivli.pro/remote/dispatcher/state_purchase_view/50369574", "UA-2024-04-11-009544-a")</f>
        <v>UA-2024-04-11-009544-a</v>
      </c>
      <c r="Q543" s="200">
        <v>159.22534999999999</v>
      </c>
      <c r="R543" s="200">
        <v>1</v>
      </c>
      <c r="S543" s="200">
        <v>159.22534999999999</v>
      </c>
      <c r="T543" s="199">
        <v>45393</v>
      </c>
      <c r="U543" s="130"/>
      <c r="V543" s="200" t="s">
        <v>59</v>
      </c>
    </row>
    <row r="544" spans="1:22" ht="62.4" x14ac:dyDescent="0.3">
      <c r="A544" s="130">
        <v>538</v>
      </c>
      <c r="B544" s="201" t="s">
        <v>21</v>
      </c>
      <c r="C544" s="41" t="s">
        <v>1069</v>
      </c>
      <c r="D544" s="130"/>
      <c r="E544" s="201" t="s">
        <v>75</v>
      </c>
      <c r="F544" s="44" t="s">
        <v>1067</v>
      </c>
      <c r="G544" s="203" t="s">
        <v>186</v>
      </c>
      <c r="H544" s="590"/>
      <c r="I544" s="130">
        <v>11</v>
      </c>
      <c r="J544" s="590">
        <v>83.200999999999993</v>
      </c>
      <c r="K544" s="590"/>
      <c r="L544" s="201">
        <v>11</v>
      </c>
      <c r="M544" s="590">
        <v>83.200999999999993</v>
      </c>
      <c r="N544" s="6" t="s">
        <v>1161</v>
      </c>
      <c r="O544" s="131"/>
      <c r="P544" s="33" t="str">
        <f>HYPERLINK("https://my.zakupivli.pro/remote/dispatcher/state_purchase_view/50398330", "UA-2024-04-12-009467-a")</f>
        <v>UA-2024-04-12-009467-a</v>
      </c>
      <c r="Q544" s="130"/>
      <c r="R544" s="201">
        <v>11</v>
      </c>
      <c r="S544" s="201">
        <v>83.200999999999993</v>
      </c>
      <c r="T544" s="131">
        <v>45394</v>
      </c>
      <c r="U544" s="130"/>
      <c r="V544" s="201" t="s">
        <v>59</v>
      </c>
    </row>
    <row r="545" spans="1:22" ht="62.4" x14ac:dyDescent="0.3">
      <c r="A545" s="130">
        <v>539</v>
      </c>
      <c r="B545" s="202" t="s">
        <v>21</v>
      </c>
      <c r="C545" s="44" t="s">
        <v>1163</v>
      </c>
      <c r="D545" s="130"/>
      <c r="E545" s="202" t="s">
        <v>75</v>
      </c>
      <c r="F545" s="206" t="s">
        <v>1162</v>
      </c>
      <c r="G545" s="130" t="s">
        <v>185</v>
      </c>
      <c r="H545" s="590"/>
      <c r="I545" s="130">
        <v>359</v>
      </c>
      <c r="J545" s="590">
        <v>42.864600000000003</v>
      </c>
      <c r="K545" s="590"/>
      <c r="L545" s="202">
        <v>359</v>
      </c>
      <c r="M545" s="590">
        <v>42.864600000000003</v>
      </c>
      <c r="N545" s="6" t="s">
        <v>1164</v>
      </c>
      <c r="O545" s="131">
        <v>45398</v>
      </c>
      <c r="P545" s="33" t="str">
        <f>HYPERLINK("https://my.zakupivli.pro/remote/dispatcher/state_purchase_view/50434062", "UA-2024-04-16-000092-a")</f>
        <v>UA-2024-04-16-000092-a</v>
      </c>
      <c r="Q545" s="130"/>
      <c r="R545" s="202">
        <v>359</v>
      </c>
      <c r="S545" s="202">
        <v>42.864600000000003</v>
      </c>
      <c r="T545" s="131">
        <v>45397</v>
      </c>
      <c r="U545" s="130"/>
      <c r="V545" s="202" t="s">
        <v>59</v>
      </c>
    </row>
    <row r="546" spans="1:22" ht="46.8" x14ac:dyDescent="0.3">
      <c r="A546" s="130">
        <v>540</v>
      </c>
      <c r="B546" s="204" t="s">
        <v>21</v>
      </c>
      <c r="C546" s="44" t="s">
        <v>1168</v>
      </c>
      <c r="D546" s="204" t="s">
        <v>58</v>
      </c>
      <c r="E546" s="204" t="s">
        <v>75</v>
      </c>
      <c r="F546" s="44" t="s">
        <v>1165</v>
      </c>
      <c r="G546" s="105" t="s">
        <v>186</v>
      </c>
      <c r="H546" s="590"/>
      <c r="I546" s="130">
        <v>4</v>
      </c>
      <c r="J546" s="590">
        <v>1298</v>
      </c>
      <c r="K546" s="590"/>
      <c r="L546" s="204">
        <v>4</v>
      </c>
      <c r="M546" s="590">
        <v>1298</v>
      </c>
      <c r="N546" s="6" t="s">
        <v>1169</v>
      </c>
      <c r="O546" s="131">
        <v>45400</v>
      </c>
      <c r="P546" s="33" t="str">
        <f>HYPERLINK("https://my.zakupivli.pro/remote/dispatcher/state_purchase_view/50523737", "UA-2024-04-18-012162-a")</f>
        <v>UA-2024-04-18-012162-a</v>
      </c>
      <c r="Q546" s="130"/>
      <c r="R546" s="130">
        <v>4</v>
      </c>
      <c r="S546" s="117">
        <v>1297</v>
      </c>
      <c r="T546" s="131">
        <v>45414</v>
      </c>
      <c r="U546" s="130"/>
      <c r="V546" s="130"/>
    </row>
    <row r="547" spans="1:22" ht="62.4" x14ac:dyDescent="0.3">
      <c r="A547" s="130">
        <v>541</v>
      </c>
      <c r="B547" s="204" t="s">
        <v>40</v>
      </c>
      <c r="C547" s="44" t="s">
        <v>884</v>
      </c>
      <c r="D547" s="130"/>
      <c r="E547" s="204" t="s">
        <v>20</v>
      </c>
      <c r="F547" s="44" t="s">
        <v>1166</v>
      </c>
      <c r="G547" s="105" t="s">
        <v>184</v>
      </c>
      <c r="H547" s="590">
        <v>254.27267000000001</v>
      </c>
      <c r="I547" s="130">
        <v>1</v>
      </c>
      <c r="J547" s="590">
        <v>254.27267000000001</v>
      </c>
      <c r="K547" s="590">
        <v>254.27267000000001</v>
      </c>
      <c r="L547" s="204">
        <v>1</v>
      </c>
      <c r="M547" s="590">
        <v>254.27267000000001</v>
      </c>
      <c r="N547" s="6" t="s">
        <v>1170</v>
      </c>
      <c r="O547" s="205">
        <v>45400</v>
      </c>
      <c r="P547" s="33" t="str">
        <f>HYPERLINK("https://my.zakupivli.pro/remote/dispatcher/state_purchase_view/50523214", "UA-2024-04-18-011880-a")</f>
        <v>UA-2024-04-18-011880-a</v>
      </c>
      <c r="Q547" s="204">
        <v>254.27267000000001</v>
      </c>
      <c r="R547" s="204">
        <v>1</v>
      </c>
      <c r="S547" s="204">
        <v>254.27267000000001</v>
      </c>
      <c r="T547" s="205">
        <v>45400</v>
      </c>
      <c r="U547" s="130"/>
      <c r="V547" s="204" t="s">
        <v>59</v>
      </c>
    </row>
    <row r="548" spans="1:22" ht="62.4" x14ac:dyDescent="0.3">
      <c r="A548" s="130">
        <v>542</v>
      </c>
      <c r="B548" s="204" t="s">
        <v>40</v>
      </c>
      <c r="C548" s="44" t="s">
        <v>41</v>
      </c>
      <c r="D548" s="130"/>
      <c r="E548" s="204" t="s">
        <v>75</v>
      </c>
      <c r="F548" s="44" t="s">
        <v>1167</v>
      </c>
      <c r="G548" s="105" t="s">
        <v>184</v>
      </c>
      <c r="H548" s="590">
        <v>639.673</v>
      </c>
      <c r="I548" s="130">
        <v>1</v>
      </c>
      <c r="J548" s="590">
        <v>639.673</v>
      </c>
      <c r="K548" s="590">
        <v>639.673</v>
      </c>
      <c r="L548" s="204">
        <v>1</v>
      </c>
      <c r="M548" s="590">
        <v>639.673</v>
      </c>
      <c r="N548" s="6" t="s">
        <v>1171</v>
      </c>
      <c r="O548" s="205">
        <v>45400</v>
      </c>
      <c r="P548" s="33" t="str">
        <f>HYPERLINK("https://my.zakupivli.pro/remote/dispatcher/state_purchase_view/50517136", "UA-2024-04-18-009207-a")</f>
        <v>UA-2024-04-18-009207-a</v>
      </c>
      <c r="Q548" s="204">
        <v>639.673</v>
      </c>
      <c r="R548" s="204">
        <v>1</v>
      </c>
      <c r="S548" s="204">
        <v>639.673</v>
      </c>
      <c r="T548" s="205">
        <v>45400</v>
      </c>
      <c r="U548" s="130"/>
      <c r="V548" s="204" t="s">
        <v>59</v>
      </c>
    </row>
    <row r="549" spans="1:22" ht="62.4" x14ac:dyDescent="0.3">
      <c r="A549" s="130">
        <v>543</v>
      </c>
      <c r="B549" s="207" t="s">
        <v>40</v>
      </c>
      <c r="C549" s="44" t="s">
        <v>41</v>
      </c>
      <c r="D549" s="130"/>
      <c r="E549" s="207" t="s">
        <v>20</v>
      </c>
      <c r="F549" s="44" t="s">
        <v>1173</v>
      </c>
      <c r="G549" s="105" t="s">
        <v>184</v>
      </c>
      <c r="H549" s="590">
        <v>463.27404000000001</v>
      </c>
      <c r="I549" s="130">
        <v>1</v>
      </c>
      <c r="J549" s="590">
        <v>463.27404000000001</v>
      </c>
      <c r="K549" s="590">
        <v>463.27404000000001</v>
      </c>
      <c r="L549" s="207">
        <v>1</v>
      </c>
      <c r="M549" s="590">
        <v>463.27404000000001</v>
      </c>
      <c r="N549" s="6" t="s">
        <v>1174</v>
      </c>
      <c r="O549" s="208">
        <v>45406</v>
      </c>
      <c r="P549" s="42" t="str">
        <f>HYPERLINK("https://my.zakupivli.pro/remote/dispatcher/state_purchase_view/50625843", "UA-2024-04-24-006858-a")</f>
        <v>UA-2024-04-24-006858-a</v>
      </c>
      <c r="Q549" s="207">
        <v>463.27404000000001</v>
      </c>
      <c r="R549" s="207">
        <v>1</v>
      </c>
      <c r="S549" s="207">
        <v>463.27404000000001</v>
      </c>
      <c r="T549" s="131">
        <v>45406</v>
      </c>
      <c r="U549" s="130"/>
      <c r="V549" s="207" t="s">
        <v>59</v>
      </c>
    </row>
    <row r="550" spans="1:22" ht="78" x14ac:dyDescent="0.3">
      <c r="A550" s="130">
        <v>544</v>
      </c>
      <c r="B550" s="209" t="s">
        <v>21</v>
      </c>
      <c r="C550" s="154" t="s">
        <v>1178</v>
      </c>
      <c r="D550" s="214" t="s">
        <v>58</v>
      </c>
      <c r="E550" s="209" t="s">
        <v>75</v>
      </c>
      <c r="F550" s="94" t="s">
        <v>1175</v>
      </c>
      <c r="G550" s="130" t="s">
        <v>185</v>
      </c>
      <c r="H550" s="590"/>
      <c r="I550" s="130">
        <v>2</v>
      </c>
      <c r="J550" s="590">
        <v>252.75</v>
      </c>
      <c r="K550" s="590"/>
      <c r="L550" s="209">
        <v>2</v>
      </c>
      <c r="M550" s="590">
        <v>252.75</v>
      </c>
      <c r="N550" s="6" t="s">
        <v>1176</v>
      </c>
      <c r="O550" s="131">
        <v>45407</v>
      </c>
      <c r="P550" s="211" t="s">
        <v>1177</v>
      </c>
      <c r="Q550" s="130"/>
      <c r="R550" s="130"/>
      <c r="S550" s="130"/>
      <c r="T550" s="131"/>
      <c r="U550" s="228" t="s">
        <v>93</v>
      </c>
      <c r="V550" s="130"/>
    </row>
    <row r="551" spans="1:22" ht="78" x14ac:dyDescent="0.3">
      <c r="A551" s="130">
        <v>545</v>
      </c>
      <c r="B551" s="210" t="s">
        <v>40</v>
      </c>
      <c r="C551" s="44" t="s">
        <v>884</v>
      </c>
      <c r="D551" s="130"/>
      <c r="E551" s="210" t="s">
        <v>20</v>
      </c>
      <c r="F551" s="44" t="s">
        <v>1179</v>
      </c>
      <c r="G551" s="105" t="s">
        <v>184</v>
      </c>
      <c r="H551" s="590">
        <v>116.39008</v>
      </c>
      <c r="I551" s="130">
        <v>1</v>
      </c>
      <c r="J551" s="590">
        <v>116.39008</v>
      </c>
      <c r="K551" s="590">
        <v>116.39008</v>
      </c>
      <c r="L551" s="210">
        <v>1</v>
      </c>
      <c r="M551" s="590">
        <v>116.39008</v>
      </c>
      <c r="N551" s="6" t="s">
        <v>1180</v>
      </c>
      <c r="O551" s="131">
        <v>45408</v>
      </c>
      <c r="P551" s="33" t="str">
        <f>HYPERLINK("https://my.zakupivli.pro/remote/dispatcher/state_purchase_view/50678782", "UA-2024-04-26-001577-a")</f>
        <v>UA-2024-04-26-001577-a</v>
      </c>
      <c r="Q551" s="210">
        <v>116.39008</v>
      </c>
      <c r="R551" s="210">
        <v>1</v>
      </c>
      <c r="S551" s="210">
        <v>116.39008</v>
      </c>
      <c r="T551" s="131">
        <v>45407</v>
      </c>
      <c r="U551" s="130"/>
      <c r="V551" s="210" t="s">
        <v>59</v>
      </c>
    </row>
    <row r="552" spans="1:22" ht="62.4" x14ac:dyDescent="0.3">
      <c r="A552" s="130">
        <v>546</v>
      </c>
      <c r="B552" s="212" t="s">
        <v>40</v>
      </c>
      <c r="C552" s="44" t="s">
        <v>73</v>
      </c>
      <c r="D552" s="130"/>
      <c r="E552" s="212" t="s">
        <v>75</v>
      </c>
      <c r="F552" s="44" t="s">
        <v>1181</v>
      </c>
      <c r="G552" s="105" t="s">
        <v>184</v>
      </c>
      <c r="H552" s="590">
        <v>57.985419999999998</v>
      </c>
      <c r="I552" s="212">
        <v>1</v>
      </c>
      <c r="J552" s="590">
        <v>57.985419999999998</v>
      </c>
      <c r="K552" s="590">
        <v>57.985419999999998</v>
      </c>
      <c r="L552" s="212">
        <v>1</v>
      </c>
      <c r="M552" s="590">
        <v>57.985419999999998</v>
      </c>
      <c r="N552" s="6" t="s">
        <v>1184</v>
      </c>
      <c r="O552" s="131">
        <v>45412</v>
      </c>
      <c r="P552" s="33" t="str">
        <f>HYPERLINK("https://my.zakupivli.pro/remote/dispatcher/state_purchase_view/50748827", "UA-2024-04-30-008406-a")</f>
        <v>UA-2024-04-30-008406-a</v>
      </c>
      <c r="Q552" s="212">
        <v>57.985419999999998</v>
      </c>
      <c r="R552" s="212">
        <v>1</v>
      </c>
      <c r="S552" s="212">
        <v>57.985419999999998</v>
      </c>
      <c r="T552" s="213">
        <v>45412</v>
      </c>
      <c r="U552" s="130"/>
      <c r="V552" s="212" t="s">
        <v>59</v>
      </c>
    </row>
    <row r="553" spans="1:22" ht="62.4" x14ac:dyDescent="0.3">
      <c r="A553" s="130">
        <v>547</v>
      </c>
      <c r="B553" s="212" t="s">
        <v>40</v>
      </c>
      <c r="C553" s="44" t="s">
        <v>41</v>
      </c>
      <c r="D553" s="130"/>
      <c r="E553" s="212" t="s">
        <v>20</v>
      </c>
      <c r="F553" s="44" t="s">
        <v>1182</v>
      </c>
      <c r="G553" s="105" t="s">
        <v>184</v>
      </c>
      <c r="H553" s="590">
        <v>200.37389999999999</v>
      </c>
      <c r="I553" s="212">
        <v>1</v>
      </c>
      <c r="J553" s="590">
        <v>200.37389999999999</v>
      </c>
      <c r="K553" s="590">
        <v>200.37389999999999</v>
      </c>
      <c r="L553" s="212">
        <v>1</v>
      </c>
      <c r="M553" s="590">
        <v>200.37389999999999</v>
      </c>
      <c r="N553" s="6" t="s">
        <v>1185</v>
      </c>
      <c r="O553" s="213">
        <v>45412</v>
      </c>
      <c r="P553" s="33" t="str">
        <f>HYPERLINK("https://my.zakupivli.pro/remote/dispatcher/state_purchase_view/50747345", "UA-2024-04-30-007763-a")</f>
        <v>UA-2024-04-30-007763-a</v>
      </c>
      <c r="Q553" s="212">
        <v>200.37389999999999</v>
      </c>
      <c r="R553" s="212">
        <v>1</v>
      </c>
      <c r="S553" s="212">
        <v>200.37389999999999</v>
      </c>
      <c r="T553" s="213">
        <v>45412</v>
      </c>
      <c r="U553" s="130"/>
      <c r="V553" s="212" t="s">
        <v>59</v>
      </c>
    </row>
    <row r="554" spans="1:22" ht="62.4" x14ac:dyDescent="0.3">
      <c r="A554" s="130">
        <v>548</v>
      </c>
      <c r="B554" s="212" t="s">
        <v>40</v>
      </c>
      <c r="C554" s="44" t="s">
        <v>884</v>
      </c>
      <c r="D554" s="130"/>
      <c r="E554" s="212" t="s">
        <v>20</v>
      </c>
      <c r="F554" s="44" t="s">
        <v>1183</v>
      </c>
      <c r="G554" s="105" t="s">
        <v>184</v>
      </c>
      <c r="H554" s="590">
        <v>304.02249999999998</v>
      </c>
      <c r="I554" s="212">
        <v>1</v>
      </c>
      <c r="J554" s="590">
        <v>304.02249999999998</v>
      </c>
      <c r="K554" s="590">
        <v>304.02249999999998</v>
      </c>
      <c r="L554" s="212">
        <v>1</v>
      </c>
      <c r="M554" s="590">
        <v>304.02249999999998</v>
      </c>
      <c r="N554" s="6" t="s">
        <v>1186</v>
      </c>
      <c r="O554" s="213">
        <v>45412</v>
      </c>
      <c r="P554" s="33" t="str">
        <f>HYPERLINK("https://my.zakupivli.pro/remote/dispatcher/state_purchase_view/50747236", "UA-2024-04-30-007691-a")</f>
        <v>UA-2024-04-30-007691-a</v>
      </c>
      <c r="Q554" s="212">
        <v>304.02249999999998</v>
      </c>
      <c r="R554" s="212">
        <v>1</v>
      </c>
      <c r="S554" s="212">
        <v>304.02249999999998</v>
      </c>
      <c r="T554" s="213">
        <v>45412</v>
      </c>
      <c r="U554" s="130"/>
      <c r="V554" s="212" t="s">
        <v>59</v>
      </c>
    </row>
    <row r="555" spans="1:22" ht="62.4" x14ac:dyDescent="0.3">
      <c r="A555" s="130">
        <v>549</v>
      </c>
      <c r="B555" s="214" t="s">
        <v>21</v>
      </c>
      <c r="C555" s="44" t="s">
        <v>412</v>
      </c>
      <c r="D555" s="130"/>
      <c r="E555" s="214" t="s">
        <v>75</v>
      </c>
      <c r="F555" s="44" t="s">
        <v>1187</v>
      </c>
      <c r="G555" s="130" t="s">
        <v>185</v>
      </c>
      <c r="H555" s="590">
        <v>64.5</v>
      </c>
      <c r="I555" s="130">
        <v>1</v>
      </c>
      <c r="J555" s="590">
        <v>64.5</v>
      </c>
      <c r="K555" s="590">
        <v>64.5</v>
      </c>
      <c r="L555" s="214">
        <v>1</v>
      </c>
      <c r="M555" s="590">
        <v>64.5</v>
      </c>
      <c r="N555" s="6" t="s">
        <v>1188</v>
      </c>
      <c r="O555" s="131">
        <v>45418</v>
      </c>
      <c r="P555" s="33" t="str">
        <f>HYPERLINK("https://my.zakupivli.pro/remote/dispatcher/state_purchase_view/50828435", "UA-2024-05-06-000775-a")</f>
        <v>UA-2024-05-06-000775-a</v>
      </c>
      <c r="Q555" s="117">
        <v>64.5</v>
      </c>
      <c r="R555" s="214">
        <v>1</v>
      </c>
      <c r="S555" s="117">
        <v>64.5</v>
      </c>
      <c r="T555" s="131">
        <v>45418</v>
      </c>
      <c r="U555" s="130"/>
      <c r="V555" s="214" t="s">
        <v>59</v>
      </c>
    </row>
    <row r="556" spans="1:22" ht="62.4" x14ac:dyDescent="0.3">
      <c r="A556" s="130">
        <v>550</v>
      </c>
      <c r="B556" s="215" t="s">
        <v>40</v>
      </c>
      <c r="C556" s="44" t="s">
        <v>884</v>
      </c>
      <c r="D556" s="130"/>
      <c r="E556" s="215" t="s">
        <v>20</v>
      </c>
      <c r="F556" s="44" t="s">
        <v>1189</v>
      </c>
      <c r="G556" s="105" t="s">
        <v>184</v>
      </c>
      <c r="H556" s="590">
        <v>301.01701000000003</v>
      </c>
      <c r="I556" s="130">
        <v>1</v>
      </c>
      <c r="J556" s="590">
        <v>301.01701000000003</v>
      </c>
      <c r="K556" s="590">
        <v>301.01701000000003</v>
      </c>
      <c r="L556" s="215">
        <v>1</v>
      </c>
      <c r="M556" s="590">
        <v>301.01701000000003</v>
      </c>
      <c r="N556" s="6" t="s">
        <v>1190</v>
      </c>
      <c r="O556" s="216">
        <v>45418</v>
      </c>
      <c r="P556" s="33" t="str">
        <f>HYPERLINK("https://my.zakupivli.pro/remote/dispatcher/state_purchase_view/50840153", "UA-2024-05-06-005957-a")</f>
        <v>UA-2024-05-06-005957-a</v>
      </c>
      <c r="Q556" s="215">
        <v>301.01701000000003</v>
      </c>
      <c r="R556" s="215">
        <v>1</v>
      </c>
      <c r="S556" s="215">
        <v>301.01701000000003</v>
      </c>
      <c r="T556" s="216">
        <v>45418</v>
      </c>
      <c r="U556" s="130"/>
      <c r="V556" s="215" t="s">
        <v>59</v>
      </c>
    </row>
    <row r="557" spans="1:22" ht="62.4" x14ac:dyDescent="0.3">
      <c r="A557" s="130">
        <v>551</v>
      </c>
      <c r="B557" s="218" t="s">
        <v>40</v>
      </c>
      <c r="C557" s="44" t="s">
        <v>73</v>
      </c>
      <c r="D557" s="130"/>
      <c r="E557" s="218" t="s">
        <v>75</v>
      </c>
      <c r="F557" s="44" t="s">
        <v>1191</v>
      </c>
      <c r="G557" s="105" t="s">
        <v>184</v>
      </c>
      <c r="H557" s="590">
        <v>1249.1666700000001</v>
      </c>
      <c r="I557" s="218">
        <v>1</v>
      </c>
      <c r="J557" s="590">
        <v>1249.1666700000001</v>
      </c>
      <c r="K557" s="590">
        <v>1249.1666700000001</v>
      </c>
      <c r="L557" s="218">
        <v>1</v>
      </c>
      <c r="M557" s="590">
        <v>1249.1666700000001</v>
      </c>
      <c r="N557" s="6" t="s">
        <v>1193</v>
      </c>
      <c r="O557" s="217">
        <v>45419</v>
      </c>
      <c r="P557" s="33" t="str">
        <f>HYPERLINK("https://my.zakupivli.pro/remote/dispatcher/state_purchase_view/50870545", "UA-2024-05-08-001172-a")</f>
        <v>UA-2024-05-08-001172-a</v>
      </c>
      <c r="Q557" s="218">
        <v>1249.1666700000001</v>
      </c>
      <c r="R557" s="218">
        <v>1</v>
      </c>
      <c r="S557" s="218">
        <v>1249.1666700000001</v>
      </c>
      <c r="T557" s="131">
        <v>45420</v>
      </c>
      <c r="U557" s="130"/>
      <c r="V557" s="218" t="s">
        <v>59</v>
      </c>
    </row>
    <row r="558" spans="1:22" ht="62.4" x14ac:dyDescent="0.3">
      <c r="A558" s="130">
        <v>552</v>
      </c>
      <c r="B558" s="218" t="s">
        <v>40</v>
      </c>
      <c r="C558" s="44" t="s">
        <v>73</v>
      </c>
      <c r="D558" s="130"/>
      <c r="E558" s="218" t="s">
        <v>75</v>
      </c>
      <c r="F558" s="44" t="s">
        <v>1192</v>
      </c>
      <c r="G558" s="105" t="s">
        <v>184</v>
      </c>
      <c r="H558" s="590">
        <v>1249.1666700000001</v>
      </c>
      <c r="I558" s="218">
        <v>1</v>
      </c>
      <c r="J558" s="590">
        <v>1249.1666700000001</v>
      </c>
      <c r="K558" s="590">
        <v>1249.1666700000001</v>
      </c>
      <c r="L558" s="218">
        <v>1</v>
      </c>
      <c r="M558" s="590">
        <v>1249.1666700000001</v>
      </c>
      <c r="N558" s="6" t="s">
        <v>1194</v>
      </c>
      <c r="O558" s="217">
        <v>45419</v>
      </c>
      <c r="P558" s="33" t="str">
        <f>HYPERLINK("https://my.zakupivli.pro/remote/dispatcher/state_purchase_view/50869659", "UA-2024-05-08-000784-a")</f>
        <v>UA-2024-05-08-000784-a</v>
      </c>
      <c r="Q558" s="218">
        <v>1249.1666700000001</v>
      </c>
      <c r="R558" s="218">
        <v>1</v>
      </c>
      <c r="S558" s="218">
        <v>1249.1666700000001</v>
      </c>
      <c r="T558" s="217">
        <v>45420</v>
      </c>
      <c r="U558" s="130"/>
      <c r="V558" s="218" t="s">
        <v>59</v>
      </c>
    </row>
    <row r="559" spans="1:22" ht="62.4" x14ac:dyDescent="0.3">
      <c r="A559" s="130">
        <v>553</v>
      </c>
      <c r="B559" s="219" t="s">
        <v>21</v>
      </c>
      <c r="C559" s="44" t="s">
        <v>894</v>
      </c>
      <c r="D559" s="130"/>
      <c r="E559" s="219" t="s">
        <v>75</v>
      </c>
      <c r="F559" s="223" t="s">
        <v>1001</v>
      </c>
      <c r="G559" s="130" t="s">
        <v>185</v>
      </c>
      <c r="H559" s="590">
        <v>17.148</v>
      </c>
      <c r="I559" s="130">
        <v>5</v>
      </c>
      <c r="J559" s="590">
        <v>85.74</v>
      </c>
      <c r="K559" s="590">
        <v>17.148</v>
      </c>
      <c r="L559" s="219">
        <v>5</v>
      </c>
      <c r="M559" s="590">
        <v>85.74</v>
      </c>
      <c r="N559" s="6" t="s">
        <v>1197</v>
      </c>
      <c r="O559" s="131">
        <v>45421</v>
      </c>
      <c r="P559" s="33" t="str">
        <f>HYPERLINK("https://my.zakupivli.pro/remote/dispatcher/state_purchase_view/50900302", "UA-2024-05-09-002161-a")</f>
        <v>UA-2024-05-09-002161-a</v>
      </c>
      <c r="Q559" s="219">
        <v>17.148</v>
      </c>
      <c r="R559" s="219">
        <v>5</v>
      </c>
      <c r="S559" s="117">
        <v>85.74</v>
      </c>
      <c r="T559" s="220">
        <v>45421</v>
      </c>
      <c r="U559" s="130"/>
      <c r="V559" s="219" t="s">
        <v>59</v>
      </c>
    </row>
    <row r="560" spans="1:22" ht="62.4" x14ac:dyDescent="0.3">
      <c r="A560" s="130">
        <v>554</v>
      </c>
      <c r="B560" s="219" t="s">
        <v>21</v>
      </c>
      <c r="C560" s="44" t="s">
        <v>1196</v>
      </c>
      <c r="D560" s="130"/>
      <c r="E560" s="219" t="s">
        <v>75</v>
      </c>
      <c r="F560" s="223" t="s">
        <v>1195</v>
      </c>
      <c r="G560" s="130" t="s">
        <v>186</v>
      </c>
      <c r="H560" s="590"/>
      <c r="I560" s="130">
        <v>3</v>
      </c>
      <c r="J560" s="590">
        <v>55.734999999999999</v>
      </c>
      <c r="K560" s="590"/>
      <c r="L560" s="219">
        <v>3</v>
      </c>
      <c r="M560" s="590">
        <v>55.734999999999999</v>
      </c>
      <c r="N560" s="6" t="s">
        <v>1198</v>
      </c>
      <c r="O560" s="220">
        <v>45421</v>
      </c>
      <c r="P560" s="33" t="str">
        <f>HYPERLINK("https://my.zakupivli.pro/remote/dispatcher/state_purchase_view/50899716", "UA-2024-05-09-001892-a")</f>
        <v>UA-2024-05-09-001892-a</v>
      </c>
      <c r="Q560" s="130"/>
      <c r="R560" s="219">
        <v>3</v>
      </c>
      <c r="S560" s="219">
        <v>55.734999999999999</v>
      </c>
      <c r="T560" s="220">
        <v>45421</v>
      </c>
      <c r="U560" s="130"/>
      <c r="V560" s="219" t="s">
        <v>59</v>
      </c>
    </row>
    <row r="561" spans="1:22" ht="46.8" x14ac:dyDescent="0.3">
      <c r="A561" s="130">
        <v>555</v>
      </c>
      <c r="B561" s="221" t="s">
        <v>21</v>
      </c>
      <c r="C561" s="44" t="s">
        <v>32</v>
      </c>
      <c r="D561" s="221" t="s">
        <v>58</v>
      </c>
      <c r="E561" s="221" t="s">
        <v>75</v>
      </c>
      <c r="F561" s="44" t="s">
        <v>1153</v>
      </c>
      <c r="G561" s="130" t="s">
        <v>185</v>
      </c>
      <c r="H561" s="590"/>
      <c r="I561" s="130">
        <v>3</v>
      </c>
      <c r="J561" s="590">
        <v>423.58332999999999</v>
      </c>
      <c r="K561" s="590"/>
      <c r="L561" s="221">
        <v>3</v>
      </c>
      <c r="M561" s="590">
        <v>423.58332999999999</v>
      </c>
      <c r="N561" s="6" t="s">
        <v>1203</v>
      </c>
      <c r="O561" s="131">
        <v>45422</v>
      </c>
      <c r="P561" s="33" t="str">
        <f>HYPERLINK("https://my.zakupivli.pro/remote/dispatcher/state_purchase_view/50942400", "UA-2024-05-10-008517-a")</f>
        <v>UA-2024-05-10-008517-a</v>
      </c>
      <c r="Q561" s="130"/>
      <c r="R561" s="130">
        <v>3</v>
      </c>
      <c r="S561" s="117">
        <v>412.5</v>
      </c>
      <c r="T561" s="131">
        <v>45441</v>
      </c>
      <c r="U561" s="130"/>
      <c r="V561" s="130"/>
    </row>
    <row r="562" spans="1:22" ht="62.4" x14ac:dyDescent="0.3">
      <c r="A562" s="130">
        <v>556</v>
      </c>
      <c r="B562" s="221" t="s">
        <v>40</v>
      </c>
      <c r="C562" s="44" t="s">
        <v>541</v>
      </c>
      <c r="D562" s="130"/>
      <c r="E562" s="221" t="s">
        <v>75</v>
      </c>
      <c r="F562" s="44" t="s">
        <v>1199</v>
      </c>
      <c r="G562" s="105" t="s">
        <v>184</v>
      </c>
      <c r="H562" s="590">
        <v>341.57116000000002</v>
      </c>
      <c r="I562" s="130">
        <v>1</v>
      </c>
      <c r="J562" s="590">
        <v>341.57116000000002</v>
      </c>
      <c r="K562" s="590">
        <v>341.57116000000002</v>
      </c>
      <c r="L562" s="221">
        <v>1</v>
      </c>
      <c r="M562" s="590">
        <v>341.57116000000002</v>
      </c>
      <c r="N562" s="6" t="s">
        <v>1204</v>
      </c>
      <c r="O562" s="222">
        <v>45422</v>
      </c>
      <c r="P562" s="33" t="str">
        <f>HYPERLINK("https://my.zakupivli.pro/remote/dispatcher/state_purchase_view/50941461", "UA-2024-05-10-008137-a")</f>
        <v>UA-2024-05-10-008137-a</v>
      </c>
      <c r="Q562" s="221">
        <v>341.57116000000002</v>
      </c>
      <c r="R562" s="221">
        <v>1</v>
      </c>
      <c r="S562" s="221">
        <v>341.57116000000002</v>
      </c>
      <c r="T562" s="222">
        <v>45422</v>
      </c>
      <c r="U562" s="130"/>
      <c r="V562" s="224" t="s">
        <v>59</v>
      </c>
    </row>
    <row r="563" spans="1:22" ht="62.4" x14ac:dyDescent="0.3">
      <c r="A563" s="130">
        <v>557</v>
      </c>
      <c r="B563" s="221" t="s">
        <v>40</v>
      </c>
      <c r="C563" s="44" t="s">
        <v>541</v>
      </c>
      <c r="D563" s="130"/>
      <c r="E563" s="224" t="s">
        <v>75</v>
      </c>
      <c r="F563" s="44" t="s">
        <v>1200</v>
      </c>
      <c r="G563" s="105" t="s">
        <v>184</v>
      </c>
      <c r="H563" s="590">
        <v>339.34339999999997</v>
      </c>
      <c r="I563" s="221">
        <v>1</v>
      </c>
      <c r="J563" s="590">
        <v>339.34339999999997</v>
      </c>
      <c r="K563" s="590">
        <v>339.34339999999997</v>
      </c>
      <c r="L563" s="221">
        <v>1</v>
      </c>
      <c r="M563" s="590">
        <v>339.34339999999997</v>
      </c>
      <c r="N563" s="6" t="s">
        <v>1205</v>
      </c>
      <c r="O563" s="222">
        <v>45422</v>
      </c>
      <c r="P563" s="33" t="str">
        <f>HYPERLINK("https://my.zakupivli.pro/remote/dispatcher/state_purchase_view/50941180", "UA-2024-05-10-007968-a")</f>
        <v>UA-2024-05-10-007968-a</v>
      </c>
      <c r="Q563" s="221">
        <v>339.34339999999997</v>
      </c>
      <c r="R563" s="221">
        <v>1</v>
      </c>
      <c r="S563" s="221">
        <v>339.34339999999997</v>
      </c>
      <c r="T563" s="222">
        <v>45422</v>
      </c>
      <c r="U563" s="130"/>
      <c r="V563" s="224" t="s">
        <v>59</v>
      </c>
    </row>
    <row r="564" spans="1:22" ht="62.4" x14ac:dyDescent="0.3">
      <c r="A564" s="130">
        <v>558</v>
      </c>
      <c r="B564" s="221" t="s">
        <v>40</v>
      </c>
      <c r="C564" s="44" t="s">
        <v>41</v>
      </c>
      <c r="D564" s="130"/>
      <c r="E564" s="221" t="s">
        <v>20</v>
      </c>
      <c r="F564" s="44" t="s">
        <v>1201</v>
      </c>
      <c r="G564" s="105" t="s">
        <v>184</v>
      </c>
      <c r="H564" s="590">
        <v>494.47917000000001</v>
      </c>
      <c r="I564" s="221">
        <v>1</v>
      </c>
      <c r="J564" s="590">
        <v>494.47917000000001</v>
      </c>
      <c r="K564" s="590">
        <v>494.47917000000001</v>
      </c>
      <c r="L564" s="221">
        <v>1</v>
      </c>
      <c r="M564" s="590">
        <v>494.47917000000001</v>
      </c>
      <c r="N564" s="6" t="s">
        <v>1206</v>
      </c>
      <c r="O564" s="222">
        <v>45422</v>
      </c>
      <c r="P564" s="33" t="str">
        <f>HYPERLINK("https://my.zakupivli.pro/remote/dispatcher/state_purchase_view/50934484", "UA-2024-05-10-004917-a")</f>
        <v>UA-2024-05-10-004917-a</v>
      </c>
      <c r="Q564" s="221">
        <v>494.47917000000001</v>
      </c>
      <c r="R564" s="221">
        <v>1</v>
      </c>
      <c r="S564" s="221">
        <v>494.47917000000001</v>
      </c>
      <c r="T564" s="222">
        <v>45421</v>
      </c>
      <c r="U564" s="130"/>
      <c r="V564" s="224" t="s">
        <v>59</v>
      </c>
    </row>
    <row r="565" spans="1:22" ht="78" x14ac:dyDescent="0.3">
      <c r="A565" s="130">
        <v>559</v>
      </c>
      <c r="B565" s="221" t="s">
        <v>40</v>
      </c>
      <c r="C565" s="44" t="s">
        <v>884</v>
      </c>
      <c r="D565" s="130"/>
      <c r="E565" s="221" t="s">
        <v>20</v>
      </c>
      <c r="F565" s="44" t="s">
        <v>1202</v>
      </c>
      <c r="G565" s="105" t="s">
        <v>184</v>
      </c>
      <c r="H565" s="590">
        <v>298.51423</v>
      </c>
      <c r="I565" s="221">
        <v>1</v>
      </c>
      <c r="J565" s="590">
        <v>298.51423</v>
      </c>
      <c r="K565" s="590">
        <v>298.51423</v>
      </c>
      <c r="L565" s="221">
        <v>1</v>
      </c>
      <c r="M565" s="590">
        <v>298.51423</v>
      </c>
      <c r="N565" s="6" t="s">
        <v>1207</v>
      </c>
      <c r="O565" s="222">
        <v>45422</v>
      </c>
      <c r="P565" s="33" t="str">
        <f>HYPERLINK("https://my.zakupivli.pro/remote/dispatcher/state_purchase_view/50933225", "UA-2024-05-10-004381-a")</f>
        <v>UA-2024-05-10-004381-a</v>
      </c>
      <c r="Q565" s="221">
        <v>298.51423</v>
      </c>
      <c r="R565" s="221">
        <v>1</v>
      </c>
      <c r="S565" s="221">
        <v>298.51423</v>
      </c>
      <c r="T565" s="131">
        <v>45421</v>
      </c>
      <c r="U565" s="130"/>
      <c r="V565" s="224" t="s">
        <v>59</v>
      </c>
    </row>
    <row r="566" spans="1:22" ht="62.4" x14ac:dyDescent="0.3">
      <c r="A566" s="130">
        <v>560</v>
      </c>
      <c r="B566" s="224" t="s">
        <v>21</v>
      </c>
      <c r="C566" s="41" t="s">
        <v>1209</v>
      </c>
      <c r="D566" s="130"/>
      <c r="E566" s="221" t="s">
        <v>75</v>
      </c>
      <c r="F566" s="223" t="s">
        <v>1208</v>
      </c>
      <c r="G566" s="130" t="s">
        <v>185</v>
      </c>
      <c r="H566" s="590">
        <v>35.540799999999997</v>
      </c>
      <c r="I566" s="130">
        <v>2</v>
      </c>
      <c r="J566" s="590">
        <v>71.081599999999995</v>
      </c>
      <c r="K566" s="590">
        <v>35.540799999999997</v>
      </c>
      <c r="L566" s="224">
        <v>2</v>
      </c>
      <c r="M566" s="590">
        <v>71.081599999999995</v>
      </c>
      <c r="N566" s="6" t="s">
        <v>1210</v>
      </c>
      <c r="O566" s="131">
        <v>45425</v>
      </c>
      <c r="P566" s="33" t="str">
        <f>HYPERLINK("https://my.zakupivli.pro/remote/dispatcher/state_purchase_view/50949996", "UA-2024-05-13-000046-a")</f>
        <v>UA-2024-05-13-000046-a</v>
      </c>
      <c r="Q566" s="224">
        <v>35.540799999999997</v>
      </c>
      <c r="R566" s="224">
        <v>2</v>
      </c>
      <c r="S566" s="224">
        <v>71.081599999999995</v>
      </c>
      <c r="T566" s="225">
        <v>45425</v>
      </c>
      <c r="U566" s="130"/>
      <c r="V566" s="224" t="s">
        <v>59</v>
      </c>
    </row>
    <row r="567" spans="1:22" ht="62.4" x14ac:dyDescent="0.3">
      <c r="A567" s="130">
        <v>561</v>
      </c>
      <c r="B567" s="226" t="s">
        <v>21</v>
      </c>
      <c r="C567" s="44" t="s">
        <v>1143</v>
      </c>
      <c r="D567" s="130"/>
      <c r="E567" s="226" t="s">
        <v>75</v>
      </c>
      <c r="F567" s="223" t="s">
        <v>1141</v>
      </c>
      <c r="G567" s="130" t="s">
        <v>186</v>
      </c>
      <c r="H567" s="590"/>
      <c r="I567" s="130">
        <v>3</v>
      </c>
      <c r="J567" s="590">
        <v>83.328999999999994</v>
      </c>
      <c r="K567" s="590"/>
      <c r="L567" s="226">
        <v>3</v>
      </c>
      <c r="M567" s="590">
        <v>83.328999999999994</v>
      </c>
      <c r="N567" s="6" t="s">
        <v>1211</v>
      </c>
      <c r="O567" s="131">
        <v>45426</v>
      </c>
      <c r="P567" s="33" t="str">
        <f>HYPERLINK("https://my.zakupivli.pro/remote/dispatcher/state_purchase_view/50999556", "UA-2024-05-14-010620-a")</f>
        <v>UA-2024-05-14-010620-a</v>
      </c>
      <c r="Q567" s="130"/>
      <c r="R567" s="226">
        <v>3</v>
      </c>
      <c r="S567" s="226">
        <v>83.328999999999994</v>
      </c>
      <c r="T567" s="227">
        <v>45426</v>
      </c>
      <c r="U567" s="130"/>
      <c r="V567" s="226" t="s">
        <v>59</v>
      </c>
    </row>
    <row r="568" spans="1:22" ht="46.8" x14ac:dyDescent="0.3">
      <c r="A568" s="130">
        <v>562</v>
      </c>
      <c r="B568" s="228" t="s">
        <v>21</v>
      </c>
      <c r="C568" s="41" t="s">
        <v>171</v>
      </c>
      <c r="D568" s="248" t="s">
        <v>58</v>
      </c>
      <c r="E568" s="228" t="s">
        <v>75</v>
      </c>
      <c r="F568" s="41" t="s">
        <v>1212</v>
      </c>
      <c r="G568" s="130" t="s">
        <v>186</v>
      </c>
      <c r="H568" s="590"/>
      <c r="I568" s="130">
        <v>4</v>
      </c>
      <c r="J568" s="590">
        <v>1247.7560000000001</v>
      </c>
      <c r="K568" s="590"/>
      <c r="L568" s="228">
        <v>4</v>
      </c>
      <c r="M568" s="590">
        <v>1247.7560000000001</v>
      </c>
      <c r="N568" s="6" t="s">
        <v>1213</v>
      </c>
      <c r="O568" s="131">
        <v>45429</v>
      </c>
      <c r="P568" s="42" t="str">
        <f>HYPERLINK("https://my.zakupivli.pro/remote/dispatcher/state_purchase_view/51062772", "UA-2024-05-17-000118-a")</f>
        <v>UA-2024-05-17-000118-a</v>
      </c>
      <c r="Q568" s="130"/>
      <c r="R568" s="130">
        <v>4</v>
      </c>
      <c r="S568" s="130">
        <v>1203.6524999999999</v>
      </c>
      <c r="T568" s="131">
        <v>45447</v>
      </c>
      <c r="U568" s="130"/>
      <c r="V568" s="130"/>
    </row>
    <row r="569" spans="1:22" ht="62.4" x14ac:dyDescent="0.3">
      <c r="A569" s="130">
        <v>563</v>
      </c>
      <c r="B569" s="229" t="s">
        <v>21</v>
      </c>
      <c r="C569" s="44" t="s">
        <v>30</v>
      </c>
      <c r="D569" s="130"/>
      <c r="E569" s="229" t="s">
        <v>75</v>
      </c>
      <c r="F569" s="223" t="s">
        <v>908</v>
      </c>
      <c r="G569" s="130" t="s">
        <v>186</v>
      </c>
      <c r="H569" s="590"/>
      <c r="I569" s="130">
        <v>2</v>
      </c>
      <c r="J569" s="590">
        <v>45.0839</v>
      </c>
      <c r="K569" s="590"/>
      <c r="L569" s="229">
        <v>2</v>
      </c>
      <c r="M569" s="590">
        <v>45.0839</v>
      </c>
      <c r="N569" s="6" t="s">
        <v>1214</v>
      </c>
      <c r="O569" s="131">
        <v>45432</v>
      </c>
      <c r="P569" s="33" t="str">
        <f>HYPERLINK("https://my.zakupivli.pro/remote/dispatcher/state_purchase_view/51111939", "UA-2024-05-20-009265-a")</f>
        <v>UA-2024-05-20-009265-a</v>
      </c>
      <c r="Q569" s="130"/>
      <c r="R569" s="229">
        <v>2</v>
      </c>
      <c r="S569" s="229">
        <v>45.0839</v>
      </c>
      <c r="T569" s="131">
        <v>45432</v>
      </c>
      <c r="U569" s="130"/>
      <c r="V569" s="229" t="s">
        <v>59</v>
      </c>
    </row>
    <row r="570" spans="1:22" ht="62.4" x14ac:dyDescent="0.3">
      <c r="A570" s="130">
        <v>564</v>
      </c>
      <c r="B570" s="230" t="s">
        <v>21</v>
      </c>
      <c r="C570" s="44" t="s">
        <v>30</v>
      </c>
      <c r="D570" s="130"/>
      <c r="E570" s="230" t="s">
        <v>75</v>
      </c>
      <c r="F570" s="223" t="s">
        <v>908</v>
      </c>
      <c r="G570" s="130" t="s">
        <v>186</v>
      </c>
      <c r="H570" s="590"/>
      <c r="I570" s="130">
        <v>9</v>
      </c>
      <c r="J570" s="590">
        <v>45.656959999999998</v>
      </c>
      <c r="K570" s="590"/>
      <c r="L570" s="230">
        <v>9</v>
      </c>
      <c r="M570" s="590">
        <v>45.656959999999998</v>
      </c>
      <c r="N570" s="6" t="s">
        <v>1215</v>
      </c>
      <c r="O570" s="131">
        <v>45433</v>
      </c>
      <c r="P570" s="33" t="str">
        <f>HYPERLINK("https://my.zakupivli.pro/remote/dispatcher/state_purchase_view/51125566", "UA-2024-05-21-002810-a")</f>
        <v>UA-2024-05-21-002810-a</v>
      </c>
      <c r="Q570" s="130"/>
      <c r="R570" s="230">
        <v>9</v>
      </c>
      <c r="S570" s="230">
        <v>45.656959999999998</v>
      </c>
      <c r="T570" s="131">
        <v>45432</v>
      </c>
      <c r="U570" s="130"/>
      <c r="V570" s="230" t="s">
        <v>59</v>
      </c>
    </row>
    <row r="571" spans="1:22" ht="62.4" x14ac:dyDescent="0.3">
      <c r="A571" s="130">
        <v>565</v>
      </c>
      <c r="B571" s="231" t="s">
        <v>21</v>
      </c>
      <c r="C571" s="237" t="s">
        <v>1217</v>
      </c>
      <c r="D571" s="130"/>
      <c r="E571" s="231" t="s">
        <v>75</v>
      </c>
      <c r="F571" s="234" t="s">
        <v>1216</v>
      </c>
      <c r="G571" s="130" t="s">
        <v>185</v>
      </c>
      <c r="H571" s="590"/>
      <c r="I571" s="130">
        <v>76</v>
      </c>
      <c r="J571" s="590">
        <v>215.93879999999999</v>
      </c>
      <c r="K571" s="590"/>
      <c r="L571" s="231">
        <v>76</v>
      </c>
      <c r="M571" s="590">
        <v>215.93879999999999</v>
      </c>
      <c r="N571" s="6" t="s">
        <v>1218</v>
      </c>
      <c r="O571" s="131">
        <v>45434</v>
      </c>
      <c r="P571" s="42" t="str">
        <f>HYPERLINK("https://my.zakupivli.pro/remote/dispatcher/state_purchase_view/51151129", "UA-2024-05-22-000727-a")</f>
        <v>UA-2024-05-22-000727-a</v>
      </c>
      <c r="Q571" s="130"/>
      <c r="R571" s="231">
        <v>76</v>
      </c>
      <c r="S571" s="231">
        <v>215.93879999999999</v>
      </c>
      <c r="T571" s="131">
        <v>45434</v>
      </c>
      <c r="U571" s="130"/>
      <c r="V571" s="231" t="s">
        <v>59</v>
      </c>
    </row>
    <row r="572" spans="1:22" ht="46.8" x14ac:dyDescent="0.3">
      <c r="A572" s="130">
        <v>566</v>
      </c>
      <c r="B572" s="43" t="s">
        <v>21</v>
      </c>
      <c r="C572" s="44" t="s">
        <v>1219</v>
      </c>
      <c r="D572" s="248" t="s">
        <v>58</v>
      </c>
      <c r="E572" s="232" t="s">
        <v>75</v>
      </c>
      <c r="F572" s="44" t="s">
        <v>1220</v>
      </c>
      <c r="G572" s="130" t="s">
        <v>1223</v>
      </c>
      <c r="H572" s="590"/>
      <c r="I572" s="130">
        <v>15</v>
      </c>
      <c r="J572" s="590">
        <v>1200</v>
      </c>
      <c r="K572" s="590"/>
      <c r="L572" s="232">
        <v>15</v>
      </c>
      <c r="M572" s="590">
        <v>1200</v>
      </c>
      <c r="N572" s="6" t="s">
        <v>1224</v>
      </c>
      <c r="O572" s="131">
        <v>45435</v>
      </c>
      <c r="P572" s="33" t="str">
        <f>HYPERLINK("https://my.zakupivli.pro/remote/dispatcher/state_purchase_view/51190701", "UA-2024-05-23-004824-a")</f>
        <v>UA-2024-05-23-004824-a</v>
      </c>
      <c r="Q572" s="130"/>
      <c r="R572" s="130">
        <v>15</v>
      </c>
      <c r="S572" s="117">
        <v>1000.5</v>
      </c>
      <c r="T572" s="131">
        <v>45467</v>
      </c>
      <c r="U572" s="130"/>
      <c r="V572" s="130"/>
    </row>
    <row r="573" spans="1:22" ht="62.4" x14ac:dyDescent="0.3">
      <c r="A573" s="130">
        <v>567</v>
      </c>
      <c r="B573" s="43" t="s">
        <v>21</v>
      </c>
      <c r="C573" s="44" t="s">
        <v>734</v>
      </c>
      <c r="D573" s="105"/>
      <c r="E573" s="232" t="s">
        <v>75</v>
      </c>
      <c r="F573" s="44" t="s">
        <v>1221</v>
      </c>
      <c r="G573" s="130" t="s">
        <v>185</v>
      </c>
      <c r="H573" s="590"/>
      <c r="I573" s="130">
        <v>60</v>
      </c>
      <c r="J573" s="590">
        <v>63.6</v>
      </c>
      <c r="K573" s="590"/>
      <c r="L573" s="232">
        <v>60</v>
      </c>
      <c r="M573" s="590">
        <v>63.6</v>
      </c>
      <c r="N573" s="6" t="s">
        <v>1225</v>
      </c>
      <c r="O573" s="131">
        <v>45435</v>
      </c>
      <c r="P573" s="33" t="str">
        <f>HYPERLINK("https://my.zakupivli.pro/remote/dispatcher/state_purchase_view/51180705", "UA-2024-05-23-000397-a")</f>
        <v>UA-2024-05-23-000397-a</v>
      </c>
      <c r="Q573" s="130"/>
      <c r="R573" s="232">
        <v>60</v>
      </c>
      <c r="S573" s="117">
        <v>63.6</v>
      </c>
      <c r="T573" s="233">
        <v>45434</v>
      </c>
      <c r="U573" s="130"/>
      <c r="V573" s="232" t="s">
        <v>59</v>
      </c>
    </row>
    <row r="574" spans="1:22" ht="62.4" x14ac:dyDescent="0.3">
      <c r="A574" s="130">
        <v>568</v>
      </c>
      <c r="B574" s="43" t="s">
        <v>21</v>
      </c>
      <c r="C574" s="44" t="s">
        <v>1133</v>
      </c>
      <c r="D574" s="105"/>
      <c r="E574" s="232" t="s">
        <v>75</v>
      </c>
      <c r="F574" s="44" t="s">
        <v>1222</v>
      </c>
      <c r="G574" s="130" t="s">
        <v>187</v>
      </c>
      <c r="H574" s="590">
        <v>93.8</v>
      </c>
      <c r="I574" s="130">
        <v>1</v>
      </c>
      <c r="J574" s="590">
        <v>93.8</v>
      </c>
      <c r="K574" s="590">
        <v>93.8</v>
      </c>
      <c r="L574" s="232">
        <v>1</v>
      </c>
      <c r="M574" s="590">
        <v>93.8</v>
      </c>
      <c r="N574" s="6" t="s">
        <v>1226</v>
      </c>
      <c r="O574" s="233">
        <v>45435</v>
      </c>
      <c r="P574" s="33" t="str">
        <f>HYPERLINK("https://my.zakupivli.pro/remote/dispatcher/state_purchase_view/51179925", "UA-2024-05-23-000094-a")</f>
        <v>UA-2024-05-23-000094-a</v>
      </c>
      <c r="Q574" s="117">
        <v>93.8</v>
      </c>
      <c r="R574" s="232">
        <v>1</v>
      </c>
      <c r="S574" s="117">
        <v>93.8</v>
      </c>
      <c r="T574" s="233">
        <v>45434</v>
      </c>
      <c r="U574" s="130"/>
      <c r="V574" s="232" t="s">
        <v>59</v>
      </c>
    </row>
    <row r="575" spans="1:22" ht="62.4" x14ac:dyDescent="0.3">
      <c r="A575" s="130">
        <v>569</v>
      </c>
      <c r="B575" s="43" t="s">
        <v>21</v>
      </c>
      <c r="C575" s="44" t="s">
        <v>36</v>
      </c>
      <c r="D575" s="130"/>
      <c r="E575" s="235" t="s">
        <v>75</v>
      </c>
      <c r="F575" s="44" t="s">
        <v>63</v>
      </c>
      <c r="G575" s="130" t="s">
        <v>185</v>
      </c>
      <c r="H575" s="590">
        <v>26.605779999999999</v>
      </c>
      <c r="I575" s="130">
        <v>2</v>
      </c>
      <c r="J575" s="590">
        <v>53.211559999999999</v>
      </c>
      <c r="K575" s="590">
        <v>26.605779999999999</v>
      </c>
      <c r="L575" s="235">
        <v>2</v>
      </c>
      <c r="M575" s="590">
        <v>53.211559999999999</v>
      </c>
      <c r="N575" s="6" t="s">
        <v>1234</v>
      </c>
      <c r="O575" s="131">
        <v>45439</v>
      </c>
      <c r="P575" s="33" t="str">
        <f>HYPERLINK("https://my.zakupivli.pro/remote/dispatcher/state_purchase_view/51263635", "UA-2024-05-27-011689-a")</f>
        <v>UA-2024-05-27-011689-a</v>
      </c>
      <c r="Q575" s="235">
        <v>26.605779999999999</v>
      </c>
      <c r="R575" s="235">
        <v>2</v>
      </c>
      <c r="S575" s="235">
        <v>53.211559999999999</v>
      </c>
      <c r="T575" s="236">
        <v>45439</v>
      </c>
      <c r="U575" s="130"/>
      <c r="V575" s="235" t="s">
        <v>59</v>
      </c>
    </row>
    <row r="576" spans="1:22" ht="62.4" x14ac:dyDescent="0.3">
      <c r="A576" s="130">
        <v>570</v>
      </c>
      <c r="B576" s="43" t="s">
        <v>40</v>
      </c>
      <c r="C576" s="44" t="s">
        <v>541</v>
      </c>
      <c r="D576" s="130"/>
      <c r="E576" s="235" t="s">
        <v>75</v>
      </c>
      <c r="F576" s="44" t="s">
        <v>1227</v>
      </c>
      <c r="G576" s="130" t="s">
        <v>184</v>
      </c>
      <c r="H576" s="590">
        <v>96.3</v>
      </c>
      <c r="I576" s="130">
        <v>1</v>
      </c>
      <c r="J576" s="590">
        <v>96.3</v>
      </c>
      <c r="K576" s="590">
        <v>96.3</v>
      </c>
      <c r="L576" s="235">
        <v>1</v>
      </c>
      <c r="M576" s="590">
        <v>96.3</v>
      </c>
      <c r="N576" s="6" t="s">
        <v>1235</v>
      </c>
      <c r="O576" s="236">
        <v>45439</v>
      </c>
      <c r="P576" s="33" t="str">
        <f>HYPERLINK("https://my.zakupivli.pro/remote/dispatcher/state_purchase_view/51253027", "UA-2024-05-27-006967-a")</f>
        <v>UA-2024-05-27-006967-a</v>
      </c>
      <c r="Q576" s="117">
        <v>96.3</v>
      </c>
      <c r="R576" s="235">
        <v>1</v>
      </c>
      <c r="S576" s="117">
        <v>96.3</v>
      </c>
      <c r="T576" s="236">
        <v>45439</v>
      </c>
      <c r="U576" s="130"/>
      <c r="V576" s="235" t="s">
        <v>59</v>
      </c>
    </row>
    <row r="577" spans="1:22" ht="62.4" x14ac:dyDescent="0.3">
      <c r="A577" s="130">
        <v>571</v>
      </c>
      <c r="B577" s="43" t="s">
        <v>40</v>
      </c>
      <c r="C577" s="44" t="s">
        <v>41</v>
      </c>
      <c r="D577" s="130"/>
      <c r="E577" s="235" t="s">
        <v>20</v>
      </c>
      <c r="F577" s="44" t="s">
        <v>1228</v>
      </c>
      <c r="G577" s="235" t="s">
        <v>184</v>
      </c>
      <c r="H577" s="590">
        <v>53.577910000000003</v>
      </c>
      <c r="I577" s="130">
        <v>1</v>
      </c>
      <c r="J577" s="590">
        <v>53.577910000000003</v>
      </c>
      <c r="K577" s="590">
        <v>53.577910000000003</v>
      </c>
      <c r="L577" s="235">
        <v>1</v>
      </c>
      <c r="M577" s="590">
        <v>53.577910000000003</v>
      </c>
      <c r="N577" s="6" t="s">
        <v>1236</v>
      </c>
      <c r="O577" s="236">
        <v>45439</v>
      </c>
      <c r="P577" s="33" t="str">
        <f>HYPERLINK("https://my.zakupivli.pro/remote/dispatcher/state_purchase_view/51251693", "UA-2024-05-27-006416-a")</f>
        <v>UA-2024-05-27-006416-a</v>
      </c>
      <c r="Q577" s="235">
        <v>53.577910000000003</v>
      </c>
      <c r="R577" s="235">
        <v>1</v>
      </c>
      <c r="S577" s="235">
        <v>53.577910000000003</v>
      </c>
      <c r="T577" s="236">
        <v>45439</v>
      </c>
      <c r="U577" s="130"/>
      <c r="V577" s="235" t="s">
        <v>59</v>
      </c>
    </row>
    <row r="578" spans="1:22" ht="78" x14ac:dyDescent="0.3">
      <c r="A578" s="130">
        <v>572</v>
      </c>
      <c r="B578" s="43" t="s">
        <v>40</v>
      </c>
      <c r="C578" s="44" t="s">
        <v>41</v>
      </c>
      <c r="D578" s="130"/>
      <c r="E578" s="449" t="s">
        <v>20</v>
      </c>
      <c r="F578" s="44" t="s">
        <v>1229</v>
      </c>
      <c r="G578" s="235" t="s">
        <v>184</v>
      </c>
      <c r="H578" s="590">
        <v>43.984520000000003</v>
      </c>
      <c r="I578" s="130">
        <v>1</v>
      </c>
      <c r="J578" s="590">
        <v>43.984520000000003</v>
      </c>
      <c r="K578" s="590">
        <v>43.984520000000003</v>
      </c>
      <c r="L578" s="235">
        <v>1</v>
      </c>
      <c r="M578" s="590">
        <v>43.984520000000003</v>
      </c>
      <c r="N578" s="6" t="s">
        <v>1237</v>
      </c>
      <c r="O578" s="236">
        <v>45439</v>
      </c>
      <c r="P578" s="33" t="str">
        <f>HYPERLINK("https://my.zakupivli.pro/remote/dispatcher/state_purchase_view/51251419", "UA-2024-05-27-006318-a")</f>
        <v>UA-2024-05-27-006318-a</v>
      </c>
      <c r="Q578" s="235">
        <v>43.984520000000003</v>
      </c>
      <c r="R578" s="235">
        <v>1</v>
      </c>
      <c r="S578" s="235">
        <v>43.984520000000003</v>
      </c>
      <c r="T578" s="236">
        <v>45439</v>
      </c>
      <c r="U578" s="130"/>
      <c r="V578" s="235" t="s">
        <v>59</v>
      </c>
    </row>
    <row r="579" spans="1:22" ht="62.4" x14ac:dyDescent="0.3">
      <c r="A579" s="130">
        <v>573</v>
      </c>
      <c r="B579" s="43" t="s">
        <v>40</v>
      </c>
      <c r="C579" s="44" t="s">
        <v>884</v>
      </c>
      <c r="D579" s="130"/>
      <c r="E579" s="449" t="s">
        <v>20</v>
      </c>
      <c r="F579" s="44" t="s">
        <v>1230</v>
      </c>
      <c r="G579" s="235" t="s">
        <v>184</v>
      </c>
      <c r="H579" s="590">
        <v>339.82227</v>
      </c>
      <c r="I579" s="130">
        <v>1</v>
      </c>
      <c r="J579" s="590">
        <v>339.82227</v>
      </c>
      <c r="K579" s="590">
        <v>339.82227</v>
      </c>
      <c r="L579" s="235">
        <v>1</v>
      </c>
      <c r="M579" s="590">
        <v>339.82227</v>
      </c>
      <c r="N579" s="6" t="s">
        <v>1238</v>
      </c>
      <c r="O579" s="236">
        <v>45439</v>
      </c>
      <c r="P579" s="33" t="str">
        <f>HYPERLINK("https://my.zakupivli.pro/remote/dispatcher/state_purchase_view/51251184", "UA-2024-05-27-006168-a")</f>
        <v>UA-2024-05-27-006168-a</v>
      </c>
      <c r="Q579" s="235">
        <v>339.82227</v>
      </c>
      <c r="R579" s="235">
        <v>1</v>
      </c>
      <c r="S579" s="235">
        <v>339.82227</v>
      </c>
      <c r="T579" s="236">
        <v>45439</v>
      </c>
      <c r="U579" s="130"/>
      <c r="V579" s="235" t="s">
        <v>59</v>
      </c>
    </row>
    <row r="580" spans="1:22" ht="62.4" x14ac:dyDescent="0.3">
      <c r="A580" s="130">
        <v>574</v>
      </c>
      <c r="B580" s="43" t="s">
        <v>40</v>
      </c>
      <c r="C580" s="44" t="s">
        <v>41</v>
      </c>
      <c r="D580" s="130"/>
      <c r="E580" s="449" t="s">
        <v>20</v>
      </c>
      <c r="F580" s="44" t="s">
        <v>1231</v>
      </c>
      <c r="G580" s="235" t="s">
        <v>184</v>
      </c>
      <c r="H580" s="590">
        <v>524.04791</v>
      </c>
      <c r="I580" s="130">
        <v>1</v>
      </c>
      <c r="J580" s="590">
        <v>524.04791</v>
      </c>
      <c r="K580" s="590">
        <v>524.04791</v>
      </c>
      <c r="L580" s="235">
        <v>1</v>
      </c>
      <c r="M580" s="590">
        <v>524.04791</v>
      </c>
      <c r="N580" s="6" t="s">
        <v>1239</v>
      </c>
      <c r="O580" s="236">
        <v>45439</v>
      </c>
      <c r="P580" s="33" t="str">
        <f>HYPERLINK("https://my.zakupivli.pro/remote/dispatcher/state_purchase_view/51251183", "UA-2024-05-27-006163-a")</f>
        <v>UA-2024-05-27-006163-a</v>
      </c>
      <c r="Q580" s="235">
        <v>524.04791</v>
      </c>
      <c r="R580" s="235">
        <v>1</v>
      </c>
      <c r="S580" s="235">
        <v>524.04791</v>
      </c>
      <c r="T580" s="236">
        <v>45439</v>
      </c>
      <c r="U580" s="130"/>
      <c r="V580" s="235" t="s">
        <v>59</v>
      </c>
    </row>
    <row r="581" spans="1:22" ht="109.2" x14ac:dyDescent="0.3">
      <c r="A581" s="130">
        <v>575</v>
      </c>
      <c r="B581" s="43" t="s">
        <v>40</v>
      </c>
      <c r="C581" s="44" t="s">
        <v>1233</v>
      </c>
      <c r="D581" s="130"/>
      <c r="E581" s="449" t="s">
        <v>20</v>
      </c>
      <c r="F581" s="44" t="s">
        <v>1232</v>
      </c>
      <c r="G581" s="235" t="s">
        <v>184</v>
      </c>
      <c r="H581" s="590">
        <v>365.49365</v>
      </c>
      <c r="I581" s="130">
        <v>1</v>
      </c>
      <c r="J581" s="590">
        <v>365.49365</v>
      </c>
      <c r="K581" s="590">
        <v>365.49365</v>
      </c>
      <c r="L581" s="235">
        <v>1</v>
      </c>
      <c r="M581" s="590">
        <v>365.49365</v>
      </c>
      <c r="N581" s="6" t="s">
        <v>1240</v>
      </c>
      <c r="O581" s="236">
        <v>45439</v>
      </c>
      <c r="P581" s="33" t="str">
        <f>HYPERLINK("https://my.zakupivli.pro/remote/dispatcher/state_purchase_view/51250880", "UA-2024-05-27-006049-a")</f>
        <v>UA-2024-05-27-006049-a</v>
      </c>
      <c r="Q581" s="235">
        <v>365.49365</v>
      </c>
      <c r="R581" s="235">
        <v>1</v>
      </c>
      <c r="S581" s="235">
        <v>365.49365</v>
      </c>
      <c r="T581" s="236">
        <v>45439</v>
      </c>
      <c r="U581" s="130"/>
      <c r="V581" s="235" t="s">
        <v>59</v>
      </c>
    </row>
    <row r="582" spans="1:22" ht="62.4" x14ac:dyDescent="0.3">
      <c r="A582" s="130">
        <v>576</v>
      </c>
      <c r="B582" s="43" t="s">
        <v>40</v>
      </c>
      <c r="C582" s="44" t="s">
        <v>73</v>
      </c>
      <c r="D582" s="130"/>
      <c r="E582" s="238" t="s">
        <v>75</v>
      </c>
      <c r="F582" s="44" t="s">
        <v>1241</v>
      </c>
      <c r="G582" s="238" t="s">
        <v>184</v>
      </c>
      <c r="H582" s="590">
        <v>316.29005000000001</v>
      </c>
      <c r="I582" s="130">
        <v>1</v>
      </c>
      <c r="J582" s="590">
        <v>316.29005000000001</v>
      </c>
      <c r="K582" s="590">
        <v>316.29005000000001</v>
      </c>
      <c r="L582" s="238">
        <v>1</v>
      </c>
      <c r="M582" s="590">
        <v>316.29005000000001</v>
      </c>
      <c r="N582" s="6" t="s">
        <v>1243</v>
      </c>
      <c r="O582" s="131">
        <v>45442</v>
      </c>
      <c r="P582" s="120" t="str">
        <f>HYPERLINK("https://my.zakupivli.pro/remote/dispatcher/state_purchase_view/51322354", "UA-2024-05-30-000099-a")</f>
        <v>UA-2024-05-30-000099-a</v>
      </c>
      <c r="Q582" s="238">
        <v>316.29005000000001</v>
      </c>
      <c r="R582" s="238">
        <v>1</v>
      </c>
      <c r="S582" s="238">
        <v>316.29005000000001</v>
      </c>
      <c r="T582" s="131">
        <v>45414</v>
      </c>
      <c r="U582" s="130"/>
      <c r="V582" s="238" t="s">
        <v>59</v>
      </c>
    </row>
    <row r="583" spans="1:22" ht="62.4" x14ac:dyDescent="0.3">
      <c r="A583" s="130">
        <v>577</v>
      </c>
      <c r="B583" s="43" t="s">
        <v>40</v>
      </c>
      <c r="C583" s="44" t="s">
        <v>73</v>
      </c>
      <c r="D583" s="130"/>
      <c r="E583" s="238" t="s">
        <v>75</v>
      </c>
      <c r="F583" s="44" t="s">
        <v>1242</v>
      </c>
      <c r="G583" s="238" t="s">
        <v>184</v>
      </c>
      <c r="H583" s="590">
        <v>368.45200999999997</v>
      </c>
      <c r="I583" s="130">
        <v>1</v>
      </c>
      <c r="J583" s="590">
        <v>368.45200999999997</v>
      </c>
      <c r="K583" s="590">
        <v>368.45200999999997</v>
      </c>
      <c r="L583" s="238">
        <v>1</v>
      </c>
      <c r="M583" s="590">
        <v>368.45200999999997</v>
      </c>
      <c r="N583" s="6" t="s">
        <v>1244</v>
      </c>
      <c r="O583" s="131">
        <v>45442</v>
      </c>
      <c r="P583" s="120" t="str">
        <f>HYPERLINK("https://my.zakupivli.pro/remote/dispatcher/state_purchase_view/51322404", "UA-2024-05-30-000116-a")</f>
        <v>UA-2024-05-30-000116-a</v>
      </c>
      <c r="Q583" s="238">
        <v>368.45200999999997</v>
      </c>
      <c r="R583" s="238">
        <v>1</v>
      </c>
      <c r="S583" s="238">
        <v>368.45200999999997</v>
      </c>
      <c r="T583" s="131">
        <v>45441</v>
      </c>
      <c r="U583" s="130"/>
      <c r="V583" s="238" t="s">
        <v>59</v>
      </c>
    </row>
    <row r="584" spans="1:22" ht="62.4" x14ac:dyDescent="0.3">
      <c r="A584" s="130">
        <v>578</v>
      </c>
      <c r="B584" s="43" t="s">
        <v>21</v>
      </c>
      <c r="C584" s="44" t="s">
        <v>1247</v>
      </c>
      <c r="D584" s="130"/>
      <c r="E584" s="240" t="s">
        <v>75</v>
      </c>
      <c r="F584" s="44" t="s">
        <v>1245</v>
      </c>
      <c r="G584" s="130" t="s">
        <v>186</v>
      </c>
      <c r="H584" s="590"/>
      <c r="I584" s="130">
        <v>4</v>
      </c>
      <c r="J584" s="590">
        <v>48.400799999999997</v>
      </c>
      <c r="K584" s="590"/>
      <c r="L584" s="240">
        <v>4</v>
      </c>
      <c r="M584" s="590">
        <v>48.400799999999997</v>
      </c>
      <c r="N584" s="6" t="s">
        <v>1249</v>
      </c>
      <c r="O584" s="131">
        <v>45443</v>
      </c>
      <c r="P584" s="33" t="str">
        <f>HYPERLINK("https://my.zakupivli.pro/remote/dispatcher/state_purchase_view/51354614", "UA-2024-05-31-003514-a")</f>
        <v>UA-2024-05-31-003514-a</v>
      </c>
      <c r="Q584" s="130"/>
      <c r="R584" s="240">
        <v>4</v>
      </c>
      <c r="S584" s="240">
        <v>48.400799999999997</v>
      </c>
      <c r="T584" s="239">
        <v>45443</v>
      </c>
      <c r="U584" s="130"/>
      <c r="V584" s="240" t="s">
        <v>59</v>
      </c>
    </row>
    <row r="585" spans="1:22" ht="62.4" x14ac:dyDescent="0.3">
      <c r="A585" s="130">
        <v>579</v>
      </c>
      <c r="B585" s="43" t="s">
        <v>40</v>
      </c>
      <c r="C585" s="44" t="s">
        <v>1248</v>
      </c>
      <c r="D585" s="130"/>
      <c r="E585" s="240" t="s">
        <v>75</v>
      </c>
      <c r="F585" s="44" t="s">
        <v>1246</v>
      </c>
      <c r="G585" s="240" t="s">
        <v>184</v>
      </c>
      <c r="H585" s="590">
        <v>287.89965999999998</v>
      </c>
      <c r="I585" s="130">
        <v>1</v>
      </c>
      <c r="J585" s="590">
        <v>287.89965999999998</v>
      </c>
      <c r="K585" s="590">
        <v>287.89965999999998</v>
      </c>
      <c r="L585" s="240">
        <v>1</v>
      </c>
      <c r="M585" s="590">
        <v>287.89965999999998</v>
      </c>
      <c r="N585" s="6" t="s">
        <v>1250</v>
      </c>
      <c r="O585" s="239">
        <v>45443</v>
      </c>
      <c r="P585" s="33" t="str">
        <f>HYPERLINK("https://my.zakupivli.pro/remote/dispatcher/state_purchase_view/51362144", "UA-2024-05-31-006948-a")</f>
        <v>UA-2024-05-31-006948-a</v>
      </c>
      <c r="Q585" s="240">
        <v>287.89965999999998</v>
      </c>
      <c r="R585" s="240">
        <v>1</v>
      </c>
      <c r="S585" s="240">
        <v>287.89965999999998</v>
      </c>
      <c r="T585" s="239">
        <v>45443</v>
      </c>
      <c r="U585" s="130"/>
      <c r="V585" s="240" t="s">
        <v>59</v>
      </c>
    </row>
    <row r="586" spans="1:22" ht="62.4" x14ac:dyDescent="0.3">
      <c r="A586" s="130">
        <v>580</v>
      </c>
      <c r="B586" s="43" t="s">
        <v>40</v>
      </c>
      <c r="C586" s="44" t="s">
        <v>73</v>
      </c>
      <c r="D586" s="130"/>
      <c r="E586" s="241" t="s">
        <v>75</v>
      </c>
      <c r="F586" s="44" t="s">
        <v>1251</v>
      </c>
      <c r="G586" s="241" t="s">
        <v>184</v>
      </c>
      <c r="H586" s="590">
        <v>79.86</v>
      </c>
      <c r="I586" s="130">
        <v>1</v>
      </c>
      <c r="J586" s="590">
        <v>79.86</v>
      </c>
      <c r="K586" s="590">
        <v>79.86</v>
      </c>
      <c r="L586" s="241">
        <v>1</v>
      </c>
      <c r="M586" s="590">
        <v>79.86</v>
      </c>
      <c r="N586" s="6" t="s">
        <v>1252</v>
      </c>
      <c r="O586" s="131">
        <v>45447</v>
      </c>
      <c r="P586" s="33" t="str">
        <f>HYPERLINK("https://my.zakupivli.pro/remote/dispatcher/state_purchase_view/51397532", "UA-2024-06-04-001790-a")</f>
        <v>UA-2024-06-04-001790-a</v>
      </c>
      <c r="Q586" s="117">
        <v>79.86</v>
      </c>
      <c r="R586" s="241">
        <v>1</v>
      </c>
      <c r="S586" s="117">
        <v>79.86</v>
      </c>
      <c r="T586" s="131">
        <v>45404</v>
      </c>
      <c r="U586" s="130"/>
      <c r="V586" s="241" t="s">
        <v>59</v>
      </c>
    </row>
    <row r="587" spans="1:22" ht="62.4" x14ac:dyDescent="0.3">
      <c r="A587" s="130">
        <v>581</v>
      </c>
      <c r="B587" s="43" t="s">
        <v>21</v>
      </c>
      <c r="C587" s="44" t="s">
        <v>175</v>
      </c>
      <c r="D587" s="130"/>
      <c r="E587" s="242" t="s">
        <v>75</v>
      </c>
      <c r="F587" s="223" t="s">
        <v>1253</v>
      </c>
      <c r="G587" s="130" t="s">
        <v>186</v>
      </c>
      <c r="H587" s="590"/>
      <c r="I587" s="130">
        <v>3</v>
      </c>
      <c r="J587" s="590">
        <v>52</v>
      </c>
      <c r="K587" s="590"/>
      <c r="L587" s="242">
        <v>3</v>
      </c>
      <c r="M587" s="590">
        <v>52</v>
      </c>
      <c r="N587" s="6" t="s">
        <v>1254</v>
      </c>
      <c r="O587" s="131">
        <v>45449</v>
      </c>
      <c r="P587" s="33" t="str">
        <f>HYPERLINK("https://my.zakupivli.pro/remote/dispatcher/state_purchase_view/51454131", "UA-2024-06-06-001299-a")</f>
        <v>UA-2024-06-06-001299-a</v>
      </c>
      <c r="Q587" s="130"/>
      <c r="R587" s="242">
        <v>3</v>
      </c>
      <c r="S587" s="117">
        <v>52</v>
      </c>
      <c r="T587" s="131">
        <v>45449</v>
      </c>
      <c r="U587" s="130"/>
      <c r="V587" s="242" t="s">
        <v>59</v>
      </c>
    </row>
    <row r="588" spans="1:22" ht="62.4" x14ac:dyDescent="0.3">
      <c r="A588" s="130">
        <v>582</v>
      </c>
      <c r="B588" s="43" t="s">
        <v>21</v>
      </c>
      <c r="C588" s="44" t="s">
        <v>412</v>
      </c>
      <c r="D588" s="130"/>
      <c r="E588" s="243" t="s">
        <v>75</v>
      </c>
      <c r="F588" s="223" t="s">
        <v>1255</v>
      </c>
      <c r="G588" s="130" t="s">
        <v>186</v>
      </c>
      <c r="H588" s="590"/>
      <c r="I588" s="130">
        <v>2</v>
      </c>
      <c r="J588" s="590">
        <v>82</v>
      </c>
      <c r="K588" s="590"/>
      <c r="L588" s="243">
        <v>2</v>
      </c>
      <c r="M588" s="590">
        <v>82</v>
      </c>
      <c r="N588" s="6" t="s">
        <v>1257</v>
      </c>
      <c r="O588" s="131">
        <v>45453</v>
      </c>
      <c r="P588" s="33" t="str">
        <f>HYPERLINK("https://my.zakupivli.pro/remote/dispatcher/state_purchase_view/51515216", "UA-2024-06-10-003519-a")</f>
        <v>UA-2024-06-10-003519-a</v>
      </c>
      <c r="Q588" s="130"/>
      <c r="R588" s="243">
        <v>2</v>
      </c>
      <c r="S588" s="117">
        <v>82</v>
      </c>
      <c r="T588" s="244">
        <v>45453</v>
      </c>
      <c r="U588" s="130"/>
      <c r="V588" s="243" t="s">
        <v>59</v>
      </c>
    </row>
    <row r="589" spans="1:22" ht="62.4" x14ac:dyDescent="0.3">
      <c r="A589" s="130">
        <v>583</v>
      </c>
      <c r="B589" s="43" t="s">
        <v>21</v>
      </c>
      <c r="C589" s="44" t="s">
        <v>30</v>
      </c>
      <c r="D589" s="130"/>
      <c r="E589" s="243" t="s">
        <v>75</v>
      </c>
      <c r="F589" s="223" t="s">
        <v>1256</v>
      </c>
      <c r="G589" s="130" t="s">
        <v>185</v>
      </c>
      <c r="H589" s="590"/>
      <c r="I589" s="130">
        <v>3</v>
      </c>
      <c r="J589" s="590">
        <v>76.95</v>
      </c>
      <c r="K589" s="590"/>
      <c r="L589" s="243">
        <v>3</v>
      </c>
      <c r="M589" s="590">
        <v>76.95</v>
      </c>
      <c r="N589" s="6" t="s">
        <v>1258</v>
      </c>
      <c r="O589" s="244">
        <v>45453</v>
      </c>
      <c r="P589" s="33" t="str">
        <f>HYPERLINK("https://my.zakupivli.pro/remote/dispatcher/state_purchase_view/51515365", "UA-2024-06-10-003597-a")</f>
        <v>UA-2024-06-10-003597-a</v>
      </c>
      <c r="Q589" s="130"/>
      <c r="R589" s="243">
        <v>3</v>
      </c>
      <c r="S589" s="117">
        <v>76.95</v>
      </c>
      <c r="T589" s="244">
        <v>45453</v>
      </c>
      <c r="U589" s="130"/>
      <c r="V589" s="243" t="s">
        <v>59</v>
      </c>
    </row>
    <row r="590" spans="1:22" ht="62.4" x14ac:dyDescent="0.3">
      <c r="A590" s="130">
        <v>584</v>
      </c>
      <c r="B590" s="43" t="s">
        <v>21</v>
      </c>
      <c r="C590" s="44" t="s">
        <v>173</v>
      </c>
      <c r="D590" s="130"/>
      <c r="E590" s="245" t="s">
        <v>75</v>
      </c>
      <c r="F590" s="223" t="s">
        <v>1259</v>
      </c>
      <c r="G590" s="130" t="s">
        <v>185</v>
      </c>
      <c r="H590" s="590"/>
      <c r="I590" s="130">
        <v>38</v>
      </c>
      <c r="J590" s="590">
        <v>78.09</v>
      </c>
      <c r="K590" s="590"/>
      <c r="L590" s="245">
        <v>38</v>
      </c>
      <c r="M590" s="590">
        <v>78.09</v>
      </c>
      <c r="N590" s="6" t="s">
        <v>1260</v>
      </c>
      <c r="O590" s="131">
        <v>45454</v>
      </c>
      <c r="P590" s="33" t="str">
        <f>HYPERLINK("https://my.zakupivli.pro/remote/dispatcher/state_purchase_view/51547469", "UA-2024-06-11-004453-a")</f>
        <v>UA-2024-06-11-004453-a</v>
      </c>
      <c r="Q590" s="130"/>
      <c r="R590" s="245">
        <v>38</v>
      </c>
      <c r="S590" s="117">
        <v>78.09</v>
      </c>
      <c r="T590" s="131">
        <v>45454</v>
      </c>
      <c r="U590" s="130"/>
      <c r="V590" s="245" t="s">
        <v>59</v>
      </c>
    </row>
    <row r="591" spans="1:22" ht="62.4" x14ac:dyDescent="0.3">
      <c r="A591" s="130">
        <v>585</v>
      </c>
      <c r="B591" s="451" t="s">
        <v>40</v>
      </c>
      <c r="C591" s="452" t="s">
        <v>884</v>
      </c>
      <c r="D591" s="446"/>
      <c r="E591" s="446" t="s">
        <v>20</v>
      </c>
      <c r="F591" s="452" t="s">
        <v>1261</v>
      </c>
      <c r="G591" s="247" t="s">
        <v>184</v>
      </c>
      <c r="H591" s="590">
        <v>259.27109999999999</v>
      </c>
      <c r="I591" s="130">
        <v>1</v>
      </c>
      <c r="J591" s="590">
        <v>259.27109999999999</v>
      </c>
      <c r="K591" s="590">
        <v>259.27109999999999</v>
      </c>
      <c r="L591" s="247">
        <v>1</v>
      </c>
      <c r="M591" s="590">
        <v>259.27109999999999</v>
      </c>
      <c r="N591" s="6" t="s">
        <v>1262</v>
      </c>
      <c r="O591" s="131">
        <v>45456</v>
      </c>
      <c r="P591" s="33" t="str">
        <f>HYPERLINK("https://my.zakupivli.pro/remote/dispatcher/state_purchase_view/51611381", "UA-2024-06-13-006939-a")</f>
        <v>UA-2024-06-13-006939-a</v>
      </c>
      <c r="Q591" s="247">
        <v>259.27109999999999</v>
      </c>
      <c r="R591" s="247">
        <v>1</v>
      </c>
      <c r="S591" s="247">
        <v>259.27109999999999</v>
      </c>
      <c r="T591" s="131">
        <v>45456</v>
      </c>
      <c r="U591" s="130"/>
      <c r="V591" s="247" t="s">
        <v>59</v>
      </c>
    </row>
    <row r="592" spans="1:22" ht="62.4" x14ac:dyDescent="0.3">
      <c r="A592" s="130">
        <v>586</v>
      </c>
      <c r="B592" s="43" t="s">
        <v>40</v>
      </c>
      <c r="C592" s="44" t="s">
        <v>41</v>
      </c>
      <c r="D592" s="130"/>
      <c r="E592" s="247" t="s">
        <v>75</v>
      </c>
      <c r="F592" s="44" t="s">
        <v>1263</v>
      </c>
      <c r="G592" s="247" t="s">
        <v>184</v>
      </c>
      <c r="H592" s="590">
        <v>72129.73</v>
      </c>
      <c r="I592" s="130">
        <v>1</v>
      </c>
      <c r="J592" s="590">
        <v>72129.73</v>
      </c>
      <c r="K592" s="590">
        <v>72129.73</v>
      </c>
      <c r="L592" s="247">
        <v>1</v>
      </c>
      <c r="M592" s="590">
        <v>72129.73</v>
      </c>
      <c r="N592" s="6" t="s">
        <v>1264</v>
      </c>
      <c r="O592" s="246">
        <v>45456</v>
      </c>
      <c r="P592" s="33" t="str">
        <f>HYPERLINK("https://my.zakupivli.pro/remote/dispatcher/state_purchase_view/51621292", "UA-2024-06-13-011394-a")</f>
        <v>UA-2024-06-13-011394-a</v>
      </c>
      <c r="Q592" s="247">
        <v>72129.73</v>
      </c>
      <c r="R592" s="247">
        <v>1</v>
      </c>
      <c r="S592" s="247">
        <v>72129.73</v>
      </c>
      <c r="T592" s="246">
        <v>45456</v>
      </c>
      <c r="U592" s="130"/>
      <c r="V592" s="247" t="s">
        <v>59</v>
      </c>
    </row>
    <row r="593" spans="1:22" ht="140.4" x14ac:dyDescent="0.3">
      <c r="A593" s="130">
        <v>587</v>
      </c>
      <c r="B593" s="43" t="s">
        <v>40</v>
      </c>
      <c r="C593" s="44" t="s">
        <v>41</v>
      </c>
      <c r="D593" s="248" t="s">
        <v>58</v>
      </c>
      <c r="E593" s="449" t="s">
        <v>20</v>
      </c>
      <c r="F593" s="44" t="s">
        <v>1265</v>
      </c>
      <c r="G593" s="248" t="s">
        <v>184</v>
      </c>
      <c r="H593" s="590">
        <v>1440</v>
      </c>
      <c r="I593" s="130">
        <v>1</v>
      </c>
      <c r="J593" s="590">
        <v>1440</v>
      </c>
      <c r="K593" s="590">
        <v>1440</v>
      </c>
      <c r="L593" s="248">
        <v>1</v>
      </c>
      <c r="M593" s="590">
        <v>1440</v>
      </c>
      <c r="N593" s="6" t="s">
        <v>1266</v>
      </c>
      <c r="O593" s="131">
        <v>45457</v>
      </c>
      <c r="P593" s="33" t="str">
        <f>HYPERLINK("https://my.zakupivli.pro/remote/dispatcher/state_purchase_view/51625477", "UA-2024-06-14-000434-a")</f>
        <v>UA-2024-06-14-000434-a</v>
      </c>
      <c r="Q593" s="117">
        <v>1368</v>
      </c>
      <c r="R593" s="130">
        <v>1</v>
      </c>
      <c r="S593" s="117">
        <v>1368</v>
      </c>
      <c r="T593" s="131">
        <v>45478</v>
      </c>
      <c r="U593" s="130"/>
      <c r="V593" s="130"/>
    </row>
    <row r="594" spans="1:22" ht="46.8" x14ac:dyDescent="0.3">
      <c r="A594" s="130">
        <v>588</v>
      </c>
      <c r="B594" s="43" t="s">
        <v>21</v>
      </c>
      <c r="C594" s="44" t="s">
        <v>36</v>
      </c>
      <c r="D594" s="249" t="s">
        <v>58</v>
      </c>
      <c r="E594" s="249" t="s">
        <v>75</v>
      </c>
      <c r="F594" s="44" t="s">
        <v>1267</v>
      </c>
      <c r="G594" s="130" t="s">
        <v>185</v>
      </c>
      <c r="H594" s="590"/>
      <c r="I594" s="130">
        <v>15</v>
      </c>
      <c r="J594" s="590">
        <v>1502.2974999999999</v>
      </c>
      <c r="K594" s="590"/>
      <c r="L594" s="249">
        <v>15</v>
      </c>
      <c r="M594" s="590">
        <v>1502.2974999999999</v>
      </c>
      <c r="N594" s="6" t="s">
        <v>1269</v>
      </c>
      <c r="O594" s="131">
        <v>45461</v>
      </c>
      <c r="P594" s="33" t="str">
        <f>HYPERLINK("https://my.zakupivli.pro/remote/dispatcher/state_purchase_view/51698131", "UA-2024-06-18-008358-a")</f>
        <v>UA-2024-06-18-008358-a</v>
      </c>
      <c r="Q594" s="130"/>
      <c r="R594" s="130">
        <v>15</v>
      </c>
      <c r="S594" s="130">
        <v>1495.6724999999999</v>
      </c>
      <c r="T594" s="131">
        <v>45476</v>
      </c>
      <c r="U594" s="130"/>
      <c r="V594" s="130"/>
    </row>
    <row r="595" spans="1:22" ht="109.2" x14ac:dyDescent="0.3">
      <c r="A595" s="130">
        <v>589</v>
      </c>
      <c r="B595" s="43" t="s">
        <v>21</v>
      </c>
      <c r="C595" s="44" t="s">
        <v>174</v>
      </c>
      <c r="D595" s="249" t="s">
        <v>58</v>
      </c>
      <c r="E595" s="249" t="s">
        <v>88</v>
      </c>
      <c r="F595" s="44" t="s">
        <v>1268</v>
      </c>
      <c r="G595" s="130" t="s">
        <v>187</v>
      </c>
      <c r="H595" s="590"/>
      <c r="I595" s="130">
        <v>33</v>
      </c>
      <c r="J595" s="590">
        <v>804.54</v>
      </c>
      <c r="K595" s="590"/>
      <c r="L595" s="249">
        <v>33</v>
      </c>
      <c r="M595" s="590">
        <v>804.54</v>
      </c>
      <c r="N595" s="6" t="s">
        <v>1270</v>
      </c>
      <c r="O595" s="250">
        <v>45461</v>
      </c>
      <c r="P595" s="33" t="str">
        <f>HYPERLINK("https://my.zakupivli.pro/remote/dispatcher/state_purchase_view/51701959", "UA-2024-06-18-010109-a")</f>
        <v>UA-2024-06-18-010109-a</v>
      </c>
      <c r="Q595" s="117">
        <v>686.4</v>
      </c>
      <c r="R595" s="130">
        <v>33</v>
      </c>
      <c r="S595" s="117">
        <v>686.4</v>
      </c>
      <c r="T595" s="131">
        <v>45495</v>
      </c>
      <c r="U595" s="130"/>
      <c r="V595" s="130"/>
    </row>
    <row r="596" spans="1:22" ht="62.4" x14ac:dyDescent="0.3">
      <c r="A596" s="130">
        <v>590</v>
      </c>
      <c r="B596" s="43" t="s">
        <v>21</v>
      </c>
      <c r="C596" s="44" t="s">
        <v>1143</v>
      </c>
      <c r="D596" s="130"/>
      <c r="E596" s="251" t="s">
        <v>75</v>
      </c>
      <c r="F596" s="44" t="s">
        <v>1141</v>
      </c>
      <c r="G596" s="130" t="s">
        <v>186</v>
      </c>
      <c r="H596" s="590"/>
      <c r="I596" s="130">
        <v>4</v>
      </c>
      <c r="J596" s="590">
        <v>75.792900000000003</v>
      </c>
      <c r="K596" s="590"/>
      <c r="L596" s="251">
        <v>4</v>
      </c>
      <c r="M596" s="590">
        <v>75.792900000000003</v>
      </c>
      <c r="N596" s="6" t="s">
        <v>1271</v>
      </c>
      <c r="O596" s="131">
        <v>45462</v>
      </c>
      <c r="P596" s="120" t="str">
        <f>HYPERLINK("https://my.zakupivli.pro/remote/dispatcher/state_purchase_view/51723896", "UA-2024-06-19-006845-a")</f>
        <v>UA-2024-06-19-006845-a</v>
      </c>
      <c r="Q596" s="130"/>
      <c r="R596" s="251">
        <v>4</v>
      </c>
      <c r="S596" s="251">
        <v>75.792900000000003</v>
      </c>
      <c r="T596" s="131">
        <v>45462</v>
      </c>
      <c r="U596" s="130"/>
      <c r="V596" s="251" t="s">
        <v>59</v>
      </c>
    </row>
    <row r="597" spans="1:22" ht="62.4" x14ac:dyDescent="0.3">
      <c r="A597" s="130">
        <v>591</v>
      </c>
      <c r="B597" s="43" t="s">
        <v>21</v>
      </c>
      <c r="C597" s="44" t="s">
        <v>412</v>
      </c>
      <c r="D597" s="130"/>
      <c r="E597" s="252" t="s">
        <v>75</v>
      </c>
      <c r="F597" s="223" t="s">
        <v>1272</v>
      </c>
      <c r="G597" s="130" t="s">
        <v>185</v>
      </c>
      <c r="H597" s="590">
        <v>8.1999999999999993</v>
      </c>
      <c r="I597" s="130">
        <v>10</v>
      </c>
      <c r="J597" s="590">
        <v>82</v>
      </c>
      <c r="K597" s="590">
        <v>8.1999999999999993</v>
      </c>
      <c r="L597" s="252">
        <v>10</v>
      </c>
      <c r="M597" s="590">
        <v>82</v>
      </c>
      <c r="N597" s="6" t="s">
        <v>1274</v>
      </c>
      <c r="O597" s="131">
        <v>45463</v>
      </c>
      <c r="P597" s="33" t="str">
        <f>HYPERLINK("https://my.zakupivli.pro/remote/dispatcher/state_purchase_view/51759699", "UA-2024-06-20-010267-a")</f>
        <v>UA-2024-06-20-010267-a</v>
      </c>
      <c r="Q597" s="117">
        <v>8.1999999999999993</v>
      </c>
      <c r="R597" s="252">
        <v>10</v>
      </c>
      <c r="S597" s="117">
        <v>82</v>
      </c>
      <c r="T597" s="253">
        <v>45463</v>
      </c>
      <c r="U597" s="130"/>
      <c r="V597" s="252" t="s">
        <v>59</v>
      </c>
    </row>
    <row r="598" spans="1:22" ht="62.4" x14ac:dyDescent="0.3">
      <c r="A598" s="130">
        <v>592</v>
      </c>
      <c r="B598" s="43" t="s">
        <v>21</v>
      </c>
      <c r="C598" s="44" t="s">
        <v>30</v>
      </c>
      <c r="D598" s="130"/>
      <c r="E598" s="252" t="s">
        <v>75</v>
      </c>
      <c r="F598" s="223" t="s">
        <v>908</v>
      </c>
      <c r="G598" s="130" t="s">
        <v>185</v>
      </c>
      <c r="H598" s="590">
        <v>25.65</v>
      </c>
      <c r="I598" s="130">
        <v>3</v>
      </c>
      <c r="J598" s="590">
        <v>76.95</v>
      </c>
      <c r="K598" s="590">
        <v>25.65</v>
      </c>
      <c r="L598" s="252">
        <v>3</v>
      </c>
      <c r="M598" s="590">
        <v>76.95</v>
      </c>
      <c r="N598" s="6" t="s">
        <v>1275</v>
      </c>
      <c r="O598" s="253">
        <v>45463</v>
      </c>
      <c r="P598" s="33" t="str">
        <f>HYPERLINK("https://my.zakupivli.pro/remote/dispatcher/state_purchase_view/51759838", "UA-2024-06-20-010243-a")</f>
        <v>UA-2024-06-20-010243-a</v>
      </c>
      <c r="Q598" s="117">
        <v>25.65</v>
      </c>
      <c r="R598" s="252">
        <v>3</v>
      </c>
      <c r="S598" s="117">
        <v>76.95</v>
      </c>
      <c r="T598" s="253">
        <v>45463</v>
      </c>
      <c r="U598" s="130"/>
      <c r="V598" s="252" t="s">
        <v>59</v>
      </c>
    </row>
    <row r="599" spans="1:22" ht="62.4" x14ac:dyDescent="0.3">
      <c r="A599" s="130">
        <v>593</v>
      </c>
      <c r="B599" s="43" t="s">
        <v>21</v>
      </c>
      <c r="C599" s="44" t="s">
        <v>32</v>
      </c>
      <c r="D599" s="130"/>
      <c r="E599" s="252" t="s">
        <v>75</v>
      </c>
      <c r="F599" s="223" t="s">
        <v>1273</v>
      </c>
      <c r="G599" s="130" t="s">
        <v>185</v>
      </c>
      <c r="H599" s="590">
        <v>59.770699999999998</v>
      </c>
      <c r="I599" s="130">
        <v>1</v>
      </c>
      <c r="J599" s="590">
        <v>59.770699999999998</v>
      </c>
      <c r="K599" s="590">
        <v>59.770699999999998</v>
      </c>
      <c r="L599" s="252">
        <v>1</v>
      </c>
      <c r="M599" s="590">
        <v>59.770699999999998</v>
      </c>
      <c r="N599" s="6" t="s">
        <v>1276</v>
      </c>
      <c r="O599" s="253">
        <v>45463</v>
      </c>
      <c r="P599" s="33" t="str">
        <f>HYPERLINK("https://my.zakupivli.pro/remote/dispatcher/state_purchase_view/51759365", "UA-2024-06-20-010026-a")</f>
        <v>UA-2024-06-20-010026-a</v>
      </c>
      <c r="Q599" s="252">
        <v>59.770699999999998</v>
      </c>
      <c r="R599" s="252">
        <v>1</v>
      </c>
      <c r="S599" s="252">
        <v>59.770699999999998</v>
      </c>
      <c r="T599" s="253">
        <v>45463</v>
      </c>
      <c r="U599" s="130"/>
      <c r="V599" s="252" t="s">
        <v>59</v>
      </c>
    </row>
    <row r="600" spans="1:22" ht="62.4" x14ac:dyDescent="0.3">
      <c r="A600" s="130">
        <v>594</v>
      </c>
      <c r="B600" s="43" t="s">
        <v>40</v>
      </c>
      <c r="C600" s="44" t="s">
        <v>884</v>
      </c>
      <c r="D600" s="130"/>
      <c r="E600" s="255" t="s">
        <v>20</v>
      </c>
      <c r="F600" s="44" t="s">
        <v>1277</v>
      </c>
      <c r="G600" s="130" t="s">
        <v>184</v>
      </c>
      <c r="H600" s="590">
        <v>133.03546</v>
      </c>
      <c r="I600" s="130">
        <v>1</v>
      </c>
      <c r="J600" s="590">
        <v>133.03546</v>
      </c>
      <c r="K600" s="590">
        <v>133.03546</v>
      </c>
      <c r="L600" s="255">
        <v>1</v>
      </c>
      <c r="M600" s="590">
        <v>133.03546</v>
      </c>
      <c r="N600" s="6" t="s">
        <v>1286</v>
      </c>
      <c r="O600" s="131">
        <v>45468</v>
      </c>
      <c r="P600" s="33" t="str">
        <f>HYPERLINK("https://my.zakupivli.pro/remote/dispatcher/state_purchase_view/51822469", "UA-2024-06-25-002869-a")</f>
        <v>UA-2024-06-25-002869-a</v>
      </c>
      <c r="Q600" s="255">
        <v>133.03546</v>
      </c>
      <c r="R600" s="255">
        <v>1</v>
      </c>
      <c r="S600" s="255">
        <v>133.03546</v>
      </c>
      <c r="T600" s="131">
        <v>45467</v>
      </c>
      <c r="U600" s="130"/>
      <c r="V600" s="255" t="s">
        <v>59</v>
      </c>
    </row>
    <row r="601" spans="1:22" ht="62.4" x14ac:dyDescent="0.3">
      <c r="A601" s="130">
        <v>595</v>
      </c>
      <c r="B601" s="43" t="s">
        <v>40</v>
      </c>
      <c r="C601" s="44" t="s">
        <v>884</v>
      </c>
      <c r="D601" s="130"/>
      <c r="E601" s="255" t="s">
        <v>20</v>
      </c>
      <c r="F601" s="44" t="s">
        <v>1278</v>
      </c>
      <c r="G601" s="255" t="s">
        <v>184</v>
      </c>
      <c r="H601" s="590">
        <v>140.55975000000001</v>
      </c>
      <c r="I601" s="130">
        <v>1</v>
      </c>
      <c r="J601" s="590">
        <v>140.55975000000001</v>
      </c>
      <c r="K601" s="590">
        <v>140.55975000000001</v>
      </c>
      <c r="L601" s="255">
        <v>1</v>
      </c>
      <c r="M601" s="590">
        <v>140.55975000000001</v>
      </c>
      <c r="N601" s="6" t="s">
        <v>1287</v>
      </c>
      <c r="O601" s="254">
        <v>45468</v>
      </c>
      <c r="P601" s="33" t="str">
        <f>HYPERLINK("https://my.zakupivli.pro/remote/dispatcher/state_purchase_view/51820402", "UA-2024-06-25-001923-a")</f>
        <v>UA-2024-06-25-001923-a</v>
      </c>
      <c r="Q601" s="255">
        <v>140.55975000000001</v>
      </c>
      <c r="R601" s="255">
        <v>1</v>
      </c>
      <c r="S601" s="255">
        <v>140.55975000000001</v>
      </c>
      <c r="T601" s="254">
        <v>45467</v>
      </c>
      <c r="U601" s="130"/>
      <c r="V601" s="255" t="s">
        <v>59</v>
      </c>
    </row>
    <row r="602" spans="1:22" ht="62.4" x14ac:dyDescent="0.3">
      <c r="A602" s="130">
        <v>596</v>
      </c>
      <c r="B602" s="43" t="s">
        <v>21</v>
      </c>
      <c r="C602" s="44" t="s">
        <v>1285</v>
      </c>
      <c r="D602" s="130"/>
      <c r="E602" s="255" t="s">
        <v>75</v>
      </c>
      <c r="F602" s="44" t="s">
        <v>1279</v>
      </c>
      <c r="G602" s="130" t="s">
        <v>186</v>
      </c>
      <c r="H602" s="590">
        <v>83.239199999999997</v>
      </c>
      <c r="I602" s="130">
        <v>1</v>
      </c>
      <c r="J602" s="590">
        <v>83.239199999999997</v>
      </c>
      <c r="K602" s="590">
        <v>83.239199999999997</v>
      </c>
      <c r="L602" s="255">
        <v>1</v>
      </c>
      <c r="M602" s="590">
        <v>83.239199999999997</v>
      </c>
      <c r="N602" s="6" t="s">
        <v>1288</v>
      </c>
      <c r="O602" s="254">
        <v>45468</v>
      </c>
      <c r="P602" s="33" t="str">
        <f>HYPERLINK("https://my.zakupivli.pro/remote/dispatcher/state_purchase_view/51818650", "UA-2024-06-25-001166-a")</f>
        <v>UA-2024-06-25-001166-a</v>
      </c>
      <c r="Q602" s="255">
        <v>83.239199999999997</v>
      </c>
      <c r="R602" s="255">
        <v>1</v>
      </c>
      <c r="S602" s="255">
        <v>83.239199999999997</v>
      </c>
      <c r="T602" s="254">
        <v>45468</v>
      </c>
      <c r="U602" s="130"/>
      <c r="V602" s="255" t="s">
        <v>59</v>
      </c>
    </row>
    <row r="603" spans="1:22" ht="78" x14ac:dyDescent="0.3">
      <c r="A603" s="130">
        <v>597</v>
      </c>
      <c r="B603" s="43" t="s">
        <v>40</v>
      </c>
      <c r="C603" s="44" t="s">
        <v>884</v>
      </c>
      <c r="D603" s="130"/>
      <c r="E603" s="255" t="s">
        <v>20</v>
      </c>
      <c r="F603" s="44" t="s">
        <v>1280</v>
      </c>
      <c r="G603" s="255" t="s">
        <v>184</v>
      </c>
      <c r="H603" s="590">
        <v>290.59892000000002</v>
      </c>
      <c r="I603" s="130">
        <v>1</v>
      </c>
      <c r="J603" s="590">
        <v>290.59892000000002</v>
      </c>
      <c r="K603" s="590">
        <v>290.59892000000002</v>
      </c>
      <c r="L603" s="255">
        <v>1</v>
      </c>
      <c r="M603" s="590">
        <v>290.59892000000002</v>
      </c>
      <c r="N603" s="6" t="s">
        <v>1289</v>
      </c>
      <c r="O603" s="254">
        <v>45468</v>
      </c>
      <c r="P603" s="33" t="str">
        <f>HYPERLINK("https://my.zakupivli.pro/remote/dispatcher/state_purchase_view/51817543", "UA-2024-06-25-000716-a")</f>
        <v>UA-2024-06-25-000716-a</v>
      </c>
      <c r="Q603" s="255">
        <v>290.59892000000002</v>
      </c>
      <c r="R603" s="255">
        <v>1</v>
      </c>
      <c r="S603" s="255">
        <v>290.59892000000002</v>
      </c>
      <c r="T603" s="254">
        <v>45467</v>
      </c>
      <c r="U603" s="130"/>
      <c r="V603" s="255" t="s">
        <v>59</v>
      </c>
    </row>
    <row r="604" spans="1:22" ht="78" x14ac:dyDescent="0.3">
      <c r="A604" s="130">
        <v>598</v>
      </c>
      <c r="B604" s="43" t="s">
        <v>40</v>
      </c>
      <c r="C604" s="44" t="s">
        <v>884</v>
      </c>
      <c r="D604" s="130"/>
      <c r="E604" s="255" t="s">
        <v>20</v>
      </c>
      <c r="F604" s="44" t="s">
        <v>1281</v>
      </c>
      <c r="G604" s="255" t="s">
        <v>184</v>
      </c>
      <c r="H604" s="590">
        <v>98.492909999999995</v>
      </c>
      <c r="I604" s="130">
        <v>1</v>
      </c>
      <c r="J604" s="590">
        <v>98.492909999999995</v>
      </c>
      <c r="K604" s="590">
        <v>98.492909999999995</v>
      </c>
      <c r="L604" s="255">
        <v>1</v>
      </c>
      <c r="M604" s="590">
        <v>98.492909999999995</v>
      </c>
      <c r="N604" s="6" t="s">
        <v>1290</v>
      </c>
      <c r="O604" s="254">
        <v>45468</v>
      </c>
      <c r="P604" s="33" t="str">
        <f>HYPERLINK("https://my.zakupivli.pro/remote/dispatcher/state_purchase_view/51817314", "UA-2024-06-25-000624-a")</f>
        <v>UA-2024-06-25-000624-a</v>
      </c>
      <c r="Q604" s="255">
        <v>98.492909999999995</v>
      </c>
      <c r="R604" s="255">
        <v>1</v>
      </c>
      <c r="S604" s="255">
        <v>98.492909999999995</v>
      </c>
      <c r="T604" s="254">
        <v>45467</v>
      </c>
      <c r="U604" s="130"/>
      <c r="V604" s="255" t="s">
        <v>59</v>
      </c>
    </row>
    <row r="605" spans="1:22" ht="78" x14ac:dyDescent="0.3">
      <c r="A605" s="130">
        <v>599</v>
      </c>
      <c r="B605" s="43" t="s">
        <v>40</v>
      </c>
      <c r="C605" s="44" t="s">
        <v>884</v>
      </c>
      <c r="D605" s="130"/>
      <c r="E605" s="255" t="s">
        <v>20</v>
      </c>
      <c r="F605" s="44" t="s">
        <v>1282</v>
      </c>
      <c r="G605" s="255" t="s">
        <v>184</v>
      </c>
      <c r="H605" s="590">
        <v>270.58053000000001</v>
      </c>
      <c r="I605" s="255">
        <v>1</v>
      </c>
      <c r="J605" s="590">
        <v>270.58053000000001</v>
      </c>
      <c r="K605" s="590">
        <v>270.58053000000001</v>
      </c>
      <c r="L605" s="255">
        <v>1</v>
      </c>
      <c r="M605" s="590">
        <v>270.58053000000001</v>
      </c>
      <c r="N605" s="6" t="s">
        <v>1291</v>
      </c>
      <c r="O605" s="254">
        <v>45468</v>
      </c>
      <c r="P605" s="33" t="str">
        <f>HYPERLINK("https://my.zakupivli.pro/remote/dispatcher/state_purchase_view/51817193", "UA-2024-06-25-000567-a")</f>
        <v>UA-2024-06-25-000567-a</v>
      </c>
      <c r="Q605" s="255">
        <v>270.58053000000001</v>
      </c>
      <c r="R605" s="255">
        <v>1</v>
      </c>
      <c r="S605" s="255">
        <v>270.58053000000001</v>
      </c>
      <c r="T605" s="254">
        <v>45467</v>
      </c>
      <c r="U605" s="130"/>
      <c r="V605" s="255" t="s">
        <v>59</v>
      </c>
    </row>
    <row r="606" spans="1:22" ht="62.4" x14ac:dyDescent="0.3">
      <c r="A606" s="130">
        <v>600</v>
      </c>
      <c r="B606" s="43" t="s">
        <v>40</v>
      </c>
      <c r="C606" s="44" t="s">
        <v>41</v>
      </c>
      <c r="D606" s="130"/>
      <c r="E606" s="255" t="s">
        <v>20</v>
      </c>
      <c r="F606" s="44" t="s">
        <v>1283</v>
      </c>
      <c r="G606" s="255" t="s">
        <v>184</v>
      </c>
      <c r="H606" s="590">
        <v>172.96986000000001</v>
      </c>
      <c r="I606" s="255">
        <v>1</v>
      </c>
      <c r="J606" s="590">
        <v>172.96986000000001</v>
      </c>
      <c r="K606" s="590">
        <v>172.96986000000001</v>
      </c>
      <c r="L606" s="255">
        <v>1</v>
      </c>
      <c r="M606" s="590">
        <v>172.96986000000001</v>
      </c>
      <c r="N606" s="6" t="s">
        <v>1292</v>
      </c>
      <c r="O606" s="254">
        <v>45468</v>
      </c>
      <c r="P606" s="33" t="str">
        <f>HYPERLINK("https://my.zakupivli.pro/remote/dispatcher/state_purchase_view/51817090", "UA-2024-06-25-000508-a")</f>
        <v>UA-2024-06-25-000508-a</v>
      </c>
      <c r="Q606" s="255">
        <v>172.96986000000001</v>
      </c>
      <c r="R606" s="255">
        <v>1</v>
      </c>
      <c r="S606" s="255">
        <v>172.96986000000001</v>
      </c>
      <c r="T606" s="254">
        <v>45467</v>
      </c>
      <c r="U606" s="130"/>
      <c r="V606" s="255" t="s">
        <v>59</v>
      </c>
    </row>
    <row r="607" spans="1:22" ht="78" x14ac:dyDescent="0.3">
      <c r="A607" s="130">
        <v>601</v>
      </c>
      <c r="B607" s="43" t="s">
        <v>40</v>
      </c>
      <c r="C607" s="44" t="s">
        <v>884</v>
      </c>
      <c r="D607" s="130"/>
      <c r="E607" s="255" t="s">
        <v>20</v>
      </c>
      <c r="F607" s="44" t="s">
        <v>1284</v>
      </c>
      <c r="G607" s="255" t="s">
        <v>184</v>
      </c>
      <c r="H607" s="590">
        <v>118.16503</v>
      </c>
      <c r="I607" s="255">
        <v>1</v>
      </c>
      <c r="J607" s="590">
        <v>118.16503</v>
      </c>
      <c r="K607" s="590">
        <v>118.16503</v>
      </c>
      <c r="L607" s="255">
        <v>1</v>
      </c>
      <c r="M607" s="590">
        <v>118.16503</v>
      </c>
      <c r="N607" s="6" t="s">
        <v>1293</v>
      </c>
      <c r="O607" s="254">
        <v>45468</v>
      </c>
      <c r="P607" s="33" t="str">
        <f>HYPERLINK("https://my.zakupivli.pro/remote/dispatcher/state_purchase_view/51816944", "UA-2024-06-25-000445-a")</f>
        <v>UA-2024-06-25-000445-a</v>
      </c>
      <c r="Q607" s="255">
        <v>118.16503</v>
      </c>
      <c r="R607" s="255">
        <v>1</v>
      </c>
      <c r="S607" s="255">
        <v>118.16503</v>
      </c>
      <c r="T607" s="254">
        <v>45467</v>
      </c>
      <c r="U607" s="130"/>
      <c r="V607" s="255" t="s">
        <v>59</v>
      </c>
    </row>
    <row r="608" spans="1:22" ht="62.4" x14ac:dyDescent="0.3">
      <c r="A608" s="130">
        <v>602</v>
      </c>
      <c r="B608" s="43" t="s">
        <v>40</v>
      </c>
      <c r="C608" s="44" t="s">
        <v>73</v>
      </c>
      <c r="D608" s="130"/>
      <c r="E608" s="256" t="s">
        <v>75</v>
      </c>
      <c r="F608" s="44" t="s">
        <v>1294</v>
      </c>
      <c r="G608" s="256" t="s">
        <v>184</v>
      </c>
      <c r="H608" s="590">
        <v>535.61528999999996</v>
      </c>
      <c r="I608" s="130">
        <v>1</v>
      </c>
      <c r="J608" s="590">
        <v>535.61528999999996</v>
      </c>
      <c r="K608" s="590">
        <v>535.61528999999996</v>
      </c>
      <c r="L608" s="256">
        <v>1</v>
      </c>
      <c r="M608" s="590">
        <v>535.61528999999996</v>
      </c>
      <c r="N608" s="6" t="s">
        <v>1295</v>
      </c>
      <c r="O608" s="131">
        <v>45469</v>
      </c>
      <c r="P608" s="33" t="str">
        <f>HYPERLINK("https://my.zakupivli.pro/remote/dispatcher/state_purchase_view/51864709", "UA-2024-06-26-010363-a")</f>
        <v>UA-2024-06-26-010363-a</v>
      </c>
      <c r="Q608" s="256">
        <v>535.61528999999996</v>
      </c>
      <c r="R608" s="256">
        <v>1</v>
      </c>
      <c r="S608" s="256">
        <v>535.61528999999996</v>
      </c>
      <c r="T608" s="131">
        <v>45469</v>
      </c>
      <c r="U608" s="130"/>
      <c r="V608" s="256" t="s">
        <v>59</v>
      </c>
    </row>
    <row r="609" spans="1:22" ht="62.4" x14ac:dyDescent="0.3">
      <c r="A609" s="130">
        <v>603</v>
      </c>
      <c r="B609" s="43" t="s">
        <v>21</v>
      </c>
      <c r="C609" s="44" t="s">
        <v>412</v>
      </c>
      <c r="D609" s="130"/>
      <c r="E609" s="257" t="s">
        <v>20</v>
      </c>
      <c r="F609" s="223" t="s">
        <v>1296</v>
      </c>
      <c r="G609" s="130" t="s">
        <v>185</v>
      </c>
      <c r="H609" s="590">
        <v>64.333330000000004</v>
      </c>
      <c r="I609" s="130">
        <v>1</v>
      </c>
      <c r="J609" s="590">
        <v>64.333330000000004</v>
      </c>
      <c r="K609" s="590">
        <v>64.333330000000004</v>
      </c>
      <c r="L609" s="257">
        <v>1</v>
      </c>
      <c r="M609" s="590">
        <v>64.333330000000004</v>
      </c>
      <c r="N609" s="6" t="s">
        <v>1297</v>
      </c>
      <c r="O609" s="131">
        <v>45474</v>
      </c>
      <c r="P609" s="33" t="str">
        <f>HYPERLINK("https://my.zakupivli.pro/remote/dispatcher/state_purchase_view/51920404", "UA-2024-07-01-004453-a")</f>
        <v>UA-2024-07-01-004453-a</v>
      </c>
      <c r="Q609" s="257">
        <v>64.333330000000004</v>
      </c>
      <c r="R609" s="257">
        <v>1</v>
      </c>
      <c r="S609" s="257">
        <v>64.333330000000004</v>
      </c>
      <c r="T609" s="131">
        <v>45474</v>
      </c>
      <c r="U609" s="130"/>
      <c r="V609" s="257" t="s">
        <v>59</v>
      </c>
    </row>
    <row r="610" spans="1:22" ht="62.4" x14ac:dyDescent="0.3">
      <c r="A610" s="446">
        <v>604</v>
      </c>
      <c r="B610" s="451" t="s">
        <v>40</v>
      </c>
      <c r="C610" s="452" t="s">
        <v>41</v>
      </c>
      <c r="D610" s="446"/>
      <c r="E610" s="446" t="s">
        <v>20</v>
      </c>
      <c r="F610" s="452" t="s">
        <v>1298</v>
      </c>
      <c r="G610" s="258" t="s">
        <v>184</v>
      </c>
      <c r="H610" s="590">
        <v>675.13612000000001</v>
      </c>
      <c r="I610" s="130">
        <v>1</v>
      </c>
      <c r="J610" s="590">
        <v>675.13612000000001</v>
      </c>
      <c r="K610" s="590">
        <v>675.13612000000001</v>
      </c>
      <c r="L610" s="258">
        <v>1</v>
      </c>
      <c r="M610" s="590">
        <v>675.13612000000001</v>
      </c>
      <c r="N610" s="6" t="s">
        <v>1299</v>
      </c>
      <c r="O610" s="131">
        <v>45475</v>
      </c>
      <c r="P610" s="120" t="str">
        <f>HYPERLINK("https://my.zakupivli.pro/remote/dispatcher/state_purchase_view/51931077", "UA-2024-07-02-000094-a")</f>
        <v>UA-2024-07-02-000094-a</v>
      </c>
      <c r="Q610" s="258">
        <v>675.13612000000001</v>
      </c>
      <c r="R610" s="258">
        <v>1</v>
      </c>
      <c r="S610" s="258">
        <v>675.13612000000001</v>
      </c>
      <c r="T610" s="131">
        <v>45475</v>
      </c>
      <c r="U610" s="130"/>
      <c r="V610" s="258" t="s">
        <v>59</v>
      </c>
    </row>
    <row r="611" spans="1:22" ht="62.4" x14ac:dyDescent="0.3">
      <c r="A611" s="130">
        <v>605</v>
      </c>
      <c r="B611" s="43" t="s">
        <v>21</v>
      </c>
      <c r="C611" s="44" t="s">
        <v>1302</v>
      </c>
      <c r="D611" s="130"/>
      <c r="E611" s="259" t="s">
        <v>75</v>
      </c>
      <c r="F611" s="44" t="s">
        <v>1300</v>
      </c>
      <c r="G611" s="130" t="s">
        <v>185</v>
      </c>
      <c r="H611" s="590">
        <v>71.025000000000006</v>
      </c>
      <c r="I611" s="130">
        <v>1</v>
      </c>
      <c r="J611" s="590">
        <v>71.025000000000006</v>
      </c>
      <c r="K611" s="590">
        <v>71.025000000000006</v>
      </c>
      <c r="L611" s="259">
        <v>1</v>
      </c>
      <c r="M611" s="590">
        <v>71.025000000000006</v>
      </c>
      <c r="N611" s="6" t="s">
        <v>1303</v>
      </c>
      <c r="O611" s="131">
        <v>45476</v>
      </c>
      <c r="P611" s="33" t="str">
        <f>HYPERLINK("https://my.zakupivli.pro/remote/dispatcher/state_purchase_view/51960186", "UA-2024-07-03-002336-a")</f>
        <v>UA-2024-07-03-002336-a</v>
      </c>
      <c r="Q611" s="259">
        <v>71.025000000000006</v>
      </c>
      <c r="R611" s="259">
        <v>1</v>
      </c>
      <c r="S611" s="259">
        <v>71.025000000000006</v>
      </c>
      <c r="T611" s="131">
        <v>45476</v>
      </c>
      <c r="U611" s="130"/>
      <c r="V611" s="259" t="s">
        <v>59</v>
      </c>
    </row>
    <row r="612" spans="1:22" ht="62.4" x14ac:dyDescent="0.3">
      <c r="A612" s="130">
        <v>606</v>
      </c>
      <c r="B612" s="43" t="s">
        <v>40</v>
      </c>
      <c r="C612" s="44" t="s">
        <v>73</v>
      </c>
      <c r="D612" s="130"/>
      <c r="E612" s="259" t="s">
        <v>75</v>
      </c>
      <c r="F612" s="44" t="s">
        <v>1301</v>
      </c>
      <c r="G612" s="130" t="s">
        <v>184</v>
      </c>
      <c r="H612" s="590">
        <v>184.85871</v>
      </c>
      <c r="I612" s="130">
        <v>1</v>
      </c>
      <c r="J612" s="590">
        <v>184.85871</v>
      </c>
      <c r="K612" s="590">
        <v>184.85871</v>
      </c>
      <c r="L612" s="259">
        <v>1</v>
      </c>
      <c r="M612" s="590">
        <v>184.85871</v>
      </c>
      <c r="N612" s="6" t="s">
        <v>1304</v>
      </c>
      <c r="O612" s="260">
        <v>45476</v>
      </c>
      <c r="P612" s="33" t="str">
        <f>HYPERLINK("https://my.zakupivli.pro/remote/dispatcher/state_purchase_view/51971165", "UA-2024-07-03-007270-a")</f>
        <v>UA-2024-07-03-007270-a</v>
      </c>
      <c r="Q612" s="259">
        <v>184.85871</v>
      </c>
      <c r="R612" s="259">
        <v>1</v>
      </c>
      <c r="S612" s="259">
        <v>184.85871</v>
      </c>
      <c r="T612" s="260">
        <v>45476</v>
      </c>
      <c r="U612" s="130"/>
      <c r="V612" s="259" t="s">
        <v>59</v>
      </c>
    </row>
    <row r="613" spans="1:22" ht="62.4" x14ac:dyDescent="0.3">
      <c r="A613" s="130">
        <v>607</v>
      </c>
      <c r="B613" s="43" t="s">
        <v>21</v>
      </c>
      <c r="C613" s="44" t="s">
        <v>894</v>
      </c>
      <c r="D613" s="130"/>
      <c r="E613" s="262" t="s">
        <v>75</v>
      </c>
      <c r="F613" s="44" t="s">
        <v>1305</v>
      </c>
      <c r="G613" s="130" t="s">
        <v>185</v>
      </c>
      <c r="H613" s="590">
        <v>16.5</v>
      </c>
      <c r="I613" s="130">
        <v>5</v>
      </c>
      <c r="J613" s="590">
        <v>82.5</v>
      </c>
      <c r="K613" s="590">
        <v>16.5</v>
      </c>
      <c r="L613" s="262">
        <v>5</v>
      </c>
      <c r="M613" s="590">
        <v>82.5</v>
      </c>
      <c r="N613" s="6" t="s">
        <v>1307</v>
      </c>
      <c r="O613" s="131">
        <v>45481</v>
      </c>
      <c r="P613" s="33" t="str">
        <f>HYPERLINK("https://my.zakupivli.pro/remote/dispatcher/state_purchase_view/52043167", "UA-2024-07-08-006396-a")</f>
        <v>UA-2024-07-08-006396-a</v>
      </c>
      <c r="Q613" s="117">
        <v>16.5</v>
      </c>
      <c r="R613" s="262">
        <v>5</v>
      </c>
      <c r="S613" s="117">
        <v>82.5</v>
      </c>
      <c r="T613" s="261">
        <v>45481</v>
      </c>
      <c r="U613" s="130"/>
      <c r="V613" s="262" t="s">
        <v>59</v>
      </c>
    </row>
    <row r="614" spans="1:22" ht="62.4" x14ac:dyDescent="0.3">
      <c r="A614" s="130">
        <v>608</v>
      </c>
      <c r="B614" s="43" t="s">
        <v>21</v>
      </c>
      <c r="C614" s="44" t="s">
        <v>32</v>
      </c>
      <c r="D614" s="130"/>
      <c r="E614" s="262" t="s">
        <v>75</v>
      </c>
      <c r="F614" s="44" t="s">
        <v>1306</v>
      </c>
      <c r="G614" s="130" t="s">
        <v>185</v>
      </c>
      <c r="H614" s="590">
        <v>36</v>
      </c>
      <c r="I614" s="130">
        <v>2</v>
      </c>
      <c r="J614" s="590">
        <v>72</v>
      </c>
      <c r="K614" s="590">
        <v>36</v>
      </c>
      <c r="L614" s="262">
        <v>2</v>
      </c>
      <c r="M614" s="590">
        <v>72</v>
      </c>
      <c r="N614" s="6" t="s">
        <v>1308</v>
      </c>
      <c r="O614" s="261">
        <v>45481</v>
      </c>
      <c r="P614" s="33" t="str">
        <f>HYPERLINK("https://my.zakupivli.pro/remote/dispatcher/state_purchase_view/52044369", "UA-2024-07-08-006915-a")</f>
        <v>UA-2024-07-08-006915-a</v>
      </c>
      <c r="Q614" s="117">
        <v>36</v>
      </c>
      <c r="R614" s="262">
        <v>2</v>
      </c>
      <c r="S614" s="117">
        <v>72</v>
      </c>
      <c r="T614" s="261">
        <v>45481</v>
      </c>
      <c r="U614" s="130"/>
      <c r="V614" s="262" t="s">
        <v>59</v>
      </c>
    </row>
    <row r="615" spans="1:22" ht="62.4" x14ac:dyDescent="0.3">
      <c r="A615" s="130">
        <v>609</v>
      </c>
      <c r="B615" s="43" t="s">
        <v>40</v>
      </c>
      <c r="C615" s="44" t="s">
        <v>73</v>
      </c>
      <c r="D615" s="130"/>
      <c r="E615" s="263" t="s">
        <v>75</v>
      </c>
      <c r="F615" s="44" t="s">
        <v>1309</v>
      </c>
      <c r="G615" s="263" t="s">
        <v>184</v>
      </c>
      <c r="H615" s="590">
        <v>98</v>
      </c>
      <c r="I615" s="130">
        <v>1</v>
      </c>
      <c r="J615" s="590">
        <v>98</v>
      </c>
      <c r="K615" s="590">
        <v>98</v>
      </c>
      <c r="L615" s="263">
        <v>1</v>
      </c>
      <c r="M615" s="590">
        <v>98</v>
      </c>
      <c r="N615" s="6" t="s">
        <v>1310</v>
      </c>
      <c r="O615" s="131">
        <v>45483</v>
      </c>
      <c r="P615" s="33" t="str">
        <f>HYPERLINK("https://my.zakupivli.pro/remote/dispatcher/state_purchase_view/52095853", "UA-2024-07-10-008265-a")</f>
        <v>UA-2024-07-10-008265-a</v>
      </c>
      <c r="Q615" s="117">
        <v>98</v>
      </c>
      <c r="R615" s="263">
        <v>1</v>
      </c>
      <c r="S615" s="117">
        <v>98</v>
      </c>
      <c r="T615" s="264">
        <v>45483</v>
      </c>
      <c r="U615" s="130"/>
      <c r="V615" s="263" t="s">
        <v>59</v>
      </c>
    </row>
    <row r="616" spans="1:22" ht="62.4" x14ac:dyDescent="0.3">
      <c r="A616" s="130">
        <v>610</v>
      </c>
      <c r="B616" s="43" t="s">
        <v>40</v>
      </c>
      <c r="C616" s="44" t="s">
        <v>884</v>
      </c>
      <c r="D616" s="130"/>
      <c r="E616" s="265" t="s">
        <v>20</v>
      </c>
      <c r="F616" s="44" t="s">
        <v>1311</v>
      </c>
      <c r="G616" s="265" t="s">
        <v>184</v>
      </c>
      <c r="H616" s="590">
        <v>961.83731999999998</v>
      </c>
      <c r="I616" s="130">
        <v>1</v>
      </c>
      <c r="J616" s="590">
        <v>961.83731999999998</v>
      </c>
      <c r="K616" s="590">
        <v>961.83731999999998</v>
      </c>
      <c r="L616" s="265">
        <v>1</v>
      </c>
      <c r="M616" s="590">
        <v>961.83731999999998</v>
      </c>
      <c r="N616" s="6" t="s">
        <v>1315</v>
      </c>
      <c r="O616" s="266">
        <v>45488</v>
      </c>
      <c r="P616" s="33" t="str">
        <f>HYPERLINK("https://my.zakupivli.pro/remote/dispatcher/state_purchase_view/52153166", "UA-2024-07-15-002029-a")</f>
        <v>UA-2024-07-15-002029-a</v>
      </c>
      <c r="Q616" s="265">
        <v>961.83731999999998</v>
      </c>
      <c r="R616" s="265">
        <v>1</v>
      </c>
      <c r="S616" s="265">
        <v>961.83731999999998</v>
      </c>
      <c r="T616" s="131">
        <v>45485</v>
      </c>
      <c r="U616" s="130"/>
      <c r="V616" s="265" t="s">
        <v>59</v>
      </c>
    </row>
    <row r="617" spans="1:22" ht="62.4" x14ac:dyDescent="0.3">
      <c r="A617" s="130">
        <v>611</v>
      </c>
      <c r="B617" s="43" t="s">
        <v>40</v>
      </c>
      <c r="C617" s="44" t="s">
        <v>884</v>
      </c>
      <c r="D617" s="130"/>
      <c r="E617" s="265" t="s">
        <v>20</v>
      </c>
      <c r="F617" s="44" t="s">
        <v>1312</v>
      </c>
      <c r="G617" s="265" t="s">
        <v>184</v>
      </c>
      <c r="H617" s="590">
        <v>270.08897000000002</v>
      </c>
      <c r="I617" s="130">
        <v>1</v>
      </c>
      <c r="J617" s="590">
        <v>270.08897000000002</v>
      </c>
      <c r="K617" s="590">
        <v>270.08897000000002</v>
      </c>
      <c r="L617" s="265">
        <v>1</v>
      </c>
      <c r="M617" s="590">
        <v>270.08897000000002</v>
      </c>
      <c r="N617" s="6" t="s">
        <v>1316</v>
      </c>
      <c r="O617" s="266">
        <v>45488</v>
      </c>
      <c r="P617" s="33" t="str">
        <f>HYPERLINK("https://my.zakupivli.pro/remote/dispatcher/state_purchase_view/52153696", "UA-2024-07-15-002322-a")</f>
        <v>UA-2024-07-15-002322-a</v>
      </c>
      <c r="Q617" s="265">
        <v>270.08897000000002</v>
      </c>
      <c r="R617" s="265">
        <v>1</v>
      </c>
      <c r="S617" s="265">
        <v>270.08897000000002</v>
      </c>
      <c r="T617" s="266">
        <v>45485</v>
      </c>
      <c r="U617" s="130"/>
      <c r="V617" s="265" t="s">
        <v>59</v>
      </c>
    </row>
    <row r="618" spans="1:22" ht="93.6" x14ac:dyDescent="0.3">
      <c r="A618" s="130">
        <v>612</v>
      </c>
      <c r="B618" s="43" t="s">
        <v>21</v>
      </c>
      <c r="C618" s="44" t="s">
        <v>1314</v>
      </c>
      <c r="D618" s="130"/>
      <c r="E618" s="265" t="s">
        <v>75</v>
      </c>
      <c r="F618" s="44" t="s">
        <v>1313</v>
      </c>
      <c r="G618" s="130" t="s">
        <v>186</v>
      </c>
      <c r="H618" s="590"/>
      <c r="I618" s="130">
        <v>14</v>
      </c>
      <c r="J618" s="590">
        <v>46.283360000000002</v>
      </c>
      <c r="K618" s="590"/>
      <c r="L618" s="265">
        <v>14</v>
      </c>
      <c r="M618" s="590">
        <v>46.283360000000002</v>
      </c>
      <c r="N618" s="6" t="s">
        <v>1317</v>
      </c>
      <c r="O618" s="266">
        <v>45488</v>
      </c>
      <c r="P618" s="33" t="str">
        <f>HYPERLINK("https://my.zakupivli.pro/remote/dispatcher/state_purchase_view/52158746", "UA-2024-07-15-004574-a")</f>
        <v>UA-2024-07-15-004574-a</v>
      </c>
      <c r="Q618" s="130"/>
      <c r="R618" s="265">
        <v>14</v>
      </c>
      <c r="S618" s="265">
        <v>46.283360000000002</v>
      </c>
      <c r="T618" s="131">
        <v>45488</v>
      </c>
      <c r="U618" s="130"/>
      <c r="V618" s="265" t="s">
        <v>59</v>
      </c>
    </row>
    <row r="619" spans="1:22" ht="62.4" x14ac:dyDescent="0.3">
      <c r="A619" s="130">
        <v>613</v>
      </c>
      <c r="B619" s="43" t="s">
        <v>40</v>
      </c>
      <c r="C619" s="44" t="s">
        <v>884</v>
      </c>
      <c r="D619" s="130"/>
      <c r="E619" s="267" t="s">
        <v>20</v>
      </c>
      <c r="F619" s="44" t="s">
        <v>1318</v>
      </c>
      <c r="G619" s="267" t="s">
        <v>184</v>
      </c>
      <c r="H619" s="590">
        <v>194.94922</v>
      </c>
      <c r="I619" s="130">
        <v>1</v>
      </c>
      <c r="J619" s="590">
        <v>194.94922</v>
      </c>
      <c r="K619" s="590">
        <v>194.94922</v>
      </c>
      <c r="L619" s="267">
        <v>1</v>
      </c>
      <c r="M619" s="590">
        <v>194.94922</v>
      </c>
      <c r="N619" s="6" t="s">
        <v>1319</v>
      </c>
      <c r="O619" s="131">
        <v>45489</v>
      </c>
      <c r="P619" s="33" t="str">
        <f>HYPERLINK("https://my.zakupivli.pro/remote/dispatcher/state_purchase_view/52186008", "UA-2024-07-16-006910-a")</f>
        <v>UA-2024-07-16-006910-a</v>
      </c>
      <c r="Q619" s="267">
        <v>194.94922</v>
      </c>
      <c r="R619" s="267">
        <v>1</v>
      </c>
      <c r="S619" s="267">
        <v>194.94922</v>
      </c>
      <c r="T619" s="268">
        <v>45489</v>
      </c>
      <c r="U619" s="130"/>
      <c r="V619" s="267" t="s">
        <v>59</v>
      </c>
    </row>
    <row r="620" spans="1:22" ht="62.4" x14ac:dyDescent="0.3">
      <c r="A620" s="130">
        <v>614</v>
      </c>
      <c r="B620" s="43" t="s">
        <v>1150</v>
      </c>
      <c r="C620" s="44" t="s">
        <v>1322</v>
      </c>
      <c r="D620" s="130"/>
      <c r="E620" s="269" t="s">
        <v>75</v>
      </c>
      <c r="F620" s="44" t="s">
        <v>1320</v>
      </c>
      <c r="G620" s="130" t="s">
        <v>1149</v>
      </c>
      <c r="H620" s="590">
        <v>83.293670000000006</v>
      </c>
      <c r="I620" s="130">
        <v>1</v>
      </c>
      <c r="J620" s="590">
        <v>83.293670000000006</v>
      </c>
      <c r="K620" s="590">
        <v>83.293670000000006</v>
      </c>
      <c r="L620" s="269">
        <v>1</v>
      </c>
      <c r="M620" s="590">
        <v>83.293670000000006</v>
      </c>
      <c r="N620" s="6" t="s">
        <v>1323</v>
      </c>
      <c r="O620" s="131">
        <v>45491</v>
      </c>
      <c r="P620" s="33" t="str">
        <f>HYPERLINK("https://my.zakupivli.pro/remote/dispatcher/state_purchase_view/52220424", "UA-2024-07-18-003108-a")</f>
        <v>UA-2024-07-18-003108-a</v>
      </c>
      <c r="Q620" s="269">
        <v>83.293670000000006</v>
      </c>
      <c r="R620" s="269">
        <v>1</v>
      </c>
      <c r="S620" s="269">
        <v>83.293670000000006</v>
      </c>
      <c r="T620" s="270">
        <v>45491</v>
      </c>
      <c r="U620" s="130"/>
      <c r="V620" s="269" t="s">
        <v>59</v>
      </c>
    </row>
    <row r="621" spans="1:22" ht="62.4" x14ac:dyDescent="0.3">
      <c r="A621" s="130">
        <v>615</v>
      </c>
      <c r="B621" s="43" t="s">
        <v>21</v>
      </c>
      <c r="C621" s="44" t="s">
        <v>1068</v>
      </c>
      <c r="D621" s="130"/>
      <c r="E621" s="269" t="s">
        <v>75</v>
      </c>
      <c r="F621" s="44" t="s">
        <v>1321</v>
      </c>
      <c r="G621" s="130" t="s">
        <v>185</v>
      </c>
      <c r="H621" s="590"/>
      <c r="I621" s="130">
        <v>44</v>
      </c>
      <c r="J621" s="590">
        <v>70.007000000000005</v>
      </c>
      <c r="K621" s="590"/>
      <c r="L621" s="269">
        <v>44</v>
      </c>
      <c r="M621" s="590">
        <v>70.007000000000005</v>
      </c>
      <c r="N621" s="6" t="s">
        <v>1324</v>
      </c>
      <c r="O621" s="270">
        <v>45491</v>
      </c>
      <c r="P621" s="33" t="str">
        <f>HYPERLINK("https://my.zakupivli.pro/remote/dispatcher/state_purchase_view/52221727", "UA-2024-07-18-003762-a")</f>
        <v>UA-2024-07-18-003762-a</v>
      </c>
      <c r="Q621" s="130"/>
      <c r="R621" s="269">
        <v>44</v>
      </c>
      <c r="S621" s="269">
        <v>70.007000000000005</v>
      </c>
      <c r="T621" s="270">
        <v>45491</v>
      </c>
      <c r="U621" s="130"/>
      <c r="V621" s="269" t="s">
        <v>59</v>
      </c>
    </row>
    <row r="622" spans="1:22" ht="62.4" x14ac:dyDescent="0.3">
      <c r="A622" s="130">
        <v>616</v>
      </c>
      <c r="B622" s="43" t="s">
        <v>40</v>
      </c>
      <c r="C622" s="44" t="s">
        <v>884</v>
      </c>
      <c r="D622" s="130"/>
      <c r="E622" s="271" t="s">
        <v>20</v>
      </c>
      <c r="F622" s="44" t="s">
        <v>1325</v>
      </c>
      <c r="G622" s="271" t="s">
        <v>184</v>
      </c>
      <c r="H622" s="590">
        <v>163.80811</v>
      </c>
      <c r="I622" s="130">
        <v>1</v>
      </c>
      <c r="J622" s="590">
        <v>163.80811</v>
      </c>
      <c r="K622" s="590">
        <v>163.80811</v>
      </c>
      <c r="L622" s="271">
        <v>1</v>
      </c>
      <c r="M622" s="590">
        <v>163.80811</v>
      </c>
      <c r="N622" s="6" t="s">
        <v>1330</v>
      </c>
      <c r="O622" s="131">
        <v>45495</v>
      </c>
      <c r="P622" s="33" t="str">
        <f>HYPERLINK("https://my.zakupivli.pro/remote/dispatcher/state_purchase_view/52265646", "UA-2024-07-22-001735-a")</f>
        <v>UA-2024-07-22-001735-a</v>
      </c>
      <c r="Q622" s="271">
        <v>163.80811</v>
      </c>
      <c r="R622" s="271">
        <v>1</v>
      </c>
      <c r="S622" s="271">
        <v>163.80811</v>
      </c>
      <c r="T622" s="272">
        <v>45492</v>
      </c>
      <c r="U622" s="130"/>
      <c r="V622" s="271" t="s">
        <v>59</v>
      </c>
    </row>
    <row r="623" spans="1:22" ht="62.4" x14ac:dyDescent="0.3">
      <c r="A623" s="130">
        <v>617</v>
      </c>
      <c r="B623" s="43" t="s">
        <v>40</v>
      </c>
      <c r="C623" s="44" t="s">
        <v>884</v>
      </c>
      <c r="D623" s="130"/>
      <c r="E623" s="271" t="s">
        <v>20</v>
      </c>
      <c r="F623" s="44" t="s">
        <v>1326</v>
      </c>
      <c r="G623" s="271" t="s">
        <v>184</v>
      </c>
      <c r="H623" s="590">
        <v>304.15636000000001</v>
      </c>
      <c r="I623" s="271">
        <v>1</v>
      </c>
      <c r="J623" s="590">
        <v>304.15636000000001</v>
      </c>
      <c r="K623" s="590">
        <v>304.15636000000001</v>
      </c>
      <c r="L623" s="271">
        <v>1</v>
      </c>
      <c r="M623" s="590">
        <v>304.15636000000001</v>
      </c>
      <c r="N623" s="6" t="s">
        <v>1331</v>
      </c>
      <c r="O623" s="272">
        <v>45495</v>
      </c>
      <c r="P623" s="33" t="str">
        <f>HYPERLINK("https://my.zakupivli.pro/remote/dispatcher/state_purchase_view/52266655", "UA-2024-07-22-002244-a")</f>
        <v>UA-2024-07-22-002244-a</v>
      </c>
      <c r="Q623" s="271">
        <v>304.15636000000001</v>
      </c>
      <c r="R623" s="271">
        <v>1</v>
      </c>
      <c r="S623" s="271">
        <v>304.15636000000001</v>
      </c>
      <c r="T623" s="272">
        <v>45492</v>
      </c>
      <c r="U623" s="130"/>
      <c r="V623" s="271" t="s">
        <v>59</v>
      </c>
    </row>
    <row r="624" spans="1:22" ht="62.4" x14ac:dyDescent="0.3">
      <c r="A624" s="130">
        <v>618</v>
      </c>
      <c r="B624" s="43" t="s">
        <v>21</v>
      </c>
      <c r="C624" s="44" t="s">
        <v>412</v>
      </c>
      <c r="D624" s="130"/>
      <c r="E624" s="271" t="s">
        <v>20</v>
      </c>
      <c r="F624" s="44" t="s">
        <v>1327</v>
      </c>
      <c r="G624" s="271" t="s">
        <v>185</v>
      </c>
      <c r="H624" s="590">
        <v>64.5</v>
      </c>
      <c r="I624" s="271">
        <v>1</v>
      </c>
      <c r="J624" s="590">
        <v>64.5</v>
      </c>
      <c r="K624" s="590">
        <v>64.5</v>
      </c>
      <c r="L624" s="271">
        <v>1</v>
      </c>
      <c r="M624" s="590">
        <v>64.5</v>
      </c>
      <c r="N624" s="6" t="s">
        <v>1332</v>
      </c>
      <c r="O624" s="272">
        <v>45495</v>
      </c>
      <c r="P624" s="33" t="str">
        <f>HYPERLINK("https://my.zakupivli.pro/remote/dispatcher/state_purchase_view/52281063", "UA-2024-07-22-008778-a")</f>
        <v>UA-2024-07-22-008778-a</v>
      </c>
      <c r="Q624" s="117">
        <v>64.5</v>
      </c>
      <c r="R624" s="271">
        <v>1</v>
      </c>
      <c r="S624" s="117">
        <v>64.5</v>
      </c>
      <c r="T624" s="272">
        <v>45495</v>
      </c>
      <c r="U624" s="130"/>
      <c r="V624" s="271" t="s">
        <v>59</v>
      </c>
    </row>
    <row r="625" spans="1:22" ht="62.4" x14ac:dyDescent="0.3">
      <c r="A625" s="130">
        <v>619</v>
      </c>
      <c r="B625" s="43" t="s">
        <v>40</v>
      </c>
      <c r="C625" s="44" t="s">
        <v>884</v>
      </c>
      <c r="D625" s="130"/>
      <c r="E625" s="271" t="s">
        <v>20</v>
      </c>
      <c r="F625" s="44" t="s">
        <v>1328</v>
      </c>
      <c r="G625" s="271" t="s">
        <v>184</v>
      </c>
      <c r="H625" s="590">
        <v>388.76083999999997</v>
      </c>
      <c r="I625" s="271">
        <v>1</v>
      </c>
      <c r="J625" s="590">
        <v>388.76083999999997</v>
      </c>
      <c r="K625" s="590">
        <v>388.76083999999997</v>
      </c>
      <c r="L625" s="271">
        <v>1</v>
      </c>
      <c r="M625" s="590">
        <v>388.76083999999997</v>
      </c>
      <c r="N625" s="6" t="s">
        <v>1333</v>
      </c>
      <c r="O625" s="272">
        <v>45495</v>
      </c>
      <c r="P625" s="33" t="str">
        <f>HYPERLINK("https://my.zakupivli.pro/remote/dispatcher/state_purchase_view/52281767", "UA-2024-07-22-009143-a")</f>
        <v>UA-2024-07-22-009143-a</v>
      </c>
      <c r="Q625" s="271">
        <v>388.76083999999997</v>
      </c>
      <c r="R625" s="271">
        <v>1</v>
      </c>
      <c r="S625" s="271">
        <v>388.76083999999997</v>
      </c>
      <c r="T625" s="131">
        <v>45485</v>
      </c>
      <c r="U625" s="130"/>
      <c r="V625" s="271" t="s">
        <v>59</v>
      </c>
    </row>
    <row r="626" spans="1:22" ht="62.4" x14ac:dyDescent="0.3">
      <c r="A626" s="130">
        <v>620</v>
      </c>
      <c r="B626" s="43" t="s">
        <v>40</v>
      </c>
      <c r="C626" s="44" t="s">
        <v>884</v>
      </c>
      <c r="D626" s="130"/>
      <c r="E626" s="271" t="s">
        <v>20</v>
      </c>
      <c r="F626" s="44" t="s">
        <v>1329</v>
      </c>
      <c r="G626" s="271" t="s">
        <v>184</v>
      </c>
      <c r="H626" s="590">
        <v>89.494219999999999</v>
      </c>
      <c r="I626" s="271">
        <v>1</v>
      </c>
      <c r="J626" s="590">
        <v>89.494219999999999</v>
      </c>
      <c r="K626" s="590">
        <v>89.494219999999999</v>
      </c>
      <c r="L626" s="271">
        <v>1</v>
      </c>
      <c r="M626" s="590">
        <v>89.494219999999999</v>
      </c>
      <c r="N626" s="6" t="s">
        <v>1334</v>
      </c>
      <c r="O626" s="272">
        <v>45495</v>
      </c>
      <c r="P626" s="33" t="str">
        <f>HYPERLINK("https://my.zakupivli.pro/remote/dispatcher/state_purchase_view/52282158", "UA-2024-07-22-009312-a")</f>
        <v>UA-2024-07-22-009312-a</v>
      </c>
      <c r="Q626" s="271">
        <v>89.494219999999999</v>
      </c>
      <c r="R626" s="271">
        <v>1</v>
      </c>
      <c r="S626" s="271">
        <v>89.494219999999999</v>
      </c>
      <c r="T626" s="272">
        <v>45485</v>
      </c>
      <c r="U626" s="130"/>
      <c r="V626" s="271" t="s">
        <v>59</v>
      </c>
    </row>
    <row r="627" spans="1:22" ht="62.4" x14ac:dyDescent="0.3">
      <c r="A627" s="130">
        <v>621</v>
      </c>
      <c r="B627" s="43" t="s">
        <v>40</v>
      </c>
      <c r="C627" s="44" t="s">
        <v>884</v>
      </c>
      <c r="D627" s="130"/>
      <c r="E627" s="273" t="s">
        <v>20</v>
      </c>
      <c r="F627" s="44" t="s">
        <v>1335</v>
      </c>
      <c r="G627" s="273" t="s">
        <v>184</v>
      </c>
      <c r="H627" s="590">
        <v>293.29867999999999</v>
      </c>
      <c r="I627" s="273">
        <v>1</v>
      </c>
      <c r="J627" s="590">
        <v>293.29867999999999</v>
      </c>
      <c r="K627" s="590">
        <v>293.29867999999999</v>
      </c>
      <c r="L627" s="273">
        <v>1</v>
      </c>
      <c r="M627" s="590">
        <v>293.29867999999999</v>
      </c>
      <c r="N627" s="6" t="s">
        <v>1337</v>
      </c>
      <c r="O627" s="131">
        <v>45496</v>
      </c>
      <c r="P627" s="33" t="str">
        <f>HYPERLINK("https://my.zakupivli.pro/remote/dispatcher/state_purchase_view/52298726", "UA-2024-07-23-006360-a")</f>
        <v>UA-2024-07-23-006360-a</v>
      </c>
      <c r="Q627" s="273">
        <v>293.29867999999999</v>
      </c>
      <c r="R627" s="273">
        <v>1</v>
      </c>
      <c r="S627" s="273">
        <v>293.29867999999999</v>
      </c>
      <c r="T627" s="274">
        <v>45496</v>
      </c>
      <c r="U627" s="130"/>
      <c r="V627" s="273" t="s">
        <v>59</v>
      </c>
    </row>
    <row r="628" spans="1:22" ht="62.4" x14ac:dyDescent="0.3">
      <c r="A628" s="130">
        <v>622</v>
      </c>
      <c r="B628" s="43" t="s">
        <v>40</v>
      </c>
      <c r="C628" s="44" t="s">
        <v>73</v>
      </c>
      <c r="D628" s="130"/>
      <c r="E628" s="273" t="s">
        <v>75</v>
      </c>
      <c r="F628" s="44" t="s">
        <v>1336</v>
      </c>
      <c r="G628" s="273" t="s">
        <v>184</v>
      </c>
      <c r="H628" s="590">
        <v>404.05291999999997</v>
      </c>
      <c r="I628" s="273">
        <v>1</v>
      </c>
      <c r="J628" s="590">
        <v>404.05291999999997</v>
      </c>
      <c r="K628" s="590">
        <v>404.05291999999997</v>
      </c>
      <c r="L628" s="273">
        <v>1</v>
      </c>
      <c r="M628" s="590">
        <v>404.05291999999997</v>
      </c>
      <c r="N628" s="6" t="s">
        <v>1338</v>
      </c>
      <c r="O628" s="274">
        <v>45496</v>
      </c>
      <c r="P628" s="33" t="str">
        <f>HYPERLINK("https://my.zakupivli.pro/remote/dispatcher/state_purchase_view/52299011", "UA-2024-07-23-006477-a")</f>
        <v>UA-2024-07-23-006477-a</v>
      </c>
      <c r="Q628" s="273">
        <v>404.05291999999997</v>
      </c>
      <c r="R628" s="273">
        <v>1</v>
      </c>
      <c r="S628" s="273">
        <v>404.05291999999997</v>
      </c>
      <c r="T628" s="274">
        <v>45496</v>
      </c>
      <c r="U628" s="130"/>
      <c r="V628" s="273" t="s">
        <v>59</v>
      </c>
    </row>
    <row r="629" spans="1:22" ht="78" x14ac:dyDescent="0.3">
      <c r="A629" s="130">
        <v>623</v>
      </c>
      <c r="B629" s="43" t="s">
        <v>40</v>
      </c>
      <c r="C629" s="44" t="s">
        <v>884</v>
      </c>
      <c r="D629" s="130"/>
      <c r="E629" s="275" t="s">
        <v>20</v>
      </c>
      <c r="F629" s="44" t="s">
        <v>1339</v>
      </c>
      <c r="G629" s="275" t="s">
        <v>184</v>
      </c>
      <c r="H629" s="590">
        <v>89.274900000000002</v>
      </c>
      <c r="I629" s="275">
        <v>1</v>
      </c>
      <c r="J629" s="590">
        <v>89.274900000000002</v>
      </c>
      <c r="K629" s="590">
        <v>89.274900000000002</v>
      </c>
      <c r="L629" s="275">
        <v>1</v>
      </c>
      <c r="M629" s="590">
        <v>89.274900000000002</v>
      </c>
      <c r="N629" s="6" t="s">
        <v>1343</v>
      </c>
      <c r="O629" s="131">
        <v>45497</v>
      </c>
      <c r="P629" s="279" t="str">
        <f>HYPERLINK("https://my.zakupivli.pro/remote/dispatcher/state_purchase_view/52314049", "UA-2024-07-24-001383-a")</f>
        <v>UA-2024-07-24-001383-a</v>
      </c>
      <c r="Q629" s="275">
        <v>89.274900000000002</v>
      </c>
      <c r="R629" s="275">
        <v>1</v>
      </c>
      <c r="S629" s="275">
        <v>89.274900000000002</v>
      </c>
      <c r="T629" s="276">
        <v>45496</v>
      </c>
      <c r="U629" s="130"/>
      <c r="V629" s="275" t="s">
        <v>59</v>
      </c>
    </row>
    <row r="630" spans="1:22" ht="78" x14ac:dyDescent="0.3">
      <c r="A630" s="130">
        <v>624</v>
      </c>
      <c r="B630" s="43" t="s">
        <v>40</v>
      </c>
      <c r="C630" s="44" t="s">
        <v>884</v>
      </c>
      <c r="D630" s="130"/>
      <c r="E630" s="275" t="s">
        <v>20</v>
      </c>
      <c r="F630" s="44" t="s">
        <v>1340</v>
      </c>
      <c r="G630" s="275" t="s">
        <v>184</v>
      </c>
      <c r="H630" s="590">
        <v>294.02537999999998</v>
      </c>
      <c r="I630" s="275">
        <v>1</v>
      </c>
      <c r="J630" s="590">
        <v>294.02537999999998</v>
      </c>
      <c r="K630" s="590">
        <v>294.02537999999998</v>
      </c>
      <c r="L630" s="275">
        <v>1</v>
      </c>
      <c r="M630" s="590">
        <v>294.02537999999998</v>
      </c>
      <c r="N630" s="6" t="s">
        <v>1344</v>
      </c>
      <c r="O630" s="276">
        <v>45497</v>
      </c>
      <c r="P630" s="279" t="str">
        <f>HYPERLINK("https://my.zakupivli.pro/remote/dispatcher/state_purchase_view/52314938", "UA-2024-07-24-001792-a")</f>
        <v>UA-2024-07-24-001792-a</v>
      </c>
      <c r="Q630" s="275">
        <v>294.02537999999998</v>
      </c>
      <c r="R630" s="275">
        <v>1</v>
      </c>
      <c r="S630" s="275">
        <v>294.02537999999998</v>
      </c>
      <c r="T630" s="276">
        <v>45496</v>
      </c>
      <c r="U630" s="130"/>
      <c r="V630" s="275" t="s">
        <v>59</v>
      </c>
    </row>
    <row r="631" spans="1:22" ht="78" x14ac:dyDescent="0.3">
      <c r="A631" s="130">
        <v>625</v>
      </c>
      <c r="B631" s="43" t="s">
        <v>40</v>
      </c>
      <c r="C631" s="44" t="s">
        <v>41</v>
      </c>
      <c r="D631" s="130"/>
      <c r="E631" s="275" t="s">
        <v>20</v>
      </c>
      <c r="F631" s="44" t="s">
        <v>1341</v>
      </c>
      <c r="G631" s="275" t="s">
        <v>184</v>
      </c>
      <c r="H631" s="590">
        <v>106.82431</v>
      </c>
      <c r="I631" s="275">
        <v>1</v>
      </c>
      <c r="J631" s="590">
        <v>106.82431</v>
      </c>
      <c r="K631" s="590">
        <v>106.82431</v>
      </c>
      <c r="L631" s="275">
        <v>1</v>
      </c>
      <c r="M631" s="590">
        <v>106.82431</v>
      </c>
      <c r="N631" s="6" t="s">
        <v>1345</v>
      </c>
      <c r="O631" s="276">
        <v>45497</v>
      </c>
      <c r="P631" s="279" t="str">
        <f>HYPERLINK("https://my.zakupivli.pro/remote/dispatcher/state_purchase_view/52315339", "UA-2024-07-24-001967-a")</f>
        <v>UA-2024-07-24-001967-a</v>
      </c>
      <c r="Q631" s="275">
        <v>106.82431</v>
      </c>
      <c r="R631" s="275">
        <v>1</v>
      </c>
      <c r="S631" s="275">
        <v>106.82431</v>
      </c>
      <c r="T631" s="276">
        <v>45496</v>
      </c>
      <c r="U631" s="130"/>
      <c r="V631" s="275" t="s">
        <v>59</v>
      </c>
    </row>
    <row r="632" spans="1:22" ht="140.4" x14ac:dyDescent="0.3">
      <c r="A632" s="130">
        <v>626</v>
      </c>
      <c r="B632" s="43" t="s">
        <v>40</v>
      </c>
      <c r="C632" s="44" t="s">
        <v>41</v>
      </c>
      <c r="D632" s="275" t="s">
        <v>58</v>
      </c>
      <c r="E632" s="275" t="s">
        <v>20</v>
      </c>
      <c r="F632" s="44" t="s">
        <v>1342</v>
      </c>
      <c r="G632" s="275" t="s">
        <v>184</v>
      </c>
      <c r="H632" s="590">
        <v>1809.5909999999999</v>
      </c>
      <c r="I632" s="275">
        <v>1</v>
      </c>
      <c r="J632" s="590">
        <v>1809.5909999999999</v>
      </c>
      <c r="K632" s="590">
        <v>1809.5909999999999</v>
      </c>
      <c r="L632" s="275">
        <v>1</v>
      </c>
      <c r="M632" s="590">
        <v>1809.5909999999999</v>
      </c>
      <c r="N632" s="6" t="s">
        <v>1346</v>
      </c>
      <c r="O632" s="276">
        <v>45497</v>
      </c>
      <c r="P632" s="279" t="str">
        <f>HYPERLINK("https://my.zakupivli.pro/remote/dispatcher/state_purchase_view/52333680", "UA-2024-07-24-010258-a")</f>
        <v>UA-2024-07-24-010258-a</v>
      </c>
      <c r="Q632" s="311">
        <v>1809.5909999999999</v>
      </c>
      <c r="R632" s="130">
        <v>1</v>
      </c>
      <c r="S632" s="130">
        <v>1809.5909999999999</v>
      </c>
      <c r="T632" s="131">
        <v>45512</v>
      </c>
      <c r="U632" s="130"/>
      <c r="V632" s="275"/>
    </row>
    <row r="633" spans="1:22" ht="78" x14ac:dyDescent="0.3">
      <c r="A633" s="130">
        <v>627</v>
      </c>
      <c r="B633" s="43" t="s">
        <v>40</v>
      </c>
      <c r="C633" s="44" t="s">
        <v>884</v>
      </c>
      <c r="D633" s="130"/>
      <c r="E633" s="289" t="s">
        <v>20</v>
      </c>
      <c r="F633" s="44" t="s">
        <v>1351</v>
      </c>
      <c r="G633" s="277" t="s">
        <v>184</v>
      </c>
      <c r="H633" s="590">
        <v>359.43135000000001</v>
      </c>
      <c r="I633" s="130">
        <v>1</v>
      </c>
      <c r="J633" s="590">
        <v>359.43135000000001</v>
      </c>
      <c r="K633" s="590">
        <v>359.43135000000001</v>
      </c>
      <c r="L633" s="277">
        <v>1</v>
      </c>
      <c r="M633" s="590">
        <v>359.43135000000001</v>
      </c>
      <c r="N633" s="6" t="s">
        <v>1352</v>
      </c>
      <c r="O633" s="131">
        <v>45498</v>
      </c>
      <c r="P633" s="33" t="str">
        <f>HYPERLINK("https://my.zakupivli.pro/remote/dispatcher/state_purchase_view/52342173", "UA-2024-07-25-002699-a")</f>
        <v>UA-2024-07-25-002699-a</v>
      </c>
      <c r="Q633" s="277">
        <v>359.43135000000001</v>
      </c>
      <c r="R633" s="277">
        <v>1</v>
      </c>
      <c r="S633" s="277">
        <v>359.43135000000001</v>
      </c>
      <c r="T633" s="278">
        <v>45497</v>
      </c>
      <c r="U633" s="130"/>
      <c r="V633" s="277" t="s">
        <v>59</v>
      </c>
    </row>
    <row r="634" spans="1:22" ht="78" x14ac:dyDescent="0.3">
      <c r="A634" s="130">
        <v>628</v>
      </c>
      <c r="B634" s="43" t="s">
        <v>40</v>
      </c>
      <c r="C634" s="44" t="s">
        <v>884</v>
      </c>
      <c r="D634" s="130"/>
      <c r="E634" s="289" t="s">
        <v>20</v>
      </c>
      <c r="F634" s="44" t="s">
        <v>1350</v>
      </c>
      <c r="G634" s="277" t="s">
        <v>184</v>
      </c>
      <c r="H634" s="590">
        <v>298.44211000000001</v>
      </c>
      <c r="I634" s="130">
        <v>1</v>
      </c>
      <c r="J634" s="590">
        <v>298.44211000000001</v>
      </c>
      <c r="K634" s="590">
        <v>298.44211000000001</v>
      </c>
      <c r="L634" s="277">
        <v>1</v>
      </c>
      <c r="M634" s="590">
        <v>298.44211000000001</v>
      </c>
      <c r="N634" s="6" t="s">
        <v>1353</v>
      </c>
      <c r="O634" s="278">
        <v>45498</v>
      </c>
      <c r="P634" s="33" t="str">
        <f>HYPERLINK("https://my.zakupivli.pro/remote/dispatcher/state_purchase_view/52343625", "UA-2024-07-25-003393-a")</f>
        <v>UA-2024-07-25-003393-a</v>
      </c>
      <c r="Q634" s="277">
        <v>298.44211000000001</v>
      </c>
      <c r="R634" s="277">
        <v>1</v>
      </c>
      <c r="S634" s="277">
        <v>298.44211000000001</v>
      </c>
      <c r="T634" s="278">
        <v>45497</v>
      </c>
      <c r="U634" s="130"/>
      <c r="V634" s="277" t="s">
        <v>59</v>
      </c>
    </row>
    <row r="635" spans="1:22" ht="78" x14ac:dyDescent="0.3">
      <c r="A635" s="130">
        <v>629</v>
      </c>
      <c r="B635" s="43" t="s">
        <v>40</v>
      </c>
      <c r="C635" s="44" t="s">
        <v>884</v>
      </c>
      <c r="D635" s="130"/>
      <c r="E635" s="289" t="s">
        <v>20</v>
      </c>
      <c r="F635" s="44" t="s">
        <v>1349</v>
      </c>
      <c r="G635" s="277" t="s">
        <v>184</v>
      </c>
      <c r="H635" s="590">
        <v>278.61887000000002</v>
      </c>
      <c r="I635" s="130">
        <v>1</v>
      </c>
      <c r="J635" s="590">
        <v>278.61887000000002</v>
      </c>
      <c r="K635" s="590">
        <v>278.61887000000002</v>
      </c>
      <c r="L635" s="277">
        <v>1</v>
      </c>
      <c r="M635" s="590">
        <v>278.61887000000002</v>
      </c>
      <c r="N635" s="6" t="s">
        <v>1354</v>
      </c>
      <c r="O635" s="278">
        <v>45498</v>
      </c>
      <c r="P635" s="33" t="str">
        <f>HYPERLINK("https://my.zakupivli.pro/remote/dispatcher/state_purchase_view/52344173", "UA-2024-07-25-003656-a")</f>
        <v>UA-2024-07-25-003656-a</v>
      </c>
      <c r="Q635" s="277">
        <v>278.61887000000002</v>
      </c>
      <c r="R635" s="277">
        <v>1</v>
      </c>
      <c r="S635" s="277">
        <v>278.61887000000002</v>
      </c>
      <c r="T635" s="278">
        <v>45497</v>
      </c>
      <c r="U635" s="130"/>
      <c r="V635" s="277" t="s">
        <v>59</v>
      </c>
    </row>
    <row r="636" spans="1:22" ht="62.4" x14ac:dyDescent="0.3">
      <c r="A636" s="130">
        <v>630</v>
      </c>
      <c r="B636" s="43" t="s">
        <v>21</v>
      </c>
      <c r="C636" s="44" t="s">
        <v>405</v>
      </c>
      <c r="D636" s="277" t="s">
        <v>58</v>
      </c>
      <c r="E636" s="289" t="s">
        <v>75</v>
      </c>
      <c r="F636" s="44" t="s">
        <v>1348</v>
      </c>
      <c r="G636" s="130" t="s">
        <v>185</v>
      </c>
      <c r="H636" s="590">
        <v>562.5</v>
      </c>
      <c r="I636" s="130">
        <v>1</v>
      </c>
      <c r="J636" s="590">
        <v>562.5</v>
      </c>
      <c r="K636" s="590">
        <v>562.5</v>
      </c>
      <c r="L636" s="277">
        <v>1</v>
      </c>
      <c r="M636" s="590">
        <v>562.5</v>
      </c>
      <c r="N636" s="6" t="s">
        <v>1355</v>
      </c>
      <c r="O636" s="278">
        <v>45498</v>
      </c>
      <c r="P636" s="33" t="str">
        <f>HYPERLINK("https://my.zakupivli.pro/remote/dispatcher/state_purchase_view/52349219", "UA-2024-07-25-005997-a")</f>
        <v>UA-2024-07-25-005997-a</v>
      </c>
      <c r="Q636" s="117">
        <v>350</v>
      </c>
      <c r="R636" s="130">
        <v>1</v>
      </c>
      <c r="S636" s="117">
        <v>350</v>
      </c>
      <c r="T636" s="131">
        <v>45538</v>
      </c>
      <c r="U636" s="130"/>
      <c r="V636" s="130"/>
    </row>
    <row r="637" spans="1:22" ht="62.4" x14ac:dyDescent="0.3">
      <c r="A637" s="130">
        <v>631</v>
      </c>
      <c r="B637" s="43" t="s">
        <v>21</v>
      </c>
      <c r="C637" s="44" t="s">
        <v>804</v>
      </c>
      <c r="D637" s="130"/>
      <c r="E637" s="289" t="s">
        <v>75</v>
      </c>
      <c r="F637" s="44" t="s">
        <v>1347</v>
      </c>
      <c r="G637" s="130" t="s">
        <v>185</v>
      </c>
      <c r="H637" s="590">
        <v>16.698</v>
      </c>
      <c r="I637" s="130">
        <v>4</v>
      </c>
      <c r="J637" s="590">
        <v>66.792000000000002</v>
      </c>
      <c r="K637" s="590">
        <v>16.698</v>
      </c>
      <c r="L637" s="277">
        <v>4</v>
      </c>
      <c r="M637" s="590">
        <v>66.792000000000002</v>
      </c>
      <c r="N637" s="6" t="s">
        <v>1356</v>
      </c>
      <c r="O637" s="278">
        <v>45498</v>
      </c>
      <c r="P637" s="33" t="str">
        <f>HYPERLINK("https://my.zakupivli.pro/remote/dispatcher/state_purchase_view/52353571", "UA-2024-07-25-008020-a")</f>
        <v>UA-2024-07-25-008020-a</v>
      </c>
      <c r="Q637" s="277">
        <v>16.698</v>
      </c>
      <c r="R637" s="277">
        <v>4</v>
      </c>
      <c r="S637" s="277">
        <v>66.792000000000002</v>
      </c>
      <c r="T637" s="278">
        <v>45498</v>
      </c>
      <c r="U637" s="130"/>
      <c r="V637" s="277" t="s">
        <v>59</v>
      </c>
    </row>
    <row r="638" spans="1:22" ht="62.4" x14ac:dyDescent="0.3">
      <c r="A638" s="130">
        <v>632</v>
      </c>
      <c r="B638" s="43" t="s">
        <v>21</v>
      </c>
      <c r="C638" s="44" t="s">
        <v>412</v>
      </c>
      <c r="D638" s="130"/>
      <c r="E638" s="280" t="s">
        <v>20</v>
      </c>
      <c r="F638" s="223" t="s">
        <v>1357</v>
      </c>
      <c r="G638" s="130" t="s">
        <v>185</v>
      </c>
      <c r="H638" s="590">
        <v>64.5</v>
      </c>
      <c r="I638" s="130">
        <v>1</v>
      </c>
      <c r="J638" s="590">
        <v>64.5</v>
      </c>
      <c r="K638" s="590">
        <v>64.5</v>
      </c>
      <c r="L638" s="280">
        <v>1</v>
      </c>
      <c r="M638" s="590">
        <v>64.5</v>
      </c>
      <c r="N638" s="6" t="s">
        <v>1358</v>
      </c>
      <c r="O638" s="131">
        <v>45502</v>
      </c>
      <c r="P638" s="33" t="str">
        <f>HYPERLINK("https://my.zakupivli.pro/remote/dispatcher/state_purchase_view/52388202", "UA-2024-07-29-002334-a")</f>
        <v>UA-2024-07-29-002334-a</v>
      </c>
      <c r="Q638" s="117">
        <v>64.5</v>
      </c>
      <c r="R638" s="280">
        <v>1</v>
      </c>
      <c r="S638" s="117">
        <v>64.5</v>
      </c>
      <c r="T638" s="281">
        <v>45502</v>
      </c>
      <c r="U638" s="130"/>
      <c r="V638" s="280" t="s">
        <v>59</v>
      </c>
    </row>
    <row r="639" spans="1:22" ht="62.4" x14ac:dyDescent="0.3">
      <c r="A639" s="130">
        <v>633</v>
      </c>
      <c r="B639" s="43" t="s">
        <v>40</v>
      </c>
      <c r="C639" s="44" t="s">
        <v>884</v>
      </c>
      <c r="D639" s="130"/>
      <c r="E639" s="282" t="s">
        <v>20</v>
      </c>
      <c r="F639" s="44" t="s">
        <v>1359</v>
      </c>
      <c r="G639" s="282" t="s">
        <v>184</v>
      </c>
      <c r="H639" s="590">
        <v>68.618139999999997</v>
      </c>
      <c r="I639" s="130">
        <v>1</v>
      </c>
      <c r="J639" s="590">
        <v>68.618139999999997</v>
      </c>
      <c r="K639" s="590">
        <v>68.618139999999997</v>
      </c>
      <c r="L639" s="282">
        <v>1</v>
      </c>
      <c r="M639" s="590">
        <v>68.618139999999997</v>
      </c>
      <c r="N639" s="6" t="s">
        <v>1360</v>
      </c>
      <c r="O639" s="131">
        <v>45505</v>
      </c>
      <c r="P639" s="33" t="str">
        <f>HYPERLINK("https://my.zakupivli.pro/remote/dispatcher/state_purchase_view/52465821", "UA-2024-08-01-006484-a")</f>
        <v>UA-2024-08-01-006484-a</v>
      </c>
      <c r="Q639" s="282">
        <v>68.618139999999997</v>
      </c>
      <c r="R639" s="282">
        <v>1</v>
      </c>
      <c r="S639" s="282">
        <v>68.618139999999997</v>
      </c>
      <c r="T639" s="131">
        <v>45505</v>
      </c>
      <c r="U639" s="130"/>
      <c r="V639" s="282" t="s">
        <v>59</v>
      </c>
    </row>
    <row r="640" spans="1:22" ht="62.4" x14ac:dyDescent="0.3">
      <c r="A640" s="130">
        <v>634</v>
      </c>
      <c r="B640" s="43" t="s">
        <v>40</v>
      </c>
      <c r="C640" s="44" t="s">
        <v>73</v>
      </c>
      <c r="D640" s="130"/>
      <c r="E640" s="283" t="s">
        <v>75</v>
      </c>
      <c r="F640" s="44" t="s">
        <v>1361</v>
      </c>
      <c r="G640" s="283" t="s">
        <v>184</v>
      </c>
      <c r="H640" s="590">
        <v>188.19801000000001</v>
      </c>
      <c r="I640" s="130">
        <v>1</v>
      </c>
      <c r="J640" s="590">
        <v>188.19801000000001</v>
      </c>
      <c r="K640" s="590">
        <v>188.19801000000001</v>
      </c>
      <c r="L640" s="283">
        <v>1</v>
      </c>
      <c r="M640" s="590">
        <v>188.19801000000001</v>
      </c>
      <c r="N640" s="6" t="s">
        <v>1365</v>
      </c>
      <c r="O640" s="131">
        <v>45509</v>
      </c>
      <c r="P640" s="33" t="str">
        <f>HYPERLINK("https://my.zakupivli.pro/remote/dispatcher/state_purchase_view/52516319", "UA-2024-08-05-006471-a")</f>
        <v>UA-2024-08-05-006471-a</v>
      </c>
      <c r="Q640" s="283">
        <v>188.19801000000001</v>
      </c>
      <c r="R640" s="283">
        <v>1</v>
      </c>
      <c r="S640" s="283">
        <v>188.19801000000001</v>
      </c>
      <c r="T640" s="284">
        <v>45509</v>
      </c>
      <c r="U640" s="130"/>
      <c r="V640" s="283" t="s">
        <v>59</v>
      </c>
    </row>
    <row r="641" spans="1:22" ht="62.4" x14ac:dyDescent="0.3">
      <c r="A641" s="130">
        <v>635</v>
      </c>
      <c r="B641" s="43" t="s">
        <v>40</v>
      </c>
      <c r="C641" s="44" t="s">
        <v>73</v>
      </c>
      <c r="D641" s="130"/>
      <c r="E641" s="283" t="s">
        <v>75</v>
      </c>
      <c r="F641" s="44" t="s">
        <v>1362</v>
      </c>
      <c r="G641" s="283" t="s">
        <v>184</v>
      </c>
      <c r="H641" s="590">
        <v>116.893</v>
      </c>
      <c r="I641" s="130">
        <v>1</v>
      </c>
      <c r="J641" s="590">
        <v>116.893</v>
      </c>
      <c r="K641" s="590">
        <v>116.893</v>
      </c>
      <c r="L641" s="283">
        <v>1</v>
      </c>
      <c r="M641" s="590">
        <v>116.893</v>
      </c>
      <c r="N641" s="6" t="s">
        <v>1366</v>
      </c>
      <c r="O641" s="284">
        <v>45509</v>
      </c>
      <c r="P641" s="33" t="str">
        <f>HYPERLINK("https://my.zakupivli.pro/remote/dispatcher/state_purchase_view/52516741", "UA-2024-08-05-006635-a")</f>
        <v>UA-2024-08-05-006635-a</v>
      </c>
      <c r="Q641" s="283">
        <v>116.893</v>
      </c>
      <c r="R641" s="283">
        <v>1</v>
      </c>
      <c r="S641" s="283">
        <v>116.893</v>
      </c>
      <c r="T641" s="284">
        <v>45509</v>
      </c>
      <c r="U641" s="130"/>
      <c r="V641" s="283" t="s">
        <v>59</v>
      </c>
    </row>
    <row r="642" spans="1:22" ht="93.6" x14ac:dyDescent="0.3">
      <c r="A642" s="130">
        <v>636</v>
      </c>
      <c r="B642" s="43" t="s">
        <v>21</v>
      </c>
      <c r="C642" s="44" t="s">
        <v>1314</v>
      </c>
      <c r="D642" s="130"/>
      <c r="E642" s="283" t="s">
        <v>75</v>
      </c>
      <c r="F642" s="44" t="s">
        <v>1313</v>
      </c>
      <c r="G642" s="130" t="s">
        <v>186</v>
      </c>
      <c r="H642" s="590"/>
      <c r="I642" s="130">
        <v>11</v>
      </c>
      <c r="J642" s="590">
        <v>51.401679999999999</v>
      </c>
      <c r="K642" s="590"/>
      <c r="L642" s="283">
        <v>11</v>
      </c>
      <c r="M642" s="590">
        <v>51.401679999999999</v>
      </c>
      <c r="N642" s="6" t="s">
        <v>1367</v>
      </c>
      <c r="O642" s="284">
        <v>45509</v>
      </c>
      <c r="P642" s="33" t="str">
        <f>HYPERLINK("https://my.zakupivli.pro/remote/dispatcher/state_purchase_view/52519045", "UA-2024-08-05-007656-a")</f>
        <v>UA-2024-08-05-007656-a</v>
      </c>
      <c r="Q642" s="130"/>
      <c r="R642" s="283">
        <v>11</v>
      </c>
      <c r="S642" s="283">
        <v>51.401679999999999</v>
      </c>
      <c r="T642" s="284">
        <v>45509</v>
      </c>
      <c r="U642" s="130"/>
      <c r="V642" s="283" t="s">
        <v>59</v>
      </c>
    </row>
    <row r="643" spans="1:22" ht="78" x14ac:dyDescent="0.3">
      <c r="A643" s="130">
        <v>637</v>
      </c>
      <c r="B643" s="43" t="s">
        <v>21</v>
      </c>
      <c r="C643" s="44" t="s">
        <v>1364</v>
      </c>
      <c r="D643" s="130"/>
      <c r="E643" s="283" t="s">
        <v>75</v>
      </c>
      <c r="F643" s="44" t="s">
        <v>1363</v>
      </c>
      <c r="G643" s="130" t="s">
        <v>186</v>
      </c>
      <c r="H643" s="590"/>
      <c r="I643" s="130">
        <v>6</v>
      </c>
      <c r="J643" s="590">
        <v>91.116</v>
      </c>
      <c r="K643" s="590"/>
      <c r="L643" s="283">
        <v>6</v>
      </c>
      <c r="M643" s="590">
        <v>91.116</v>
      </c>
      <c r="N643" s="6" t="s">
        <v>1368</v>
      </c>
      <c r="O643" s="284">
        <v>45509</v>
      </c>
      <c r="P643" s="33" t="str">
        <f>HYPERLINK("https://my.zakupivli.pro/remote/dispatcher/state_purchase_view/52524003", "UA-2024-08-05-009986-a")</f>
        <v>UA-2024-08-05-009986-a</v>
      </c>
      <c r="Q643" s="130"/>
      <c r="R643" s="283">
        <v>6</v>
      </c>
      <c r="S643" s="283">
        <v>91.116</v>
      </c>
      <c r="T643" s="284">
        <v>45509</v>
      </c>
      <c r="U643" s="130"/>
      <c r="V643" s="283" t="s">
        <v>59</v>
      </c>
    </row>
    <row r="644" spans="1:22" ht="62.4" x14ac:dyDescent="0.3">
      <c r="A644" s="130">
        <v>638</v>
      </c>
      <c r="B644" s="43" t="s">
        <v>21</v>
      </c>
      <c r="C644" s="44" t="s">
        <v>177</v>
      </c>
      <c r="D644" s="130"/>
      <c r="E644" s="285" t="s">
        <v>75</v>
      </c>
      <c r="F644" s="44" t="s">
        <v>1369</v>
      </c>
      <c r="G644" s="130" t="s">
        <v>185</v>
      </c>
      <c r="H644" s="590">
        <v>2.7027000000000001</v>
      </c>
      <c r="I644" s="130">
        <v>36</v>
      </c>
      <c r="J644" s="590">
        <v>97.297200000000004</v>
      </c>
      <c r="K644" s="590">
        <v>2.7027000000000001</v>
      </c>
      <c r="L644" s="285">
        <v>36</v>
      </c>
      <c r="M644" s="590">
        <v>97.297200000000004</v>
      </c>
      <c r="N644" s="6" t="s">
        <v>1373</v>
      </c>
      <c r="O644" s="131">
        <v>45512</v>
      </c>
      <c r="P644" s="33" t="str">
        <f>HYPERLINK("https://my.zakupivli.pro/remote/dispatcher/state_purchase_view/52587377", "UA-2024-08-08-003012-a")</f>
        <v>UA-2024-08-08-003012-a</v>
      </c>
      <c r="Q644" s="285">
        <v>2.7027000000000001</v>
      </c>
      <c r="R644" s="285">
        <v>36</v>
      </c>
      <c r="S644" s="285">
        <v>97.297200000000004</v>
      </c>
      <c r="T644" s="286">
        <v>45512</v>
      </c>
      <c r="U644" s="130"/>
      <c r="V644" s="285" t="s">
        <v>59</v>
      </c>
    </row>
    <row r="645" spans="1:22" ht="78" x14ac:dyDescent="0.3">
      <c r="A645" s="285">
        <v>639</v>
      </c>
      <c r="B645" s="43" t="s">
        <v>40</v>
      </c>
      <c r="C645" s="44" t="s">
        <v>884</v>
      </c>
      <c r="D645" s="285"/>
      <c r="E645" s="285" t="s">
        <v>20</v>
      </c>
      <c r="F645" s="44" t="s">
        <v>1370</v>
      </c>
      <c r="G645" s="285" t="s">
        <v>184</v>
      </c>
      <c r="H645" s="590">
        <v>182.08945</v>
      </c>
      <c r="I645" s="285">
        <v>1</v>
      </c>
      <c r="J645" s="590">
        <v>182.08945</v>
      </c>
      <c r="K645" s="590">
        <v>182.08945</v>
      </c>
      <c r="L645" s="285">
        <v>1</v>
      </c>
      <c r="M645" s="590">
        <v>182.08945</v>
      </c>
      <c r="N645" s="6" t="s">
        <v>1374</v>
      </c>
      <c r="O645" s="286">
        <v>45512</v>
      </c>
      <c r="P645" s="33" t="str">
        <f>HYPERLINK("https://my.zakupivli.pro/remote/dispatcher/state_purchase_view/52587767", "UA-2024-08-08-003155-a")</f>
        <v>UA-2024-08-08-003155-a</v>
      </c>
      <c r="Q645" s="285">
        <v>182.08945</v>
      </c>
      <c r="R645" s="285">
        <v>1</v>
      </c>
      <c r="S645" s="285">
        <v>182.08945</v>
      </c>
      <c r="T645" s="286">
        <v>45512</v>
      </c>
      <c r="U645" s="285"/>
      <c r="V645" s="285" t="s">
        <v>59</v>
      </c>
    </row>
    <row r="646" spans="1:22" ht="62.4" x14ac:dyDescent="0.3">
      <c r="A646" s="285">
        <v>640</v>
      </c>
      <c r="B646" s="43" t="s">
        <v>1150</v>
      </c>
      <c r="C646" s="44" t="s">
        <v>1372</v>
      </c>
      <c r="D646" s="285"/>
      <c r="E646" s="285" t="s">
        <v>75</v>
      </c>
      <c r="F646" s="44" t="s">
        <v>1371</v>
      </c>
      <c r="G646" s="285" t="s">
        <v>1149</v>
      </c>
      <c r="H646" s="590">
        <v>44.824170000000002</v>
      </c>
      <c r="I646" s="285">
        <v>1</v>
      </c>
      <c r="J646" s="590">
        <v>44.824170000000002</v>
      </c>
      <c r="K646" s="590">
        <v>44.824170000000002</v>
      </c>
      <c r="L646" s="285">
        <v>1</v>
      </c>
      <c r="M646" s="590">
        <v>44.824170000000002</v>
      </c>
      <c r="N646" s="6" t="s">
        <v>1375</v>
      </c>
      <c r="O646" s="286">
        <v>45512</v>
      </c>
      <c r="P646" s="33" t="str">
        <f>HYPERLINK("https://my.zakupivli.pro/remote/dispatcher/state_purchase_view/52589055", "UA-2024-08-08-003747-a")</f>
        <v>UA-2024-08-08-003747-a</v>
      </c>
      <c r="Q646" s="285">
        <v>44.824170000000002</v>
      </c>
      <c r="R646" s="285">
        <v>1</v>
      </c>
      <c r="S646" s="285">
        <v>44.824170000000002</v>
      </c>
      <c r="T646" s="286">
        <v>45512</v>
      </c>
      <c r="U646" s="285"/>
      <c r="V646" s="285" t="s">
        <v>59</v>
      </c>
    </row>
    <row r="647" spans="1:22" ht="78" x14ac:dyDescent="0.3">
      <c r="A647" s="287">
        <v>641</v>
      </c>
      <c r="B647" s="43" t="s">
        <v>40</v>
      </c>
      <c r="C647" s="44" t="s">
        <v>884</v>
      </c>
      <c r="D647" s="287"/>
      <c r="E647" s="287" t="s">
        <v>20</v>
      </c>
      <c r="F647" s="44" t="s">
        <v>1376</v>
      </c>
      <c r="G647" s="287" t="s">
        <v>184</v>
      </c>
      <c r="H647" s="590">
        <v>486.64211999999998</v>
      </c>
      <c r="I647" s="287">
        <v>1</v>
      </c>
      <c r="J647" s="590">
        <v>486.64211999999998</v>
      </c>
      <c r="K647" s="590">
        <v>486.64211999999998</v>
      </c>
      <c r="L647" s="287">
        <v>1</v>
      </c>
      <c r="M647" s="590">
        <v>486.64211999999998</v>
      </c>
      <c r="N647" s="6" t="s">
        <v>1380</v>
      </c>
      <c r="O647" s="288">
        <v>45512</v>
      </c>
      <c r="P647" s="33" t="str">
        <f>HYPERLINK("https://my.zakupivli.pro/remote/dispatcher/state_purchase_view/52604904", "UA-2024-08-08-010883-a")</f>
        <v>UA-2024-08-08-010883-a</v>
      </c>
      <c r="Q647" s="287">
        <v>486.64211999999998</v>
      </c>
      <c r="R647" s="287">
        <v>1</v>
      </c>
      <c r="S647" s="287">
        <v>486.64211999999998</v>
      </c>
      <c r="T647" s="288">
        <v>45512</v>
      </c>
      <c r="U647" s="287"/>
      <c r="V647" s="287" t="s">
        <v>59</v>
      </c>
    </row>
    <row r="648" spans="1:22" ht="62.4" x14ac:dyDescent="0.3">
      <c r="A648" s="287">
        <v>642</v>
      </c>
      <c r="B648" s="43" t="s">
        <v>40</v>
      </c>
      <c r="C648" s="44" t="s">
        <v>884</v>
      </c>
      <c r="D648" s="287"/>
      <c r="E648" s="287" t="s">
        <v>20</v>
      </c>
      <c r="F648" s="44" t="s">
        <v>1377</v>
      </c>
      <c r="G648" s="287" t="s">
        <v>184</v>
      </c>
      <c r="H648" s="590">
        <v>336.18543</v>
      </c>
      <c r="I648" s="287">
        <v>1</v>
      </c>
      <c r="J648" s="590">
        <v>336.18543</v>
      </c>
      <c r="K648" s="590">
        <v>336.18543</v>
      </c>
      <c r="L648" s="287">
        <v>1</v>
      </c>
      <c r="M648" s="590">
        <v>336.18543</v>
      </c>
      <c r="N648" s="6" t="s">
        <v>1381</v>
      </c>
      <c r="O648" s="288">
        <v>45512</v>
      </c>
      <c r="P648" s="33" t="str">
        <f>HYPERLINK("https://my.zakupivli.pro/remote/dispatcher/state_purchase_view/52605117", "UA-2024-08-08-010980-a")</f>
        <v>UA-2024-08-08-010980-a</v>
      </c>
      <c r="Q648" s="287">
        <v>336.18543</v>
      </c>
      <c r="R648" s="287">
        <v>1</v>
      </c>
      <c r="S648" s="287">
        <v>336.18543</v>
      </c>
      <c r="T648" s="288">
        <v>45512</v>
      </c>
      <c r="U648" s="287"/>
      <c r="V648" s="287" t="s">
        <v>59</v>
      </c>
    </row>
    <row r="649" spans="1:22" ht="62.4" x14ac:dyDescent="0.3">
      <c r="A649" s="287">
        <v>643</v>
      </c>
      <c r="B649" s="43" t="s">
        <v>40</v>
      </c>
      <c r="C649" s="44" t="s">
        <v>884</v>
      </c>
      <c r="D649" s="287"/>
      <c r="E649" s="287" t="s">
        <v>20</v>
      </c>
      <c r="F649" s="44" t="s">
        <v>1378</v>
      </c>
      <c r="G649" s="287" t="s">
        <v>184</v>
      </c>
      <c r="H649" s="590">
        <v>82.491569999999996</v>
      </c>
      <c r="I649" s="287">
        <v>1</v>
      </c>
      <c r="J649" s="590">
        <v>82.491569999999996</v>
      </c>
      <c r="K649" s="590">
        <v>82.491569999999996</v>
      </c>
      <c r="L649" s="287">
        <v>1</v>
      </c>
      <c r="M649" s="590">
        <v>82.491569999999996</v>
      </c>
      <c r="N649" s="6" t="s">
        <v>1382</v>
      </c>
      <c r="O649" s="288">
        <v>45512</v>
      </c>
      <c r="P649" s="33" t="str">
        <f>HYPERLINK("https://my.zakupivli.pro/remote/dispatcher/state_purchase_view/52605307", "UA-2024-08-08-011072-a")</f>
        <v>UA-2024-08-08-011072-a</v>
      </c>
      <c r="Q649" s="287">
        <v>82.491569999999996</v>
      </c>
      <c r="R649" s="287">
        <v>1</v>
      </c>
      <c r="S649" s="287">
        <v>82.491569999999996</v>
      </c>
      <c r="T649" s="288">
        <v>45512</v>
      </c>
      <c r="U649" s="287"/>
      <c r="V649" s="287" t="s">
        <v>59</v>
      </c>
    </row>
    <row r="650" spans="1:22" ht="62.4" x14ac:dyDescent="0.3">
      <c r="A650" s="287">
        <v>644</v>
      </c>
      <c r="B650" s="43" t="s">
        <v>40</v>
      </c>
      <c r="C650" s="44" t="s">
        <v>884</v>
      </c>
      <c r="D650" s="287"/>
      <c r="E650" s="287" t="s">
        <v>20</v>
      </c>
      <c r="F650" s="44" t="s">
        <v>1379</v>
      </c>
      <c r="G650" s="287" t="s">
        <v>184</v>
      </c>
      <c r="H650" s="590">
        <v>55.581209999999999</v>
      </c>
      <c r="I650" s="287">
        <v>1</v>
      </c>
      <c r="J650" s="590">
        <v>55.581209999999999</v>
      </c>
      <c r="K650" s="590">
        <v>55.581209999999999</v>
      </c>
      <c r="L650" s="287">
        <v>1</v>
      </c>
      <c r="M650" s="590">
        <v>55.581209999999999</v>
      </c>
      <c r="N650" s="6" t="s">
        <v>1383</v>
      </c>
      <c r="O650" s="288">
        <v>45512</v>
      </c>
      <c r="P650" s="33" t="str">
        <f>HYPERLINK("https://my.zakupivli.pro/remote/dispatcher/state_purchase_view/52605472", "UA-2024-08-08-011169-a")</f>
        <v>UA-2024-08-08-011169-a</v>
      </c>
      <c r="Q650" s="287">
        <v>55.581209999999999</v>
      </c>
      <c r="R650" s="287">
        <v>1</v>
      </c>
      <c r="S650" s="287">
        <v>55.581209999999999</v>
      </c>
      <c r="T650" s="288">
        <v>45512</v>
      </c>
      <c r="U650" s="287"/>
      <c r="V650" s="287" t="s">
        <v>59</v>
      </c>
    </row>
    <row r="651" spans="1:22" ht="62.4" x14ac:dyDescent="0.3">
      <c r="A651" s="289">
        <v>645</v>
      </c>
      <c r="B651" s="43" t="s">
        <v>40</v>
      </c>
      <c r="C651" s="44" t="s">
        <v>41</v>
      </c>
      <c r="D651" s="289"/>
      <c r="E651" s="289" t="s">
        <v>75</v>
      </c>
      <c r="F651" s="44" t="s">
        <v>1384</v>
      </c>
      <c r="G651" s="289" t="s">
        <v>184</v>
      </c>
      <c r="H651" s="590">
        <v>475.04106000000002</v>
      </c>
      <c r="I651" s="289">
        <v>1</v>
      </c>
      <c r="J651" s="590">
        <v>475.04106000000002</v>
      </c>
      <c r="K651" s="590">
        <v>475.04106000000002</v>
      </c>
      <c r="L651" s="289">
        <v>1</v>
      </c>
      <c r="M651" s="590">
        <v>475.04106000000002</v>
      </c>
      <c r="N651" s="6" t="s">
        <v>1403</v>
      </c>
      <c r="O651" s="290">
        <v>45526</v>
      </c>
      <c r="P651" s="33" t="str">
        <f>HYPERLINK("https://my.zakupivli.pro/remote/dispatcher/state_purchase_view/52855486", "UA-2024-08-22-004345-a")</f>
        <v>UA-2024-08-22-004345-a</v>
      </c>
      <c r="Q651" s="289">
        <v>475.04106000000002</v>
      </c>
      <c r="R651" s="289">
        <v>1</v>
      </c>
      <c r="S651" s="289">
        <v>475.04106000000002</v>
      </c>
      <c r="T651" s="290">
        <v>45526</v>
      </c>
      <c r="U651" s="289"/>
      <c r="V651" s="289" t="s">
        <v>59</v>
      </c>
    </row>
    <row r="652" spans="1:22" ht="62.4" x14ac:dyDescent="0.3">
      <c r="A652" s="446">
        <v>646</v>
      </c>
      <c r="B652" s="451" t="s">
        <v>40</v>
      </c>
      <c r="C652" s="452" t="s">
        <v>41</v>
      </c>
      <c r="D652" s="446"/>
      <c r="E652" s="446" t="s">
        <v>20</v>
      </c>
      <c r="F652" s="452" t="s">
        <v>1385</v>
      </c>
      <c r="G652" s="289" t="s">
        <v>184</v>
      </c>
      <c r="H652" s="590">
        <v>428.27992</v>
      </c>
      <c r="I652" s="289">
        <v>1</v>
      </c>
      <c r="J652" s="590">
        <v>428.27992</v>
      </c>
      <c r="K652" s="590">
        <v>428.27992</v>
      </c>
      <c r="L652" s="289">
        <v>1</v>
      </c>
      <c r="M652" s="590">
        <v>428.27992</v>
      </c>
      <c r="N652" s="6" t="s">
        <v>1404</v>
      </c>
      <c r="O652" s="290">
        <v>45526</v>
      </c>
      <c r="P652" s="33" t="str">
        <f>HYPERLINK("https://my.zakupivli.pro/remote/dispatcher/state_purchase_view/52855277", "UA-2024-08-22-004238-a")</f>
        <v>UA-2024-08-22-004238-a</v>
      </c>
      <c r="Q652" s="289">
        <v>428.27992</v>
      </c>
      <c r="R652" s="289">
        <v>1</v>
      </c>
      <c r="S652" s="289">
        <v>428.27992</v>
      </c>
      <c r="T652" s="290">
        <v>45526</v>
      </c>
      <c r="U652" s="289"/>
      <c r="V652" s="289" t="s">
        <v>59</v>
      </c>
    </row>
    <row r="653" spans="1:22" ht="62.4" x14ac:dyDescent="0.3">
      <c r="A653" s="289">
        <v>647</v>
      </c>
      <c r="B653" s="43" t="s">
        <v>21</v>
      </c>
      <c r="C653" s="44" t="s">
        <v>412</v>
      </c>
      <c r="D653" s="289"/>
      <c r="E653" s="289" t="s">
        <v>20</v>
      </c>
      <c r="F653" s="44" t="s">
        <v>1386</v>
      </c>
      <c r="G653" s="289" t="s">
        <v>185</v>
      </c>
      <c r="H653" s="590">
        <v>64.5</v>
      </c>
      <c r="I653" s="289">
        <v>1</v>
      </c>
      <c r="J653" s="590">
        <v>64.5</v>
      </c>
      <c r="K653" s="590">
        <v>64.5</v>
      </c>
      <c r="L653" s="289">
        <v>1</v>
      </c>
      <c r="M653" s="590">
        <v>64.5</v>
      </c>
      <c r="N653" s="6" t="s">
        <v>1405</v>
      </c>
      <c r="O653" s="290">
        <v>45526</v>
      </c>
      <c r="P653" s="33" t="str">
        <f>HYPERLINK("https://my.zakupivli.pro/remote/dispatcher/state_purchase_view/52854599", "UA-2024-08-22-003941-a")</f>
        <v>UA-2024-08-22-003941-a</v>
      </c>
      <c r="Q653" s="117">
        <v>64.5</v>
      </c>
      <c r="R653" s="289">
        <v>1</v>
      </c>
      <c r="S653" s="117">
        <v>64.5</v>
      </c>
      <c r="T653" s="290">
        <v>45526</v>
      </c>
      <c r="U653" s="289"/>
      <c r="V653" s="289" t="s">
        <v>59</v>
      </c>
    </row>
    <row r="654" spans="1:22" ht="62.4" x14ac:dyDescent="0.3">
      <c r="A654" s="289">
        <v>648</v>
      </c>
      <c r="B654" s="43" t="s">
        <v>40</v>
      </c>
      <c r="C654" s="44" t="s">
        <v>884</v>
      </c>
      <c r="D654" s="289"/>
      <c r="E654" s="289" t="s">
        <v>20</v>
      </c>
      <c r="F654" s="44" t="s">
        <v>1387</v>
      </c>
      <c r="G654" s="289" t="s">
        <v>184</v>
      </c>
      <c r="H654" s="590">
        <v>222.38373999999999</v>
      </c>
      <c r="I654" s="289">
        <v>1</v>
      </c>
      <c r="J654" s="590">
        <v>222.38373999999999</v>
      </c>
      <c r="K654" s="590">
        <v>222.38373999999999</v>
      </c>
      <c r="L654" s="289">
        <v>1</v>
      </c>
      <c r="M654" s="590">
        <v>222.38373999999999</v>
      </c>
      <c r="N654" s="6" t="s">
        <v>1406</v>
      </c>
      <c r="O654" s="290">
        <v>45525</v>
      </c>
      <c r="P654" s="33" t="str">
        <f>HYPERLINK("https://my.zakupivli.pro/remote/dispatcher/state_purchase_view/52826404", "UA-2024-08-21-003135-a")</f>
        <v>UA-2024-08-21-003135-a</v>
      </c>
      <c r="Q654" s="289">
        <v>222.38373999999999</v>
      </c>
      <c r="R654" s="289">
        <v>1</v>
      </c>
      <c r="S654" s="289">
        <v>222.38373999999999</v>
      </c>
      <c r="T654" s="290">
        <v>45525</v>
      </c>
      <c r="U654" s="289"/>
      <c r="V654" s="289" t="s">
        <v>59</v>
      </c>
    </row>
    <row r="655" spans="1:22" ht="62.4" x14ac:dyDescent="0.3">
      <c r="A655" s="289">
        <v>649</v>
      </c>
      <c r="B655" s="43" t="s">
        <v>40</v>
      </c>
      <c r="C655" s="44" t="s">
        <v>884</v>
      </c>
      <c r="D655" s="289"/>
      <c r="E655" s="289" t="s">
        <v>20</v>
      </c>
      <c r="F655" s="44" t="s">
        <v>1388</v>
      </c>
      <c r="G655" s="289" t="s">
        <v>184</v>
      </c>
      <c r="H655" s="590">
        <v>632.85871999999995</v>
      </c>
      <c r="I655" s="289">
        <v>1</v>
      </c>
      <c r="J655" s="590">
        <v>632.85871999999995</v>
      </c>
      <c r="K655" s="590">
        <v>632.85871999999995</v>
      </c>
      <c r="L655" s="289">
        <v>1</v>
      </c>
      <c r="M655" s="590">
        <v>632.85871999999995</v>
      </c>
      <c r="N655" s="6" t="s">
        <v>1407</v>
      </c>
      <c r="O655" s="290">
        <v>45525</v>
      </c>
      <c r="P655" s="33" t="str">
        <f>HYPERLINK("https://my.zakupivli.pro/remote/dispatcher/state_purchase_view/52828280", "UA-2024-08-21-003975-a")</f>
        <v>UA-2024-08-21-003975-a</v>
      </c>
      <c r="Q655" s="289">
        <v>632.85871999999995</v>
      </c>
      <c r="R655" s="289">
        <v>1</v>
      </c>
      <c r="S655" s="289">
        <v>632.85871999999995</v>
      </c>
      <c r="T655" s="290">
        <v>45525</v>
      </c>
      <c r="U655" s="289"/>
      <c r="V655" s="289" t="s">
        <v>59</v>
      </c>
    </row>
    <row r="656" spans="1:22" ht="62.4" x14ac:dyDescent="0.3">
      <c r="A656" s="289">
        <v>650</v>
      </c>
      <c r="B656" s="43" t="s">
        <v>40</v>
      </c>
      <c r="C656" s="44" t="s">
        <v>884</v>
      </c>
      <c r="D656" s="289"/>
      <c r="E656" s="289" t="s">
        <v>20</v>
      </c>
      <c r="F656" s="44" t="s">
        <v>1389</v>
      </c>
      <c r="G656" s="289" t="s">
        <v>184</v>
      </c>
      <c r="H656" s="590">
        <v>68.669600000000003</v>
      </c>
      <c r="I656" s="289">
        <v>1</v>
      </c>
      <c r="J656" s="590">
        <v>68.669600000000003</v>
      </c>
      <c r="K656" s="590">
        <v>68.669600000000003</v>
      </c>
      <c r="L656" s="289">
        <v>1</v>
      </c>
      <c r="M656" s="590">
        <v>68.669600000000003</v>
      </c>
      <c r="N656" s="6" t="s">
        <v>1408</v>
      </c>
      <c r="O656" s="290">
        <v>45525</v>
      </c>
      <c r="P656" s="33" t="str">
        <f>HYPERLINK("https://my.zakupivli.pro/remote/dispatcher/state_purchase_view/52827119", "UA-2024-08-21-003447-a")</f>
        <v>UA-2024-08-21-003447-a</v>
      </c>
      <c r="Q656" s="289">
        <v>68.669600000000003</v>
      </c>
      <c r="R656" s="289">
        <v>1</v>
      </c>
      <c r="S656" s="289">
        <v>68.669600000000003</v>
      </c>
      <c r="T656" s="290">
        <v>45525</v>
      </c>
      <c r="U656" s="289"/>
      <c r="V656" s="289" t="s">
        <v>59</v>
      </c>
    </row>
    <row r="657" spans="1:22" ht="62.4" x14ac:dyDescent="0.3">
      <c r="A657" s="289">
        <v>651</v>
      </c>
      <c r="B657" s="289" t="s">
        <v>1150</v>
      </c>
      <c r="C657" s="44" t="s">
        <v>1400</v>
      </c>
      <c r="D657" s="289"/>
      <c r="E657" s="289" t="s">
        <v>75</v>
      </c>
      <c r="F657" s="44" t="s">
        <v>1390</v>
      </c>
      <c r="G657" s="289" t="s">
        <v>1149</v>
      </c>
      <c r="H657" s="590">
        <v>76.848349999999996</v>
      </c>
      <c r="I657" s="289">
        <v>1</v>
      </c>
      <c r="J657" s="590">
        <v>76.848349999999996</v>
      </c>
      <c r="K657" s="590">
        <v>76.848349999999996</v>
      </c>
      <c r="L657" s="289">
        <v>1</v>
      </c>
      <c r="M657" s="590">
        <v>76.848349999999996</v>
      </c>
      <c r="N657" s="6" t="s">
        <v>1409</v>
      </c>
      <c r="O657" s="290">
        <v>45524</v>
      </c>
      <c r="P657" s="33" t="str">
        <f>HYPERLINK("https://my.zakupivli.pro/remote/dispatcher/state_purchase_view/52816266", "UA-2024-08-20-011009-a")</f>
        <v>UA-2024-08-20-011009-a</v>
      </c>
      <c r="Q657" s="289">
        <v>76.848349999999996</v>
      </c>
      <c r="R657" s="289">
        <v>1</v>
      </c>
      <c r="S657" s="289">
        <v>76.848349999999996</v>
      </c>
      <c r="T657" s="290">
        <v>45524</v>
      </c>
      <c r="U657" s="289"/>
      <c r="V657" s="289" t="s">
        <v>59</v>
      </c>
    </row>
    <row r="658" spans="1:22" ht="202.8" x14ac:dyDescent="0.3">
      <c r="A658" s="289">
        <v>652</v>
      </c>
      <c r="B658" s="289" t="s">
        <v>21</v>
      </c>
      <c r="C658" s="44" t="s">
        <v>174</v>
      </c>
      <c r="D658" s="313" t="s">
        <v>58</v>
      </c>
      <c r="E658" s="289" t="s">
        <v>88</v>
      </c>
      <c r="F658" s="44" t="s">
        <v>1391</v>
      </c>
      <c r="G658" s="289" t="s">
        <v>187</v>
      </c>
      <c r="H658" s="590"/>
      <c r="I658" s="289">
        <v>34</v>
      </c>
      <c r="J658" s="590">
        <v>921.16</v>
      </c>
      <c r="K658" s="590"/>
      <c r="L658" s="289">
        <v>34</v>
      </c>
      <c r="M658" s="590">
        <v>921.16</v>
      </c>
      <c r="N658" s="6" t="s">
        <v>1410</v>
      </c>
      <c r="O658" s="290">
        <v>45520</v>
      </c>
      <c r="P658" s="33" t="str">
        <f>HYPERLINK("https://my.zakupivli.pro/remote/dispatcher/state_purchase_view/52746547", "UA-2024-08-16-002910-a")</f>
        <v>UA-2024-08-16-002910-a</v>
      </c>
      <c r="Q658" s="289"/>
      <c r="R658" s="289">
        <v>34</v>
      </c>
      <c r="S658" s="289">
        <v>870.6</v>
      </c>
      <c r="T658" s="290">
        <v>45566</v>
      </c>
      <c r="U658" s="289"/>
      <c r="V658" s="289"/>
    </row>
    <row r="659" spans="1:22" ht="78" x14ac:dyDescent="0.3">
      <c r="A659" s="289">
        <v>653</v>
      </c>
      <c r="B659" s="289" t="s">
        <v>21</v>
      </c>
      <c r="C659" s="44" t="s">
        <v>1364</v>
      </c>
      <c r="D659" s="289"/>
      <c r="E659" s="289" t="s">
        <v>75</v>
      </c>
      <c r="F659" s="44" t="s">
        <v>1392</v>
      </c>
      <c r="G659" s="289" t="s">
        <v>185</v>
      </c>
      <c r="H659" s="590">
        <v>65</v>
      </c>
      <c r="I659" s="289">
        <v>1</v>
      </c>
      <c r="J659" s="590">
        <v>65</v>
      </c>
      <c r="K659" s="590">
        <v>65</v>
      </c>
      <c r="L659" s="289">
        <v>1</v>
      </c>
      <c r="M659" s="590">
        <v>65</v>
      </c>
      <c r="N659" s="6" t="s">
        <v>1411</v>
      </c>
      <c r="O659" s="290">
        <v>45519</v>
      </c>
      <c r="P659" s="33" t="str">
        <f>HYPERLINK("https://my.zakupivli.pro/remote/dispatcher/state_purchase_view/52745815", "UA-2024-08-16-002605-a")</f>
        <v>UA-2024-08-16-002605-a</v>
      </c>
      <c r="Q659" s="117">
        <v>65</v>
      </c>
      <c r="R659" s="289">
        <v>1</v>
      </c>
      <c r="S659" s="117">
        <v>65</v>
      </c>
      <c r="T659" s="290">
        <v>45519</v>
      </c>
      <c r="U659" s="289"/>
      <c r="V659" s="289" t="s">
        <v>59</v>
      </c>
    </row>
    <row r="660" spans="1:22" ht="62.4" x14ac:dyDescent="0.3">
      <c r="A660" s="289">
        <v>654</v>
      </c>
      <c r="B660" s="289" t="s">
        <v>21</v>
      </c>
      <c r="C660" s="44" t="s">
        <v>1401</v>
      </c>
      <c r="D660" s="289"/>
      <c r="E660" s="289" t="s">
        <v>75</v>
      </c>
      <c r="F660" s="44" t="s">
        <v>1393</v>
      </c>
      <c r="G660" s="289" t="s">
        <v>185</v>
      </c>
      <c r="H660" s="590">
        <v>87.6</v>
      </c>
      <c r="I660" s="289">
        <v>3</v>
      </c>
      <c r="J660" s="590">
        <v>87.6</v>
      </c>
      <c r="K660" s="590">
        <v>87.6</v>
      </c>
      <c r="L660" s="289">
        <v>3</v>
      </c>
      <c r="M660" s="590">
        <v>87.6</v>
      </c>
      <c r="N660" s="6" t="s">
        <v>1412</v>
      </c>
      <c r="O660" s="290">
        <v>45520</v>
      </c>
      <c r="P660" s="33" t="str">
        <f>HYPERLINK("https://my.zakupivli.pro/remote/dispatcher/state_purchase_view/52749428", "UA-2024-08-16-004297-a")</f>
        <v>UA-2024-08-16-004297-a</v>
      </c>
      <c r="Q660" s="117">
        <v>87.6</v>
      </c>
      <c r="R660" s="289">
        <v>3</v>
      </c>
      <c r="S660" s="117">
        <v>87.6</v>
      </c>
      <c r="T660" s="290">
        <v>45520</v>
      </c>
      <c r="U660" s="289"/>
      <c r="V660" s="289" t="s">
        <v>59</v>
      </c>
    </row>
    <row r="661" spans="1:22" ht="78" x14ac:dyDescent="0.3">
      <c r="A661" s="289">
        <v>655</v>
      </c>
      <c r="B661" s="289" t="s">
        <v>21</v>
      </c>
      <c r="C661" s="44" t="s">
        <v>176</v>
      </c>
      <c r="D661" s="313" t="s">
        <v>58</v>
      </c>
      <c r="E661" s="289" t="s">
        <v>88</v>
      </c>
      <c r="F661" s="44" t="s">
        <v>1394</v>
      </c>
      <c r="G661" s="289" t="s">
        <v>185</v>
      </c>
      <c r="H661" s="590"/>
      <c r="I661" s="289">
        <v>1374</v>
      </c>
      <c r="J661" s="590">
        <v>2486.4</v>
      </c>
      <c r="K661" s="590"/>
      <c r="L661" s="289">
        <v>1374</v>
      </c>
      <c r="M661" s="590">
        <v>2486.4</v>
      </c>
      <c r="N661" s="6" t="s">
        <v>1413</v>
      </c>
      <c r="O661" s="290">
        <v>45520</v>
      </c>
      <c r="P661" s="33" t="str">
        <f>HYPERLINK("https://my.zakupivli.pro/remote/dispatcher/state_purchase_view/52757356", "UA-2024-08-16-007878-a")</f>
        <v>UA-2024-08-16-007878-a</v>
      </c>
      <c r="Q661" s="289"/>
      <c r="R661" s="289">
        <v>1374</v>
      </c>
      <c r="S661" s="117">
        <v>2486.4</v>
      </c>
      <c r="T661" s="290">
        <v>45544</v>
      </c>
      <c r="U661" s="289"/>
      <c r="V661" s="289"/>
    </row>
    <row r="662" spans="1:22" ht="62.4" x14ac:dyDescent="0.3">
      <c r="A662" s="289">
        <v>656</v>
      </c>
      <c r="B662" s="289" t="s">
        <v>21</v>
      </c>
      <c r="C662" s="44" t="s">
        <v>405</v>
      </c>
      <c r="D662" s="313" t="s">
        <v>58</v>
      </c>
      <c r="E662" s="289" t="s">
        <v>88</v>
      </c>
      <c r="F662" s="44" t="s">
        <v>1395</v>
      </c>
      <c r="G662" s="289" t="s">
        <v>185</v>
      </c>
      <c r="H662" s="590"/>
      <c r="I662" s="289">
        <v>54</v>
      </c>
      <c r="J662" s="590">
        <v>8192.5128000000004</v>
      </c>
      <c r="K662" s="590"/>
      <c r="L662" s="289">
        <v>54</v>
      </c>
      <c r="M662" s="590">
        <v>8192.5128000000004</v>
      </c>
      <c r="N662" s="6" t="s">
        <v>1414</v>
      </c>
      <c r="O662" s="290">
        <v>45520</v>
      </c>
      <c r="P662" s="33" t="str">
        <f>HYPERLINK("https://my.zakupivli.pro/remote/dispatcher/state_purchase_view/52758416", "UA-2024-08-16-008358-a")</f>
        <v>UA-2024-08-16-008358-a</v>
      </c>
      <c r="Q662" s="289"/>
      <c r="R662" s="289">
        <v>54</v>
      </c>
      <c r="S662" s="289">
        <v>8166.96</v>
      </c>
      <c r="T662" s="290">
        <v>45543</v>
      </c>
      <c r="U662" s="289"/>
      <c r="V662" s="289"/>
    </row>
    <row r="663" spans="1:22" ht="62.4" x14ac:dyDescent="0.3">
      <c r="A663" s="289">
        <v>657</v>
      </c>
      <c r="B663" s="289" t="s">
        <v>21</v>
      </c>
      <c r="C663" s="44" t="s">
        <v>32</v>
      </c>
      <c r="D663" s="313" t="s">
        <v>58</v>
      </c>
      <c r="E663" s="289" t="s">
        <v>88</v>
      </c>
      <c r="F663" s="44" t="s">
        <v>1396</v>
      </c>
      <c r="G663" s="289" t="s">
        <v>185</v>
      </c>
      <c r="H663" s="590"/>
      <c r="I663" s="289">
        <v>129</v>
      </c>
      <c r="J663" s="590">
        <v>103.26</v>
      </c>
      <c r="K663" s="590"/>
      <c r="L663" s="289">
        <v>129</v>
      </c>
      <c r="M663" s="590">
        <v>103.26</v>
      </c>
      <c r="N663" s="6" t="s">
        <v>1415</v>
      </c>
      <c r="O663" s="290">
        <v>45520</v>
      </c>
      <c r="P663" s="33" t="str">
        <f>HYPERLINK("https://my.zakupivli.pro/remote/dispatcher/state_purchase_view/52758890", "UA-2024-08-16-008563-a")</f>
        <v>UA-2024-08-16-008563-a</v>
      </c>
      <c r="Q663" s="289"/>
      <c r="R663" s="289">
        <v>129</v>
      </c>
      <c r="S663" s="289">
        <v>102.61499999999999</v>
      </c>
      <c r="T663" s="312">
        <v>45544</v>
      </c>
      <c r="U663" s="289"/>
      <c r="V663" s="289"/>
    </row>
    <row r="664" spans="1:22" ht="62.4" x14ac:dyDescent="0.3">
      <c r="A664" s="289">
        <v>658</v>
      </c>
      <c r="B664" s="289" t="s">
        <v>40</v>
      </c>
      <c r="C664" s="44" t="s">
        <v>884</v>
      </c>
      <c r="D664" s="289"/>
      <c r="E664" s="289" t="s">
        <v>20</v>
      </c>
      <c r="F664" s="44" t="s">
        <v>1397</v>
      </c>
      <c r="G664" s="289" t="s">
        <v>184</v>
      </c>
      <c r="H664" s="590">
        <v>54.13823</v>
      </c>
      <c r="I664" s="289">
        <v>1</v>
      </c>
      <c r="J664" s="590">
        <v>54.13823</v>
      </c>
      <c r="K664" s="590">
        <v>54.13823</v>
      </c>
      <c r="L664" s="289">
        <v>1</v>
      </c>
      <c r="M664" s="590">
        <v>54.13823</v>
      </c>
      <c r="N664" s="6" t="s">
        <v>1416</v>
      </c>
      <c r="O664" s="290">
        <v>45519</v>
      </c>
      <c r="P664" s="33" t="str">
        <f>HYPERLINK("https://my.zakupivli.pro/remote/dispatcher/state_purchase_view/52723728", "UA-2024-08-15-004257-a")</f>
        <v>UA-2024-08-15-004257-a</v>
      </c>
      <c r="Q664" s="289">
        <v>54.13823</v>
      </c>
      <c r="R664" s="289">
        <v>1</v>
      </c>
      <c r="S664" s="289">
        <v>54.13823</v>
      </c>
      <c r="T664" s="290">
        <v>45519</v>
      </c>
      <c r="U664" s="289"/>
      <c r="V664" s="289" t="s">
        <v>59</v>
      </c>
    </row>
    <row r="665" spans="1:22" ht="62.4" x14ac:dyDescent="0.3">
      <c r="A665" s="289">
        <v>659</v>
      </c>
      <c r="B665" s="289" t="s">
        <v>40</v>
      </c>
      <c r="C665" s="44" t="s">
        <v>884</v>
      </c>
      <c r="D665" s="289"/>
      <c r="E665" s="289" t="s">
        <v>20</v>
      </c>
      <c r="F665" s="44" t="s">
        <v>1398</v>
      </c>
      <c r="G665" s="289" t="s">
        <v>184</v>
      </c>
      <c r="H665" s="590">
        <v>72.478120000000004</v>
      </c>
      <c r="I665" s="289">
        <v>1</v>
      </c>
      <c r="J665" s="590">
        <v>72.478120000000004</v>
      </c>
      <c r="K665" s="590">
        <v>72.478120000000004</v>
      </c>
      <c r="L665" s="289">
        <v>1</v>
      </c>
      <c r="M665" s="590">
        <v>72.478120000000004</v>
      </c>
      <c r="N665" s="6" t="s">
        <v>1417</v>
      </c>
      <c r="O665" s="290">
        <v>45519</v>
      </c>
      <c r="P665" s="33" t="str">
        <f>HYPERLINK("https://my.zakupivli.pro/remote/dispatcher/state_purchase_view/52723515", "UA-2024-08-15-004128-a")</f>
        <v>UA-2024-08-15-004128-a</v>
      </c>
      <c r="Q665" s="289">
        <v>72.478120000000004</v>
      </c>
      <c r="R665" s="289">
        <v>1</v>
      </c>
      <c r="S665" s="289">
        <v>72.478120000000004</v>
      </c>
      <c r="T665" s="290">
        <v>45519</v>
      </c>
      <c r="U665" s="289"/>
      <c r="V665" s="289" t="s">
        <v>59</v>
      </c>
    </row>
    <row r="666" spans="1:22" ht="62.4" x14ac:dyDescent="0.3">
      <c r="A666" s="289">
        <v>660</v>
      </c>
      <c r="B666" s="289" t="s">
        <v>21</v>
      </c>
      <c r="C666" s="44" t="s">
        <v>760</v>
      </c>
      <c r="D666" s="289"/>
      <c r="E666" s="289" t="s">
        <v>75</v>
      </c>
      <c r="F666" s="44" t="s">
        <v>1399</v>
      </c>
      <c r="G666" s="289" t="s">
        <v>185</v>
      </c>
      <c r="H666" s="590">
        <v>60.012999999999998</v>
      </c>
      <c r="I666" s="289">
        <v>1</v>
      </c>
      <c r="J666" s="590">
        <v>60.012999999999998</v>
      </c>
      <c r="K666" s="590">
        <v>60.012999999999998</v>
      </c>
      <c r="L666" s="289">
        <v>1</v>
      </c>
      <c r="M666" s="590">
        <v>60.012999999999998</v>
      </c>
      <c r="N666" s="6" t="s">
        <v>1418</v>
      </c>
      <c r="O666" s="290">
        <v>45519</v>
      </c>
      <c r="P666" s="33" t="str">
        <f>HYPERLINK("https://my.zakupivli.pro/remote/dispatcher/state_purchase_view/52687668", "UA-2024-08-14-000304-a")</f>
        <v>UA-2024-08-14-000304-a</v>
      </c>
      <c r="Q666" s="289">
        <v>60.012999999999998</v>
      </c>
      <c r="R666" s="289">
        <v>1</v>
      </c>
      <c r="S666" s="289">
        <v>60.012999999999998</v>
      </c>
      <c r="T666" s="290">
        <v>45519</v>
      </c>
      <c r="U666" s="289"/>
      <c r="V666" s="289" t="s">
        <v>59</v>
      </c>
    </row>
    <row r="667" spans="1:22" ht="78" x14ac:dyDescent="0.3">
      <c r="A667" s="289">
        <v>661</v>
      </c>
      <c r="B667" s="289" t="s">
        <v>40</v>
      </c>
      <c r="C667" s="44" t="s">
        <v>73</v>
      </c>
      <c r="D667" s="289"/>
      <c r="E667" s="289" t="s">
        <v>75</v>
      </c>
      <c r="F667" s="44" t="s">
        <v>1402</v>
      </c>
      <c r="G667" s="289" t="s">
        <v>184</v>
      </c>
      <c r="H667" s="590">
        <v>92.021000000000001</v>
      </c>
      <c r="I667" s="289">
        <v>1</v>
      </c>
      <c r="J667" s="590">
        <v>92.021000000000001</v>
      </c>
      <c r="K667" s="590">
        <v>92.021000000000001</v>
      </c>
      <c r="L667" s="289">
        <v>1</v>
      </c>
      <c r="M667" s="590">
        <v>92.021000000000001</v>
      </c>
      <c r="N667" s="6" t="s">
        <v>1419</v>
      </c>
      <c r="O667" s="290">
        <v>45518</v>
      </c>
      <c r="P667" s="33" t="str">
        <f>HYPERLINK("https://my.zakupivli.pro/remote/dispatcher/state_purchase_view/52706129", "UA-2024-08-14-008653-a")</f>
        <v>UA-2024-08-14-008653-a</v>
      </c>
      <c r="Q667" s="289">
        <v>92.021000000000001</v>
      </c>
      <c r="R667" s="289">
        <v>1</v>
      </c>
      <c r="S667" s="289">
        <v>92.021000000000001</v>
      </c>
      <c r="T667" s="290">
        <v>45518</v>
      </c>
      <c r="U667" s="289"/>
      <c r="V667" s="289" t="s">
        <v>59</v>
      </c>
    </row>
    <row r="668" spans="1:22" ht="62.4" x14ac:dyDescent="0.3">
      <c r="A668" s="289">
        <v>662</v>
      </c>
      <c r="B668" s="289" t="s">
        <v>21</v>
      </c>
      <c r="C668" s="44" t="s">
        <v>1143</v>
      </c>
      <c r="D668" s="289"/>
      <c r="E668" s="289" t="s">
        <v>75</v>
      </c>
      <c r="F668" s="44" t="s">
        <v>1141</v>
      </c>
      <c r="G668" s="289" t="s">
        <v>186</v>
      </c>
      <c r="H668" s="590"/>
      <c r="I668" s="289">
        <v>3</v>
      </c>
      <c r="J668" s="590">
        <v>52.291200000000003</v>
      </c>
      <c r="K668" s="590"/>
      <c r="L668" s="289">
        <v>3</v>
      </c>
      <c r="M668" s="590">
        <v>52.291200000000003</v>
      </c>
      <c r="N668" s="6" t="s">
        <v>1420</v>
      </c>
      <c r="O668" s="290">
        <v>45517</v>
      </c>
      <c r="P668" s="33" t="str">
        <f>HYPERLINK("https://my.zakupivli.pro/remote/dispatcher/state_purchase_view/52684518", "UA-2024-08-13-010928-a")</f>
        <v>UA-2024-08-13-010928-a</v>
      </c>
      <c r="Q668" s="289"/>
      <c r="R668" s="289">
        <v>3</v>
      </c>
      <c r="S668" s="289">
        <v>52.291200000000003</v>
      </c>
      <c r="T668" s="290">
        <v>45517</v>
      </c>
      <c r="U668" s="289"/>
      <c r="V668" s="289" t="s">
        <v>59</v>
      </c>
    </row>
    <row r="669" spans="1:22" ht="62.4" x14ac:dyDescent="0.3">
      <c r="A669" s="289">
        <v>663</v>
      </c>
      <c r="B669" s="289" t="s">
        <v>21</v>
      </c>
      <c r="C669" s="44" t="s">
        <v>412</v>
      </c>
      <c r="D669" s="289"/>
      <c r="E669" s="289" t="s">
        <v>20</v>
      </c>
      <c r="F669" s="44" t="s">
        <v>1296</v>
      </c>
      <c r="G669" s="289" t="s">
        <v>185</v>
      </c>
      <c r="H669" s="590">
        <v>64.5</v>
      </c>
      <c r="I669" s="289">
        <v>1</v>
      </c>
      <c r="J669" s="590">
        <v>64.5</v>
      </c>
      <c r="K669" s="590">
        <v>64.5</v>
      </c>
      <c r="L669" s="289">
        <v>1</v>
      </c>
      <c r="M669" s="590">
        <v>64.5</v>
      </c>
      <c r="N669" s="6" t="s">
        <v>1421</v>
      </c>
      <c r="O669" s="290">
        <v>45516</v>
      </c>
      <c r="P669" s="33" t="str">
        <f>HYPERLINK("https://my.zakupivli.pro/remote/dispatcher/state_purchase_view/52648015", "UA-2024-08-12-006182-a")</f>
        <v>UA-2024-08-12-006182-a</v>
      </c>
      <c r="Q669" s="117">
        <v>64.5</v>
      </c>
      <c r="R669" s="289">
        <v>1</v>
      </c>
      <c r="S669" s="117">
        <v>64.5</v>
      </c>
      <c r="T669" s="290">
        <v>45516</v>
      </c>
      <c r="U669" s="289"/>
      <c r="V669" s="289" t="s">
        <v>59</v>
      </c>
    </row>
    <row r="670" spans="1:22" ht="62.4" x14ac:dyDescent="0.3">
      <c r="A670" s="289">
        <v>664</v>
      </c>
      <c r="B670" s="289" t="s">
        <v>21</v>
      </c>
      <c r="C670" s="44" t="s">
        <v>760</v>
      </c>
      <c r="D670" s="289"/>
      <c r="E670" s="289" t="s">
        <v>75</v>
      </c>
      <c r="F670" s="44" t="s">
        <v>1399</v>
      </c>
      <c r="G670" s="289" t="s">
        <v>185</v>
      </c>
      <c r="H670" s="590">
        <v>66.013000000000005</v>
      </c>
      <c r="I670" s="289">
        <v>1</v>
      </c>
      <c r="J670" s="590">
        <v>66.013000000000005</v>
      </c>
      <c r="K670" s="590">
        <v>66.013000000000005</v>
      </c>
      <c r="L670" s="289">
        <v>1</v>
      </c>
      <c r="M670" s="590">
        <v>66.013000000000005</v>
      </c>
      <c r="N670" s="6" t="s">
        <v>1422</v>
      </c>
      <c r="O670" s="290">
        <v>45513</v>
      </c>
      <c r="P670" s="33" t="str">
        <f>HYPERLINK("https://my.zakupivli.pro/remote/dispatcher/state_purchase_view/52614637", "UA-2024-08-09-003010-a")</f>
        <v>UA-2024-08-09-003010-a</v>
      </c>
      <c r="Q670" s="289">
        <v>66.013000000000005</v>
      </c>
      <c r="R670" s="289">
        <v>1</v>
      </c>
      <c r="S670" s="289">
        <v>66.013000000000005</v>
      </c>
      <c r="T670" s="290">
        <v>45513</v>
      </c>
      <c r="U670" s="289"/>
      <c r="V670" s="289" t="s">
        <v>59</v>
      </c>
    </row>
    <row r="671" spans="1:22" ht="62.4" x14ac:dyDescent="0.3">
      <c r="A671" s="289">
        <v>665</v>
      </c>
      <c r="B671" s="291" t="s">
        <v>21</v>
      </c>
      <c r="C671" s="44" t="s">
        <v>1425</v>
      </c>
      <c r="D671" s="313" t="s">
        <v>58</v>
      </c>
      <c r="E671" s="291" t="s">
        <v>88</v>
      </c>
      <c r="F671" s="44" t="s">
        <v>1423</v>
      </c>
      <c r="G671" s="289" t="s">
        <v>185</v>
      </c>
      <c r="H671" s="590"/>
      <c r="I671" s="289">
        <v>17</v>
      </c>
      <c r="J671" s="590">
        <v>1144.2850000000001</v>
      </c>
      <c r="K671" s="590"/>
      <c r="L671" s="291">
        <v>17</v>
      </c>
      <c r="M671" s="590">
        <v>1144.2850000000001</v>
      </c>
      <c r="N671" s="6" t="s">
        <v>1427</v>
      </c>
      <c r="O671" s="290">
        <v>45533</v>
      </c>
      <c r="P671" s="33" t="str">
        <f>HYPERLINK("https://my.zakupivli.pro/remote/dispatcher/state_purchase_view/52989866", "UA-2024-08-29-007868-a")</f>
        <v>UA-2024-08-29-007868-a</v>
      </c>
      <c r="Q671" s="289"/>
      <c r="R671" s="289">
        <v>17</v>
      </c>
      <c r="S671" s="289">
        <v>1144.2850000000001</v>
      </c>
      <c r="T671" s="290">
        <v>45588</v>
      </c>
      <c r="U671" s="289"/>
      <c r="V671" s="289"/>
    </row>
    <row r="672" spans="1:22" ht="78" x14ac:dyDescent="0.3">
      <c r="A672" s="289">
        <v>666</v>
      </c>
      <c r="B672" s="291" t="s">
        <v>21</v>
      </c>
      <c r="C672" s="44" t="s">
        <v>1426</v>
      </c>
      <c r="D672" s="313" t="s">
        <v>58</v>
      </c>
      <c r="E672" s="291" t="s">
        <v>88</v>
      </c>
      <c r="F672" s="44" t="s">
        <v>1424</v>
      </c>
      <c r="G672" s="289" t="s">
        <v>185</v>
      </c>
      <c r="H672" s="590"/>
      <c r="I672" s="289">
        <v>16</v>
      </c>
      <c r="J672" s="590">
        <v>457.49416000000002</v>
      </c>
      <c r="K672" s="590"/>
      <c r="L672" s="291">
        <v>16</v>
      </c>
      <c r="M672" s="590">
        <v>457.49416000000002</v>
      </c>
      <c r="N672" s="6" t="s">
        <v>1428</v>
      </c>
      <c r="O672" s="292">
        <v>45533</v>
      </c>
      <c r="P672" s="33" t="str">
        <f>HYPERLINK("https://my.zakupivli.pro/remote/dispatcher/state_purchase_view/52990788", "UA-2024-08-29-008281-a")</f>
        <v>UA-2024-08-29-008281-a</v>
      </c>
      <c r="Q672" s="289"/>
      <c r="R672" s="289">
        <v>16</v>
      </c>
      <c r="S672" s="289">
        <v>457.49417</v>
      </c>
      <c r="T672" s="290">
        <v>45551</v>
      </c>
      <c r="U672" s="289"/>
      <c r="V672" s="289"/>
    </row>
    <row r="673" spans="1:22" ht="62.4" x14ac:dyDescent="0.3">
      <c r="A673" s="289">
        <v>667</v>
      </c>
      <c r="B673" s="289" t="s">
        <v>1150</v>
      </c>
      <c r="C673" s="41" t="s">
        <v>1400</v>
      </c>
      <c r="D673" s="289"/>
      <c r="E673" s="294" t="s">
        <v>75</v>
      </c>
      <c r="F673" s="50" t="s">
        <v>1429</v>
      </c>
      <c r="G673" s="289" t="s">
        <v>1149</v>
      </c>
      <c r="H673" s="590">
        <v>78</v>
      </c>
      <c r="I673" s="289">
        <v>1</v>
      </c>
      <c r="J673" s="590">
        <v>78</v>
      </c>
      <c r="K673" s="590">
        <v>78</v>
      </c>
      <c r="L673" s="294">
        <v>1</v>
      </c>
      <c r="M673" s="590">
        <v>78</v>
      </c>
      <c r="N673" s="6" t="s">
        <v>1430</v>
      </c>
      <c r="O673" s="290">
        <v>45537</v>
      </c>
      <c r="P673" s="42" t="str">
        <f>HYPERLINK("https://my.zakupivli.pro/remote/dispatcher/state_purchase_view/53031151", "UA-2024-09-02-005487-a")</f>
        <v>UA-2024-09-02-005487-a</v>
      </c>
      <c r="Q673" s="117">
        <v>78</v>
      </c>
      <c r="R673" s="294">
        <v>1</v>
      </c>
      <c r="S673" s="117">
        <v>78</v>
      </c>
      <c r="T673" s="293">
        <v>45537</v>
      </c>
      <c r="U673" s="289"/>
      <c r="V673" s="294" t="s">
        <v>59</v>
      </c>
    </row>
    <row r="674" spans="1:22" ht="62.4" x14ac:dyDescent="0.3">
      <c r="A674" s="289">
        <v>668</v>
      </c>
      <c r="B674" s="289" t="s">
        <v>21</v>
      </c>
      <c r="C674" s="44" t="s">
        <v>30</v>
      </c>
      <c r="D674" s="289"/>
      <c r="E674" s="295" t="s">
        <v>75</v>
      </c>
      <c r="F674" s="223" t="s">
        <v>1431</v>
      </c>
      <c r="G674" s="289" t="s">
        <v>186</v>
      </c>
      <c r="H674" s="590"/>
      <c r="I674" s="289">
        <v>2</v>
      </c>
      <c r="J674" s="590">
        <v>79.25</v>
      </c>
      <c r="K674" s="590"/>
      <c r="L674" s="295">
        <v>2</v>
      </c>
      <c r="M674" s="590">
        <v>79.25</v>
      </c>
      <c r="N674" s="6" t="s">
        <v>1432</v>
      </c>
      <c r="O674" s="290">
        <v>45541</v>
      </c>
      <c r="P674" s="33" t="str">
        <f>HYPERLINK("https://my.zakupivli.pro/remote/dispatcher/state_purchase_view/53131375", "UA-2024-09-06-000103-a")</f>
        <v>UA-2024-09-06-000103-a</v>
      </c>
      <c r="Q674" s="289"/>
      <c r="R674" s="295">
        <v>2</v>
      </c>
      <c r="S674" s="295">
        <v>79.25</v>
      </c>
      <c r="T674" s="290">
        <v>45540</v>
      </c>
      <c r="U674" s="289"/>
      <c r="V674" s="295" t="s">
        <v>59</v>
      </c>
    </row>
    <row r="675" spans="1:22" ht="109.2" x14ac:dyDescent="0.3">
      <c r="A675" s="289">
        <v>669</v>
      </c>
      <c r="B675" s="296" t="s">
        <v>21</v>
      </c>
      <c r="C675" s="44" t="s">
        <v>1435</v>
      </c>
      <c r="D675" s="313" t="s">
        <v>58</v>
      </c>
      <c r="E675" s="296" t="s">
        <v>88</v>
      </c>
      <c r="F675" s="44" t="s">
        <v>1433</v>
      </c>
      <c r="G675" s="289" t="s">
        <v>185</v>
      </c>
      <c r="H675" s="590"/>
      <c r="I675" s="289">
        <v>33</v>
      </c>
      <c r="J675" s="590">
        <v>566.9425</v>
      </c>
      <c r="K675" s="590"/>
      <c r="L675" s="296">
        <v>33</v>
      </c>
      <c r="M675" s="590">
        <v>566.9425</v>
      </c>
      <c r="N675" s="6" t="s">
        <v>1436</v>
      </c>
      <c r="O675" s="297">
        <v>45544</v>
      </c>
      <c r="P675" s="33" t="str">
        <f>HYPERLINK("https://my.zakupivli.pro/remote/dispatcher/state_purchase_view/53177341", "UA-2024-09-09-007168-a")</f>
        <v>UA-2024-09-09-007168-a</v>
      </c>
      <c r="Q675" s="289"/>
      <c r="R675" s="289">
        <v>33</v>
      </c>
      <c r="S675" s="289"/>
      <c r="T675" s="290"/>
      <c r="U675" s="289" t="s">
        <v>1489</v>
      </c>
      <c r="V675" s="289"/>
    </row>
    <row r="676" spans="1:22" ht="78" x14ac:dyDescent="0.3">
      <c r="A676" s="289">
        <v>670</v>
      </c>
      <c r="B676" s="296" t="s">
        <v>40</v>
      </c>
      <c r="C676" s="44" t="s">
        <v>41</v>
      </c>
      <c r="D676" s="289"/>
      <c r="E676" s="296" t="s">
        <v>20</v>
      </c>
      <c r="F676" s="44" t="s">
        <v>1434</v>
      </c>
      <c r="G676" s="289" t="s">
        <v>184</v>
      </c>
      <c r="H676" s="590">
        <v>608.66445999999996</v>
      </c>
      <c r="I676" s="289">
        <v>1</v>
      </c>
      <c r="J676" s="590">
        <v>608.66445999999996</v>
      </c>
      <c r="K676" s="590">
        <v>608.66445999999996</v>
      </c>
      <c r="L676" s="296">
        <v>1</v>
      </c>
      <c r="M676" s="590">
        <v>608.66445999999996</v>
      </c>
      <c r="N676" s="6" t="s">
        <v>1437</v>
      </c>
      <c r="O676" s="290">
        <v>45544</v>
      </c>
      <c r="P676" s="33" t="str">
        <f>HYPERLINK("https://my.zakupivli.pro/remote/dispatcher/state_purchase_view/53189619", "UA-2024-09-09-012658-a")</f>
        <v>UA-2024-09-09-012658-a</v>
      </c>
      <c r="Q676" s="296">
        <v>608.66445999999996</v>
      </c>
      <c r="R676" s="296">
        <v>1</v>
      </c>
      <c r="S676" s="296">
        <v>608.66445999999996</v>
      </c>
      <c r="T676" s="297">
        <v>45544</v>
      </c>
      <c r="U676" s="289"/>
      <c r="V676" s="296" t="s">
        <v>59</v>
      </c>
    </row>
    <row r="677" spans="1:22" ht="62.4" x14ac:dyDescent="0.3">
      <c r="A677" s="289">
        <v>671</v>
      </c>
      <c r="B677" s="298" t="s">
        <v>40</v>
      </c>
      <c r="C677" s="44" t="s">
        <v>73</v>
      </c>
      <c r="D677" s="289"/>
      <c r="E677" s="298" t="s">
        <v>75</v>
      </c>
      <c r="F677" s="44" t="s">
        <v>1438</v>
      </c>
      <c r="G677" s="289" t="s">
        <v>184</v>
      </c>
      <c r="H677" s="590">
        <v>127.15318000000001</v>
      </c>
      <c r="I677" s="289">
        <v>1</v>
      </c>
      <c r="J677" s="590">
        <v>127.15318000000001</v>
      </c>
      <c r="K677" s="590">
        <v>127.15318000000001</v>
      </c>
      <c r="L677" s="298">
        <v>1</v>
      </c>
      <c r="M677" s="590">
        <v>127.15318000000001</v>
      </c>
      <c r="N677" s="6" t="s">
        <v>1439</v>
      </c>
      <c r="O677" s="299">
        <v>45544</v>
      </c>
      <c r="P677" s="33" t="str">
        <f>HYPERLINK("https://my.zakupivli.pro/remote/dispatcher/state_purchase_view/53208764", "UA-2024-09-10-007035-a")</f>
        <v>UA-2024-09-10-007035-a</v>
      </c>
      <c r="Q677" s="298">
        <v>127.15318000000001</v>
      </c>
      <c r="R677" s="298">
        <v>1</v>
      </c>
      <c r="S677" s="298">
        <v>127.15318000000001</v>
      </c>
      <c r="T677" s="299">
        <v>45544</v>
      </c>
      <c r="U677" s="289"/>
      <c r="V677" s="298" t="s">
        <v>59</v>
      </c>
    </row>
    <row r="678" spans="1:22" ht="62.4" x14ac:dyDescent="0.3">
      <c r="A678" s="289">
        <v>672</v>
      </c>
      <c r="B678" s="300" t="s">
        <v>21</v>
      </c>
      <c r="C678" s="44" t="s">
        <v>405</v>
      </c>
      <c r="D678" s="289"/>
      <c r="E678" s="300" t="s">
        <v>88</v>
      </c>
      <c r="F678" s="44" t="s">
        <v>1440</v>
      </c>
      <c r="G678" s="289" t="s">
        <v>185</v>
      </c>
      <c r="I678" s="289">
        <v>30</v>
      </c>
      <c r="J678" s="590">
        <v>505.92</v>
      </c>
      <c r="K678" s="590"/>
      <c r="L678" s="300">
        <v>30</v>
      </c>
      <c r="M678" s="590">
        <v>505.92</v>
      </c>
      <c r="N678" s="6" t="s">
        <v>1441</v>
      </c>
      <c r="O678" s="290">
        <v>45546</v>
      </c>
      <c r="P678" s="33" t="str">
        <f>HYPERLINK("https://my.zakupivli.pro/remote/dispatcher/state_purchase_view/53237037", "UA-2024-09-11-004952-a")</f>
        <v>UA-2024-09-11-004952-a</v>
      </c>
      <c r="Q678" s="289"/>
      <c r="R678" s="289">
        <v>30</v>
      </c>
      <c r="S678" s="289">
        <v>505.92</v>
      </c>
      <c r="T678" s="290">
        <v>45565</v>
      </c>
      <c r="U678" s="289"/>
      <c r="V678" s="289"/>
    </row>
    <row r="679" spans="1:22" ht="62.4" x14ac:dyDescent="0.3">
      <c r="A679" s="289">
        <v>673</v>
      </c>
      <c r="B679" s="301" t="s">
        <v>21</v>
      </c>
      <c r="C679" s="44" t="s">
        <v>893</v>
      </c>
      <c r="D679" s="289"/>
      <c r="E679" s="301" t="s">
        <v>88</v>
      </c>
      <c r="F679" s="44" t="s">
        <v>1442</v>
      </c>
      <c r="G679" s="289" t="s">
        <v>185</v>
      </c>
      <c r="H679" s="590"/>
      <c r="I679" s="289">
        <v>30</v>
      </c>
      <c r="J679" s="590">
        <v>1174</v>
      </c>
      <c r="K679" s="590"/>
      <c r="L679" s="301">
        <v>30</v>
      </c>
      <c r="M679" s="590">
        <v>1174</v>
      </c>
      <c r="N679" s="6" t="s">
        <v>1445</v>
      </c>
      <c r="O679" s="290">
        <v>45547</v>
      </c>
      <c r="P679" s="33" t="str">
        <f>HYPERLINK("https://my.zakupivli.pro/remote/dispatcher/state_purchase_view/53279231", "UA-2024-09-12-009706-a")</f>
        <v>UA-2024-09-12-009706-a</v>
      </c>
      <c r="Q679" s="289"/>
      <c r="R679" s="289">
        <v>30</v>
      </c>
      <c r="S679" s="117">
        <v>1103.5999999999999</v>
      </c>
      <c r="T679" s="290">
        <v>45561</v>
      </c>
      <c r="U679" s="289"/>
      <c r="V679" s="289"/>
    </row>
    <row r="680" spans="1:22" ht="78" x14ac:dyDescent="0.3">
      <c r="A680" s="289">
        <v>674</v>
      </c>
      <c r="B680" s="301" t="s">
        <v>21</v>
      </c>
      <c r="C680" s="44" t="s">
        <v>1444</v>
      </c>
      <c r="D680" s="289"/>
      <c r="E680" s="301" t="s">
        <v>75</v>
      </c>
      <c r="F680" s="44" t="s">
        <v>1443</v>
      </c>
      <c r="G680" s="289" t="s">
        <v>186</v>
      </c>
      <c r="H680" s="590"/>
      <c r="I680" s="289">
        <v>7</v>
      </c>
      <c r="J680" s="590">
        <v>557.5</v>
      </c>
      <c r="K680" s="590"/>
      <c r="L680" s="301">
        <v>7</v>
      </c>
      <c r="M680" s="590">
        <v>557.5</v>
      </c>
      <c r="N680" s="6" t="s">
        <v>1446</v>
      </c>
      <c r="O680" s="302">
        <v>45547</v>
      </c>
      <c r="P680" s="33" t="str">
        <f>HYPERLINK("https://my.zakupivli.pro/remote/dispatcher/state_purchase_view/53281103", "UA-2024-09-12-010471-a")</f>
        <v>UA-2024-09-12-010471-a</v>
      </c>
      <c r="Q680" s="289"/>
      <c r="R680" s="289"/>
      <c r="S680" s="289"/>
      <c r="T680" s="290"/>
      <c r="U680" s="311" t="s">
        <v>93</v>
      </c>
      <c r="V680" s="289"/>
    </row>
    <row r="681" spans="1:22" ht="62.4" x14ac:dyDescent="0.3">
      <c r="A681" s="304">
        <v>675</v>
      </c>
      <c r="B681" s="304" t="s">
        <v>21</v>
      </c>
      <c r="C681" s="44" t="s">
        <v>30</v>
      </c>
      <c r="D681" s="304"/>
      <c r="E681" s="304" t="s">
        <v>75</v>
      </c>
      <c r="F681" s="44" t="s">
        <v>1447</v>
      </c>
      <c r="G681" s="304" t="s">
        <v>186</v>
      </c>
      <c r="I681" s="304">
        <v>3</v>
      </c>
      <c r="J681" s="590">
        <v>82.756500000000003</v>
      </c>
      <c r="K681" s="590"/>
      <c r="L681" s="304">
        <v>3</v>
      </c>
      <c r="M681" s="590">
        <v>82.756500000000003</v>
      </c>
      <c r="N681" s="6" t="s">
        <v>1452</v>
      </c>
      <c r="O681" s="303">
        <v>45548</v>
      </c>
      <c r="P681" s="33" t="str">
        <f>HYPERLINK("https://my.zakupivli.pro/remote/dispatcher/state_purchase_view/53295317", "UA-2024-09-13-002771-a")</f>
        <v>UA-2024-09-13-002771-a</v>
      </c>
      <c r="Q681" s="304"/>
      <c r="R681" s="304">
        <v>3</v>
      </c>
      <c r="S681" s="304">
        <v>82.756500000000003</v>
      </c>
      <c r="T681" s="303">
        <v>45548</v>
      </c>
      <c r="U681" s="304"/>
      <c r="V681" s="304" t="s">
        <v>59</v>
      </c>
    </row>
    <row r="682" spans="1:22" ht="78" x14ac:dyDescent="0.3">
      <c r="A682" s="304">
        <v>676</v>
      </c>
      <c r="B682" s="304" t="s">
        <v>40</v>
      </c>
      <c r="C682" s="44" t="s">
        <v>884</v>
      </c>
      <c r="D682" s="304"/>
      <c r="E682" s="304" t="s">
        <v>20</v>
      </c>
      <c r="F682" s="44" t="s">
        <v>1448</v>
      </c>
      <c r="G682" s="304" t="s">
        <v>184</v>
      </c>
      <c r="H682" s="590">
        <v>174.4562</v>
      </c>
      <c r="I682" s="304">
        <v>1</v>
      </c>
      <c r="J682" s="590">
        <v>174.4562</v>
      </c>
      <c r="K682" s="590">
        <v>174.4562</v>
      </c>
      <c r="L682" s="304">
        <v>1</v>
      </c>
      <c r="M682" s="590">
        <v>174.4562</v>
      </c>
      <c r="N682" s="6" t="s">
        <v>1453</v>
      </c>
      <c r="O682" s="303">
        <v>45548</v>
      </c>
      <c r="P682" s="33" t="str">
        <f>HYPERLINK("https://my.zakupivli.pro/remote/dispatcher/state_purchase_view/53297243", "UA-2024-09-13-003709-a")</f>
        <v>UA-2024-09-13-003709-a</v>
      </c>
      <c r="Q682" s="304">
        <v>174.4562</v>
      </c>
      <c r="R682" s="304">
        <v>1</v>
      </c>
      <c r="S682" s="304">
        <v>174.4562</v>
      </c>
      <c r="T682" s="303">
        <v>45548</v>
      </c>
      <c r="U682" s="304"/>
      <c r="V682" s="304" t="s">
        <v>59</v>
      </c>
    </row>
    <row r="683" spans="1:22" ht="62.4" x14ac:dyDescent="0.3">
      <c r="A683" s="304">
        <v>677</v>
      </c>
      <c r="B683" s="304" t="s">
        <v>40</v>
      </c>
      <c r="C683" s="44" t="s">
        <v>884</v>
      </c>
      <c r="D683" s="304"/>
      <c r="E683" s="304" t="s">
        <v>20</v>
      </c>
      <c r="F683" s="44" t="s">
        <v>1449</v>
      </c>
      <c r="G683" s="304" t="s">
        <v>184</v>
      </c>
      <c r="H683" s="590">
        <v>118.7747</v>
      </c>
      <c r="I683" s="304">
        <v>1</v>
      </c>
      <c r="J683" s="590">
        <v>118.7747</v>
      </c>
      <c r="K683" s="590">
        <v>118.7747</v>
      </c>
      <c r="L683" s="304">
        <v>1</v>
      </c>
      <c r="M683" s="590">
        <v>118.7747</v>
      </c>
      <c r="N683" s="6" t="s">
        <v>1454</v>
      </c>
      <c r="O683" s="303">
        <v>45548</v>
      </c>
      <c r="P683" s="33" t="str">
        <f>HYPERLINK("https://my.zakupivli.pro/remote/dispatcher/state_purchase_view/53311753", "UA-2024-09-13-010422-a")</f>
        <v>UA-2024-09-13-010422-a</v>
      </c>
      <c r="Q683" s="304">
        <v>118.7747</v>
      </c>
      <c r="R683" s="304">
        <v>1</v>
      </c>
      <c r="S683" s="304">
        <v>118.7747</v>
      </c>
      <c r="T683" s="303">
        <v>45548</v>
      </c>
      <c r="U683" s="304"/>
      <c r="V683" s="304" t="s">
        <v>59</v>
      </c>
    </row>
    <row r="684" spans="1:22" ht="62.4" x14ac:dyDescent="0.3">
      <c r="A684" s="304">
        <v>678</v>
      </c>
      <c r="B684" s="304" t="s">
        <v>21</v>
      </c>
      <c r="C684" s="44" t="s">
        <v>1451</v>
      </c>
      <c r="D684" s="313" t="s">
        <v>58</v>
      </c>
      <c r="E684" s="304" t="s">
        <v>88</v>
      </c>
      <c r="F684" s="44" t="s">
        <v>1450</v>
      </c>
      <c r="G684" s="304" t="s">
        <v>185</v>
      </c>
      <c r="H684" s="590"/>
      <c r="I684" s="304">
        <v>445</v>
      </c>
      <c r="J684" s="590">
        <v>665.88</v>
      </c>
      <c r="K684" s="590"/>
      <c r="L684" s="304">
        <v>445</v>
      </c>
      <c r="M684" s="590">
        <v>665.88</v>
      </c>
      <c r="N684" s="6" t="s">
        <v>1455</v>
      </c>
      <c r="O684" s="303">
        <v>45548</v>
      </c>
      <c r="P684" s="33" t="str">
        <f>HYPERLINK("https://my.zakupivli.pro/remote/dispatcher/state_purchase_view/53313149", "UA-2024-09-13-010785-a")</f>
        <v>UA-2024-09-13-010785-a</v>
      </c>
      <c r="Q684" s="304"/>
      <c r="R684" s="304">
        <v>445</v>
      </c>
      <c r="S684" s="304">
        <v>622.28399999999999</v>
      </c>
      <c r="T684" s="303">
        <v>45568</v>
      </c>
      <c r="U684" s="304"/>
      <c r="V684" s="304"/>
    </row>
    <row r="685" spans="1:22" ht="62.4" x14ac:dyDescent="0.3">
      <c r="A685" s="305">
        <v>679</v>
      </c>
      <c r="B685" s="305" t="s">
        <v>21</v>
      </c>
      <c r="C685" s="44" t="s">
        <v>1458</v>
      </c>
      <c r="D685" s="313" t="s">
        <v>58</v>
      </c>
      <c r="E685" s="305" t="s">
        <v>88</v>
      </c>
      <c r="F685" s="44" t="s">
        <v>1456</v>
      </c>
      <c r="G685" s="305" t="s">
        <v>186</v>
      </c>
      <c r="H685" s="590"/>
      <c r="I685" s="305">
        <v>8</v>
      </c>
      <c r="J685" s="590">
        <v>324.30833000000001</v>
      </c>
      <c r="K685" s="590"/>
      <c r="L685" s="305">
        <v>8</v>
      </c>
      <c r="M685" s="590">
        <v>324.30833000000001</v>
      </c>
      <c r="N685" s="6" t="s">
        <v>1459</v>
      </c>
      <c r="O685" s="306">
        <v>45555</v>
      </c>
      <c r="P685" s="120" t="str">
        <f>HYPERLINK("https://my.zakupivli.pro/remote/dispatcher/state_purchase_view/53457069", "UA-2024-09-20-001099-a")</f>
        <v>UA-2024-09-20-001099-a</v>
      </c>
      <c r="Q685" s="305"/>
      <c r="R685" s="305">
        <v>8</v>
      </c>
      <c r="S685" s="305">
        <v>312.8689</v>
      </c>
      <c r="T685" s="306">
        <v>45579</v>
      </c>
      <c r="U685" s="305"/>
      <c r="V685" s="305"/>
    </row>
    <row r="686" spans="1:22" ht="46.8" x14ac:dyDescent="0.3">
      <c r="A686" s="305">
        <v>680</v>
      </c>
      <c r="B686" s="305" t="s">
        <v>21</v>
      </c>
      <c r="C686" s="44" t="s">
        <v>1435</v>
      </c>
      <c r="D686" s="313" t="s">
        <v>58</v>
      </c>
      <c r="E686" s="305" t="s">
        <v>88</v>
      </c>
      <c r="F686" s="44" t="s">
        <v>1457</v>
      </c>
      <c r="G686" s="305" t="s">
        <v>185</v>
      </c>
      <c r="H686" s="590"/>
      <c r="I686" s="305">
        <v>33</v>
      </c>
      <c r="J686" s="590">
        <v>566.92449999999997</v>
      </c>
      <c r="K686" s="590"/>
      <c r="L686" s="305">
        <v>33</v>
      </c>
      <c r="M686" s="590">
        <v>566.92449999999997</v>
      </c>
      <c r="N686" s="6" t="s">
        <v>1460</v>
      </c>
      <c r="O686" s="306">
        <v>45554</v>
      </c>
      <c r="P686" s="120" t="str">
        <f>HYPERLINK("https://my.zakupivli.pro/remote/dispatcher/state_purchase_view/53451774", "UA-2024-09-19-013922-a")</f>
        <v>UA-2024-09-19-013922-a</v>
      </c>
      <c r="Q686" s="305"/>
      <c r="R686" s="305">
        <v>33</v>
      </c>
      <c r="S686" s="305">
        <v>547.15606000000002</v>
      </c>
      <c r="T686" s="306">
        <v>45568</v>
      </c>
      <c r="U686" s="305"/>
      <c r="V686" s="305"/>
    </row>
    <row r="687" spans="1:22" ht="62.4" x14ac:dyDescent="0.3">
      <c r="A687" s="305">
        <v>681</v>
      </c>
      <c r="B687" s="307" t="s">
        <v>40</v>
      </c>
      <c r="C687" s="44" t="s">
        <v>884</v>
      </c>
      <c r="D687" s="305"/>
      <c r="E687" s="307" t="s">
        <v>20</v>
      </c>
      <c r="F687" s="44" t="s">
        <v>1461</v>
      </c>
      <c r="G687" s="305" t="s">
        <v>184</v>
      </c>
      <c r="H687" s="590">
        <v>52.655290000000001</v>
      </c>
      <c r="I687" s="305">
        <v>1</v>
      </c>
      <c r="J687" s="590">
        <v>52.655290000000001</v>
      </c>
      <c r="K687" s="590">
        <v>52.655290000000001</v>
      </c>
      <c r="L687" s="307">
        <v>1</v>
      </c>
      <c r="M687" s="590">
        <v>52.655290000000001</v>
      </c>
      <c r="N687" s="6" t="s">
        <v>1467</v>
      </c>
      <c r="O687" s="306">
        <v>45558</v>
      </c>
      <c r="P687" s="33" t="str">
        <f>HYPERLINK("https://my.zakupivli.pro/remote/dispatcher/state_purchase_view/53509367", "UA-2024-09-23-009602-a")</f>
        <v>UA-2024-09-23-009602-a</v>
      </c>
      <c r="Q687" s="307">
        <v>52.655290000000001</v>
      </c>
      <c r="R687" s="307">
        <v>1</v>
      </c>
      <c r="S687" s="307">
        <v>52.655290000000001</v>
      </c>
      <c r="T687" s="308">
        <v>45558</v>
      </c>
      <c r="U687" s="305"/>
      <c r="V687" s="307" t="s">
        <v>59</v>
      </c>
    </row>
    <row r="688" spans="1:22" ht="78" x14ac:dyDescent="0.3">
      <c r="A688" s="305">
        <v>682</v>
      </c>
      <c r="B688" s="307" t="s">
        <v>40</v>
      </c>
      <c r="C688" s="44" t="s">
        <v>884</v>
      </c>
      <c r="D688" s="305"/>
      <c r="E688" s="307" t="s">
        <v>20</v>
      </c>
      <c r="F688" s="44" t="s">
        <v>1462</v>
      </c>
      <c r="G688" s="305" t="s">
        <v>184</v>
      </c>
      <c r="H688" s="590">
        <v>78.539169999999999</v>
      </c>
      <c r="I688" s="307">
        <v>1</v>
      </c>
      <c r="J688" s="590">
        <v>78.539169999999999</v>
      </c>
      <c r="K688" s="590">
        <v>78.539169999999999</v>
      </c>
      <c r="L688" s="307">
        <v>1</v>
      </c>
      <c r="M688" s="590">
        <v>78.539169999999999</v>
      </c>
      <c r="N688" s="6" t="s">
        <v>1468</v>
      </c>
      <c r="O688" s="308">
        <v>45558</v>
      </c>
      <c r="P688" s="33" t="str">
        <f>HYPERLINK("https://my.zakupivli.pro/remote/dispatcher/state_purchase_view/53498923", "UA-2024-09-23-004972-a")</f>
        <v>UA-2024-09-23-004972-a</v>
      </c>
      <c r="Q688" s="307">
        <v>78.539169999999999</v>
      </c>
      <c r="R688" s="307">
        <v>1</v>
      </c>
      <c r="S688" s="307">
        <v>78.539169999999999</v>
      </c>
      <c r="T688" s="308">
        <v>45558</v>
      </c>
      <c r="U688" s="305"/>
      <c r="V688" s="307" t="s">
        <v>59</v>
      </c>
    </row>
    <row r="689" spans="1:22" ht="62.4" x14ac:dyDescent="0.3">
      <c r="A689" s="305">
        <v>683</v>
      </c>
      <c r="B689" s="307" t="s">
        <v>40</v>
      </c>
      <c r="C689" s="44" t="s">
        <v>884</v>
      </c>
      <c r="D689" s="305"/>
      <c r="E689" s="307" t="s">
        <v>20</v>
      </c>
      <c r="F689" s="44" t="s">
        <v>1463</v>
      </c>
      <c r="G689" s="305" t="s">
        <v>184</v>
      </c>
      <c r="H689" s="590">
        <v>112.74850000000001</v>
      </c>
      <c r="I689" s="307">
        <v>1</v>
      </c>
      <c r="J689" s="590">
        <v>112.74850000000001</v>
      </c>
      <c r="K689" s="590">
        <v>112.74850000000001</v>
      </c>
      <c r="L689" s="307">
        <v>1</v>
      </c>
      <c r="M689" s="590">
        <v>112.74850000000001</v>
      </c>
      <c r="N689" s="6" t="s">
        <v>1469</v>
      </c>
      <c r="O689" s="308">
        <v>45558</v>
      </c>
      <c r="P689" s="33" t="str">
        <f>HYPERLINK("https://my.zakupivli.pro/remote/dispatcher/state_purchase_view/53497297", "UA-2024-09-23-004311-a")</f>
        <v>UA-2024-09-23-004311-a</v>
      </c>
      <c r="Q689" s="307">
        <v>112.74850000000001</v>
      </c>
      <c r="R689" s="307">
        <v>1</v>
      </c>
      <c r="S689" s="307">
        <v>112.74850000000001</v>
      </c>
      <c r="T689" s="308">
        <v>45558</v>
      </c>
      <c r="U689" s="305"/>
      <c r="V689" s="307" t="s">
        <v>59</v>
      </c>
    </row>
    <row r="690" spans="1:22" ht="62.4" x14ac:dyDescent="0.3">
      <c r="A690" s="305">
        <v>684</v>
      </c>
      <c r="B690" s="307" t="s">
        <v>40</v>
      </c>
      <c r="C690" s="44" t="s">
        <v>1466</v>
      </c>
      <c r="D690" s="305"/>
      <c r="E690" s="307" t="s">
        <v>75</v>
      </c>
      <c r="F690" s="44" t="s">
        <v>1464</v>
      </c>
      <c r="G690" s="305" t="s">
        <v>1149</v>
      </c>
      <c r="H690" s="590">
        <v>83.3</v>
      </c>
      <c r="I690" s="307">
        <v>1</v>
      </c>
      <c r="J690" s="590">
        <v>83.3</v>
      </c>
      <c r="K690" s="590">
        <v>83.3</v>
      </c>
      <c r="L690" s="307">
        <v>1</v>
      </c>
      <c r="M690" s="590">
        <v>83.3</v>
      </c>
      <c r="N690" s="6" t="s">
        <v>1470</v>
      </c>
      <c r="O690" s="308">
        <v>45558</v>
      </c>
      <c r="P690" s="33" t="str">
        <f>HYPERLINK("https://my.zakupivli.pro/remote/dispatcher/state_purchase_view/53492810", "UA-2024-09-23-002326-a")</f>
        <v>UA-2024-09-23-002326-a</v>
      </c>
      <c r="Q690" s="117">
        <v>83.3</v>
      </c>
      <c r="R690" s="307">
        <v>1</v>
      </c>
      <c r="S690" s="117">
        <v>83.3</v>
      </c>
      <c r="T690" s="306">
        <v>45554</v>
      </c>
      <c r="U690" s="305"/>
      <c r="V690" s="307" t="s">
        <v>59</v>
      </c>
    </row>
    <row r="691" spans="1:22" ht="62.4" x14ac:dyDescent="0.3">
      <c r="A691" s="305">
        <v>685</v>
      </c>
      <c r="B691" s="307" t="s">
        <v>40</v>
      </c>
      <c r="C691" s="44" t="s">
        <v>1466</v>
      </c>
      <c r="D691" s="305"/>
      <c r="E691" s="307" t="s">
        <v>75</v>
      </c>
      <c r="F691" s="44" t="s">
        <v>1465</v>
      </c>
      <c r="G691" s="305" t="s">
        <v>1149</v>
      </c>
      <c r="H691" s="590">
        <v>99.29</v>
      </c>
      <c r="I691" s="307">
        <v>1</v>
      </c>
      <c r="J691" s="590">
        <v>99.29</v>
      </c>
      <c r="K691" s="590">
        <v>99.29</v>
      </c>
      <c r="L691" s="307">
        <v>1</v>
      </c>
      <c r="M691" s="590">
        <v>99.29</v>
      </c>
      <c r="N691" s="6" t="s">
        <v>1471</v>
      </c>
      <c r="O691" s="308">
        <v>45558</v>
      </c>
      <c r="P691" s="33" t="str">
        <f>HYPERLINK("https://my.zakupivli.pro/remote/dispatcher/state_purchase_view/53490995", "UA-2024-09-23-001580-a")</f>
        <v>UA-2024-09-23-001580-a</v>
      </c>
      <c r="Q691" s="307">
        <v>99.29</v>
      </c>
      <c r="R691" s="307">
        <v>1</v>
      </c>
      <c r="S691" s="307">
        <v>99.29</v>
      </c>
      <c r="T691" s="306">
        <v>45552</v>
      </c>
      <c r="U691" s="305"/>
      <c r="V691" s="307" t="s">
        <v>59</v>
      </c>
    </row>
    <row r="692" spans="1:22" ht="62.4" x14ac:dyDescent="0.3">
      <c r="A692" s="305">
        <v>686</v>
      </c>
      <c r="B692" s="309" t="s">
        <v>40</v>
      </c>
      <c r="C692" s="44" t="s">
        <v>884</v>
      </c>
      <c r="D692" s="305"/>
      <c r="E692" s="309" t="s">
        <v>20</v>
      </c>
      <c r="F692" s="44" t="s">
        <v>1472</v>
      </c>
      <c r="G692" s="309" t="s">
        <v>184</v>
      </c>
      <c r="H692" s="590">
        <v>296.12436000000002</v>
      </c>
      <c r="I692" s="305">
        <v>1</v>
      </c>
      <c r="J692" s="590">
        <v>296.12436000000002</v>
      </c>
      <c r="K692" s="590">
        <v>296.12436000000002</v>
      </c>
      <c r="L692" s="309">
        <v>1</v>
      </c>
      <c r="M692" s="590">
        <v>296.12436000000002</v>
      </c>
      <c r="N692" s="6" t="s">
        <v>1479</v>
      </c>
      <c r="O692" s="306">
        <v>45560</v>
      </c>
      <c r="P692" s="33" t="str">
        <f>HYPERLINK("https://my.zakupivli.pro/remote/dispatcher/state_purchase_view/53583248", "UA-2024-09-25-012201-a")</f>
        <v>UA-2024-09-25-012201-a</v>
      </c>
      <c r="Q692" s="309">
        <v>296.12436000000002</v>
      </c>
      <c r="R692" s="309">
        <v>1</v>
      </c>
      <c r="S692" s="309">
        <v>296.12436000000002</v>
      </c>
      <c r="T692" s="306">
        <v>45559</v>
      </c>
      <c r="U692" s="305"/>
      <c r="V692" s="309" t="s">
        <v>59</v>
      </c>
    </row>
    <row r="693" spans="1:22" ht="62.4" x14ac:dyDescent="0.3">
      <c r="A693" s="305">
        <v>687</v>
      </c>
      <c r="B693" s="309" t="s">
        <v>21</v>
      </c>
      <c r="C693" s="44" t="s">
        <v>1217</v>
      </c>
      <c r="D693" s="305"/>
      <c r="E693" s="309" t="s">
        <v>75</v>
      </c>
      <c r="F693" s="44" t="s">
        <v>1473</v>
      </c>
      <c r="G693" s="305" t="s">
        <v>185</v>
      </c>
      <c r="H693" s="590"/>
      <c r="I693" s="305">
        <v>142</v>
      </c>
      <c r="J693" s="590">
        <v>2096.3649999999998</v>
      </c>
      <c r="K693" s="590"/>
      <c r="L693" s="309">
        <v>142</v>
      </c>
      <c r="M693" s="590">
        <v>2096.3649999999998</v>
      </c>
      <c r="N693" s="6" t="s">
        <v>1480</v>
      </c>
      <c r="O693" s="310">
        <v>45560</v>
      </c>
      <c r="P693" s="33" t="str">
        <f>HYPERLINK("https://my.zakupivli.pro/remote/dispatcher/state_purchase_view/53577857", "UA-2024-09-25-009794-a")</f>
        <v>UA-2024-09-25-009794-a</v>
      </c>
      <c r="R693" s="305">
        <v>142</v>
      </c>
      <c r="S693" s="305">
        <v>1684.4880000000001</v>
      </c>
      <c r="T693" s="306">
        <v>45586</v>
      </c>
      <c r="U693" s="305"/>
      <c r="V693" s="305"/>
    </row>
    <row r="694" spans="1:22" ht="62.4" x14ac:dyDescent="0.3">
      <c r="A694" s="305">
        <v>688</v>
      </c>
      <c r="B694" s="309" t="s">
        <v>40</v>
      </c>
      <c r="C694" s="44" t="s">
        <v>884</v>
      </c>
      <c r="D694" s="305"/>
      <c r="E694" s="309" t="s">
        <v>20</v>
      </c>
      <c r="F694" s="44" t="s">
        <v>1474</v>
      </c>
      <c r="G694" s="309" t="s">
        <v>184</v>
      </c>
      <c r="H694" s="590">
        <v>137.95366999999999</v>
      </c>
      <c r="I694" s="305">
        <v>1</v>
      </c>
      <c r="J694" s="590">
        <v>137.95366999999999</v>
      </c>
      <c r="K694" s="590">
        <v>137.95366999999999</v>
      </c>
      <c r="L694" s="309">
        <v>1</v>
      </c>
      <c r="M694" s="590">
        <v>137.95366999999999</v>
      </c>
      <c r="N694" s="6" t="s">
        <v>1481</v>
      </c>
      <c r="O694" s="310">
        <v>45560</v>
      </c>
      <c r="P694" s="33" t="str">
        <f>HYPERLINK("https://my.zakupivli.pro/remote/dispatcher/state_purchase_view/53556779", "UA-2024-09-25-000210-a")</f>
        <v>UA-2024-09-25-000210-a</v>
      </c>
      <c r="Q694" s="309">
        <v>137.95366999999999</v>
      </c>
      <c r="R694" s="309">
        <v>1</v>
      </c>
      <c r="S694" s="309">
        <v>137.95366999999999</v>
      </c>
      <c r="T694" s="310">
        <v>45559</v>
      </c>
      <c r="U694" s="305"/>
      <c r="V694" s="309" t="s">
        <v>59</v>
      </c>
    </row>
    <row r="695" spans="1:22" ht="62.4" x14ac:dyDescent="0.3">
      <c r="A695" s="305">
        <v>689</v>
      </c>
      <c r="B695" s="309" t="s">
        <v>40</v>
      </c>
      <c r="C695" s="44" t="s">
        <v>884</v>
      </c>
      <c r="D695" s="305"/>
      <c r="E695" s="309" t="s">
        <v>20</v>
      </c>
      <c r="F695" s="44" t="s">
        <v>1475</v>
      </c>
      <c r="G695" s="309" t="s">
        <v>184</v>
      </c>
      <c r="H695" s="590">
        <v>364.10131000000001</v>
      </c>
      <c r="I695" s="305">
        <v>1</v>
      </c>
      <c r="J695" s="590">
        <v>364.10131000000001</v>
      </c>
      <c r="K695" s="590">
        <v>364.10131000000001</v>
      </c>
      <c r="L695" s="309">
        <v>1</v>
      </c>
      <c r="M695" s="590">
        <v>364.10131000000001</v>
      </c>
      <c r="N695" s="6" t="s">
        <v>1482</v>
      </c>
      <c r="O695" s="310">
        <v>45560</v>
      </c>
      <c r="P695" s="33" t="str">
        <f>HYPERLINK("https://my.zakupivli.pro/remote/dispatcher/state_purchase_view/53556554", "UA-2024-09-25-000110-a")</f>
        <v>UA-2024-09-25-000110-a</v>
      </c>
      <c r="Q695" s="309">
        <v>364.10131000000001</v>
      </c>
      <c r="R695" s="309">
        <v>1</v>
      </c>
      <c r="S695" s="309">
        <v>364.10131000000001</v>
      </c>
      <c r="T695" s="310">
        <v>45559</v>
      </c>
      <c r="U695" s="305"/>
      <c r="V695" s="309" t="s">
        <v>59</v>
      </c>
    </row>
    <row r="696" spans="1:22" ht="62.4" x14ac:dyDescent="0.3">
      <c r="A696" s="305">
        <v>690</v>
      </c>
      <c r="B696" s="309" t="s">
        <v>21</v>
      </c>
      <c r="C696" s="44" t="s">
        <v>1478</v>
      </c>
      <c r="D696" s="305"/>
      <c r="E696" s="309" t="s">
        <v>88</v>
      </c>
      <c r="F696" s="44" t="s">
        <v>1476</v>
      </c>
      <c r="G696" s="305" t="s">
        <v>185</v>
      </c>
      <c r="H696" s="590"/>
      <c r="I696" s="305">
        <v>3</v>
      </c>
      <c r="J696" s="590">
        <v>75</v>
      </c>
      <c r="K696" s="590"/>
      <c r="L696" s="309">
        <v>3</v>
      </c>
      <c r="M696" s="590">
        <v>75</v>
      </c>
      <c r="N696" s="6" t="s">
        <v>1483</v>
      </c>
      <c r="O696" s="310">
        <v>45560</v>
      </c>
      <c r="P696" s="33" t="str">
        <f>HYPERLINK("https://my.zakupivli.pro/remote/dispatcher/state_purchase_view/53556470", "UA-2024-09-25-000091-a")</f>
        <v>UA-2024-09-25-000091-a</v>
      </c>
      <c r="Q696" s="305"/>
      <c r="R696" s="309">
        <v>3</v>
      </c>
      <c r="S696" s="117">
        <v>75</v>
      </c>
      <c r="T696" s="310">
        <v>45559</v>
      </c>
      <c r="U696" s="305"/>
      <c r="V696" s="309" t="s">
        <v>59</v>
      </c>
    </row>
    <row r="697" spans="1:22" ht="62.4" x14ac:dyDescent="0.3">
      <c r="A697" s="305">
        <v>691</v>
      </c>
      <c r="B697" s="309" t="s">
        <v>21</v>
      </c>
      <c r="C697" s="44" t="s">
        <v>405</v>
      </c>
      <c r="D697" s="305"/>
      <c r="E697" s="309" t="s">
        <v>88</v>
      </c>
      <c r="F697" s="44" t="s">
        <v>1477</v>
      </c>
      <c r="G697" s="305" t="s">
        <v>185</v>
      </c>
      <c r="H697" s="590"/>
      <c r="I697" s="305">
        <v>15</v>
      </c>
      <c r="J697" s="590">
        <v>56.25</v>
      </c>
      <c r="K697" s="590"/>
      <c r="L697" s="309">
        <v>15</v>
      </c>
      <c r="M697" s="590">
        <v>56.25</v>
      </c>
      <c r="N697" s="6" t="s">
        <v>1484</v>
      </c>
      <c r="O697" s="310">
        <v>45560</v>
      </c>
      <c r="P697" s="33" t="str">
        <f>HYPERLINK("https://my.zakupivli.pro/remote/dispatcher/state_purchase_view/53556454", "UA-2024-09-25-000083-a")</f>
        <v>UA-2024-09-25-000083-a</v>
      </c>
      <c r="Q697" s="305"/>
      <c r="R697" s="309">
        <v>15</v>
      </c>
      <c r="S697" s="309">
        <v>56.25</v>
      </c>
      <c r="T697" s="310">
        <v>45559</v>
      </c>
      <c r="U697" s="305"/>
      <c r="V697" s="309" t="s">
        <v>59</v>
      </c>
    </row>
    <row r="698" spans="1:22" ht="78" x14ac:dyDescent="0.3">
      <c r="A698" s="305">
        <v>692</v>
      </c>
      <c r="B698" s="311" t="s">
        <v>40</v>
      </c>
      <c r="C698" s="44" t="s">
        <v>884</v>
      </c>
      <c r="D698" s="305"/>
      <c r="E698" s="311" t="s">
        <v>20</v>
      </c>
      <c r="F698" s="44" t="s">
        <v>1485</v>
      </c>
      <c r="G698" s="311" t="s">
        <v>184</v>
      </c>
      <c r="H698" s="590">
        <v>192.17121</v>
      </c>
      <c r="I698" s="305">
        <v>1</v>
      </c>
      <c r="J698" s="590">
        <v>192.17121</v>
      </c>
      <c r="K698" s="590">
        <v>192.17121</v>
      </c>
      <c r="L698" s="311">
        <v>1</v>
      </c>
      <c r="M698" s="590">
        <v>192.17121</v>
      </c>
      <c r="N698" s="6" t="s">
        <v>1487</v>
      </c>
      <c r="O698" s="306">
        <v>45562</v>
      </c>
      <c r="P698" s="33" t="str">
        <f>HYPERLINK("https://my.zakupivli.pro/remote/dispatcher/state_purchase_view/53622436", "UA-2024-09-27-000167-a")</f>
        <v>UA-2024-09-27-000167-a</v>
      </c>
      <c r="Q698" s="311">
        <v>192.17121</v>
      </c>
      <c r="R698" s="311">
        <v>1</v>
      </c>
      <c r="S698" s="311">
        <v>192.17121</v>
      </c>
      <c r="T698" s="306">
        <v>45561</v>
      </c>
      <c r="U698" s="305"/>
      <c r="V698" s="311" t="s">
        <v>59</v>
      </c>
    </row>
    <row r="699" spans="1:22" ht="78" x14ac:dyDescent="0.3">
      <c r="A699" s="305">
        <v>693</v>
      </c>
      <c r="B699" s="311" t="s">
        <v>40</v>
      </c>
      <c r="C699" s="44" t="s">
        <v>884</v>
      </c>
      <c r="D699" s="305"/>
      <c r="E699" s="311" t="s">
        <v>20</v>
      </c>
      <c r="F699" s="44" t="s">
        <v>1486</v>
      </c>
      <c r="G699" s="311" t="s">
        <v>184</v>
      </c>
      <c r="H699" s="590">
        <v>97.990600000000001</v>
      </c>
      <c r="I699" s="305">
        <v>1</v>
      </c>
      <c r="J699" s="590">
        <v>97.990600000000001</v>
      </c>
      <c r="K699" s="590">
        <v>97.990600000000001</v>
      </c>
      <c r="L699" s="311">
        <v>1</v>
      </c>
      <c r="M699" s="590">
        <v>97.990600000000001</v>
      </c>
      <c r="N699" s="6" t="s">
        <v>1488</v>
      </c>
      <c r="O699" s="312">
        <v>45562</v>
      </c>
      <c r="P699" s="33" t="str">
        <f>HYPERLINK("https://my.zakupivli.pro/remote/dispatcher/state_purchase_view/53622364", "UA-2024-09-27-000136-a")</f>
        <v>UA-2024-09-27-000136-a</v>
      </c>
      <c r="Q699" s="311">
        <v>97.990600000000001</v>
      </c>
      <c r="R699" s="311">
        <v>1</v>
      </c>
      <c r="S699" s="311">
        <v>97.990600000000001</v>
      </c>
      <c r="T699" s="312">
        <v>45561</v>
      </c>
      <c r="U699" s="305"/>
      <c r="V699" s="311" t="s">
        <v>59</v>
      </c>
    </row>
    <row r="700" spans="1:22" ht="62.4" x14ac:dyDescent="0.3">
      <c r="A700" s="305">
        <v>694</v>
      </c>
      <c r="B700" s="305" t="s">
        <v>1150</v>
      </c>
      <c r="C700" s="520"/>
      <c r="D700" s="313" t="s">
        <v>58</v>
      </c>
      <c r="E700" s="313" t="s">
        <v>75</v>
      </c>
      <c r="F700" s="44" t="s">
        <v>1490</v>
      </c>
      <c r="G700" s="305" t="s">
        <v>1149</v>
      </c>
      <c r="H700" s="590">
        <v>875</v>
      </c>
      <c r="I700" s="305">
        <v>1</v>
      </c>
      <c r="J700" s="590">
        <v>875</v>
      </c>
      <c r="K700" s="590">
        <v>875</v>
      </c>
      <c r="L700" s="313">
        <v>1</v>
      </c>
      <c r="M700" s="590">
        <v>875</v>
      </c>
      <c r="N700" s="6" t="s">
        <v>1492</v>
      </c>
      <c r="O700" s="306">
        <v>45568</v>
      </c>
      <c r="P700" s="33" t="str">
        <f>HYPERLINK("https://my.zakupivli.pro/remote/dispatcher/state_purchase_view/53763368", "UA-2024-10-03-012179-a")</f>
        <v>UA-2024-10-03-012179-a</v>
      </c>
      <c r="Q700" s="117">
        <v>840</v>
      </c>
      <c r="R700" s="305">
        <v>1</v>
      </c>
      <c r="S700" s="117">
        <v>840</v>
      </c>
      <c r="T700" s="306">
        <v>45582</v>
      </c>
      <c r="U700" s="305"/>
      <c r="V700" s="305"/>
    </row>
    <row r="701" spans="1:22" ht="46.8" x14ac:dyDescent="0.3">
      <c r="A701" s="305">
        <v>695</v>
      </c>
      <c r="B701" s="305" t="s">
        <v>40</v>
      </c>
      <c r="C701" s="520"/>
      <c r="D701" s="313" t="s">
        <v>58</v>
      </c>
      <c r="E701" s="313" t="s">
        <v>20</v>
      </c>
      <c r="F701" s="44" t="s">
        <v>1491</v>
      </c>
      <c r="G701" s="305" t="s">
        <v>184</v>
      </c>
      <c r="H701" s="590">
        <v>443.67</v>
      </c>
      <c r="I701" s="305">
        <v>1</v>
      </c>
      <c r="J701" s="590">
        <v>443.67</v>
      </c>
      <c r="K701" s="590">
        <v>443.67</v>
      </c>
      <c r="L701" s="313">
        <v>1</v>
      </c>
      <c r="M701" s="590">
        <v>443.67</v>
      </c>
      <c r="N701" s="6" t="s">
        <v>1493</v>
      </c>
      <c r="O701" s="314">
        <v>45568</v>
      </c>
      <c r="P701" s="33" t="str">
        <f>HYPERLINK("https://my.zakupivli.pro/remote/dispatcher/state_purchase_view/53763004", "UA-2024-10-03-012005-a")</f>
        <v>UA-2024-10-03-012005-a</v>
      </c>
      <c r="Q701" s="305">
        <v>434.02</v>
      </c>
      <c r="R701" s="305">
        <v>1</v>
      </c>
      <c r="S701" s="327">
        <v>434.02</v>
      </c>
      <c r="T701" s="306">
        <v>45582</v>
      </c>
      <c r="U701" s="305"/>
      <c r="V701" s="305"/>
    </row>
    <row r="702" spans="1:22" ht="62.4" x14ac:dyDescent="0.3">
      <c r="A702" s="305">
        <v>696</v>
      </c>
      <c r="B702" s="315" t="s">
        <v>21</v>
      </c>
      <c r="C702" s="44" t="s">
        <v>1451</v>
      </c>
      <c r="D702" s="305"/>
      <c r="E702" s="315" t="s">
        <v>88</v>
      </c>
      <c r="F702" s="44" t="s">
        <v>1494</v>
      </c>
      <c r="G702" s="305" t="s">
        <v>186</v>
      </c>
      <c r="H702" s="590"/>
      <c r="I702" s="305">
        <v>6</v>
      </c>
      <c r="J702" s="590">
        <v>65.058850000000007</v>
      </c>
      <c r="K702" s="590"/>
      <c r="L702" s="315">
        <v>6</v>
      </c>
      <c r="M702" s="590">
        <v>65.058850000000007</v>
      </c>
      <c r="N702" s="6" t="s">
        <v>1495</v>
      </c>
      <c r="O702" s="306">
        <v>45574</v>
      </c>
      <c r="P702" s="120" t="str">
        <f>HYPERLINK("https://my.zakupivli.pro/remote/dispatcher/state_purchase_view/53861267", "UA-2024-10-09-000575-a")</f>
        <v>UA-2024-10-09-000575-a</v>
      </c>
      <c r="Q702" s="305"/>
      <c r="R702" s="315">
        <v>6</v>
      </c>
      <c r="S702" s="315">
        <v>65.058850000000007</v>
      </c>
      <c r="T702" s="306">
        <v>45574</v>
      </c>
      <c r="U702" s="305"/>
      <c r="V702" s="315" t="s">
        <v>59</v>
      </c>
    </row>
    <row r="703" spans="1:22" ht="78" x14ac:dyDescent="0.3">
      <c r="A703" s="305">
        <v>697</v>
      </c>
      <c r="B703" s="316" t="s">
        <v>1150</v>
      </c>
      <c r="C703" s="44" t="s">
        <v>1498</v>
      </c>
      <c r="D703" s="305"/>
      <c r="E703" s="316" t="s">
        <v>75</v>
      </c>
      <c r="F703" s="44" t="s">
        <v>1496</v>
      </c>
      <c r="G703" s="305" t="s">
        <v>1149</v>
      </c>
      <c r="H703" s="590">
        <v>1483</v>
      </c>
      <c r="I703" s="305">
        <v>1</v>
      </c>
      <c r="J703" s="590">
        <v>1483</v>
      </c>
      <c r="K703" s="590">
        <v>1483</v>
      </c>
      <c r="L703" s="316">
        <v>1</v>
      </c>
      <c r="M703" s="590">
        <v>1483</v>
      </c>
      <c r="N703" s="6" t="s">
        <v>1499</v>
      </c>
      <c r="O703" s="306">
        <v>45579</v>
      </c>
      <c r="P703" s="33" t="str">
        <f>HYPERLINK("https://my.zakupivli.pro/remote/dispatcher/state_purchase_view/53984270", "UA-2024-10-14-011744-a")</f>
        <v>UA-2024-10-14-011744-a</v>
      </c>
      <c r="Q703" s="117">
        <v>1483</v>
      </c>
      <c r="R703" s="316">
        <v>1</v>
      </c>
      <c r="S703" s="117">
        <v>1483</v>
      </c>
      <c r="T703" s="317">
        <v>45579</v>
      </c>
      <c r="U703" s="305"/>
      <c r="V703" s="316" t="s">
        <v>59</v>
      </c>
    </row>
    <row r="704" spans="1:22" ht="62.4" x14ac:dyDescent="0.3">
      <c r="A704" s="305">
        <v>698</v>
      </c>
      <c r="B704" s="316" t="s">
        <v>40</v>
      </c>
      <c r="C704" s="44" t="s">
        <v>73</v>
      </c>
      <c r="D704" s="305"/>
      <c r="E704" s="316" t="s">
        <v>75</v>
      </c>
      <c r="F704" s="44" t="s">
        <v>1497</v>
      </c>
      <c r="G704" s="305" t="s">
        <v>184</v>
      </c>
      <c r="H704" s="590">
        <v>74.103059999999999</v>
      </c>
      <c r="I704" s="305">
        <v>1</v>
      </c>
      <c r="J704" s="590">
        <v>74.103059999999999</v>
      </c>
      <c r="K704" s="590">
        <v>74.103059999999999</v>
      </c>
      <c r="L704" s="318">
        <v>1</v>
      </c>
      <c r="M704" s="590">
        <v>74.103059999999999</v>
      </c>
      <c r="N704" s="6" t="s">
        <v>1500</v>
      </c>
      <c r="O704" s="306">
        <v>45576</v>
      </c>
      <c r="P704" s="33" t="str">
        <f>HYPERLINK("https://my.zakupivli.pro/remote/dispatcher/state_purchase_view/53959780", "UA-2024-10-14-000539-a")</f>
        <v>UA-2024-10-14-000539-a</v>
      </c>
      <c r="Q704" s="318">
        <v>74.103059999999999</v>
      </c>
      <c r="R704" s="318">
        <v>1</v>
      </c>
      <c r="S704" s="318">
        <v>74.103059999999999</v>
      </c>
      <c r="T704" s="306">
        <v>45576</v>
      </c>
      <c r="U704" s="305"/>
      <c r="V704" s="316" t="s">
        <v>59</v>
      </c>
    </row>
    <row r="705" spans="1:22" ht="62.4" x14ac:dyDescent="0.3">
      <c r="A705" s="305">
        <v>699</v>
      </c>
      <c r="B705" s="319" t="s">
        <v>1150</v>
      </c>
      <c r="C705" s="44" t="s">
        <v>1400</v>
      </c>
      <c r="D705" s="305"/>
      <c r="E705" s="319" t="s">
        <v>75</v>
      </c>
      <c r="F705" s="44" t="s">
        <v>1501</v>
      </c>
      <c r="G705" s="305" t="s">
        <v>1149</v>
      </c>
      <c r="H705" s="590">
        <v>59</v>
      </c>
      <c r="I705" s="305">
        <v>1</v>
      </c>
      <c r="J705" s="590">
        <v>59</v>
      </c>
      <c r="K705" s="590">
        <v>59</v>
      </c>
      <c r="L705" s="319">
        <v>1</v>
      </c>
      <c r="M705" s="590">
        <v>59</v>
      </c>
      <c r="N705" s="6" t="s">
        <v>1502</v>
      </c>
      <c r="O705" s="306">
        <v>45581</v>
      </c>
      <c r="P705" s="120" t="str">
        <f>HYPERLINK("https://my.zakupivli.pro/remote/dispatcher/state_purchase_view/54054503", "UA-2024-10-16-012402-a")</f>
        <v>UA-2024-10-16-012402-a</v>
      </c>
      <c r="Q705" s="117">
        <v>59</v>
      </c>
      <c r="R705" s="319">
        <v>1</v>
      </c>
      <c r="S705" s="117">
        <v>59</v>
      </c>
      <c r="T705" s="320">
        <v>45581</v>
      </c>
      <c r="U705" s="305"/>
      <c r="V705" s="319" t="s">
        <v>59</v>
      </c>
    </row>
    <row r="706" spans="1:22" ht="62.4" x14ac:dyDescent="0.3">
      <c r="A706" s="305">
        <v>700</v>
      </c>
      <c r="B706" s="321" t="s">
        <v>40</v>
      </c>
      <c r="C706" s="44" t="s">
        <v>884</v>
      </c>
      <c r="D706" s="305"/>
      <c r="E706" s="321" t="s">
        <v>20</v>
      </c>
      <c r="F706" s="44" t="s">
        <v>1503</v>
      </c>
      <c r="G706" s="321" t="s">
        <v>184</v>
      </c>
      <c r="H706" s="590">
        <v>634.78561999999999</v>
      </c>
      <c r="I706" s="321">
        <v>1</v>
      </c>
      <c r="J706" s="590">
        <v>634.78561999999999</v>
      </c>
      <c r="K706" s="590">
        <v>634.78561999999999</v>
      </c>
      <c r="L706" s="321">
        <v>1</v>
      </c>
      <c r="M706" s="590">
        <v>634.78561999999999</v>
      </c>
      <c r="N706" s="6" t="s">
        <v>1507</v>
      </c>
      <c r="O706" s="306">
        <v>45582</v>
      </c>
      <c r="P706" s="33" t="str">
        <f>HYPERLINK("https://my.zakupivli.pro/remote/dispatcher/state_purchase_view/54095106", "UA-2024-10-17-014832-a")</f>
        <v>UA-2024-10-17-014832-a</v>
      </c>
      <c r="Q706" s="321">
        <v>634.78561999999999</v>
      </c>
      <c r="R706" s="321">
        <v>1</v>
      </c>
      <c r="S706" s="321">
        <v>634.78561999999999</v>
      </c>
      <c r="T706" s="322">
        <v>45582</v>
      </c>
      <c r="U706" s="305"/>
      <c r="V706" s="321" t="s">
        <v>59</v>
      </c>
    </row>
    <row r="707" spans="1:22" ht="93.6" x14ac:dyDescent="0.3">
      <c r="A707" s="305">
        <v>701</v>
      </c>
      <c r="B707" s="321" t="s">
        <v>40</v>
      </c>
      <c r="C707" s="44" t="s">
        <v>884</v>
      </c>
      <c r="D707" s="305"/>
      <c r="E707" s="321" t="s">
        <v>20</v>
      </c>
      <c r="F707" s="44" t="s">
        <v>1504</v>
      </c>
      <c r="G707" s="321" t="s">
        <v>184</v>
      </c>
      <c r="H707" s="590">
        <v>87.939769999999996</v>
      </c>
      <c r="I707" s="321">
        <v>1</v>
      </c>
      <c r="J707" s="590">
        <v>87.939769999999996</v>
      </c>
      <c r="K707" s="590">
        <v>87.939769999999996</v>
      </c>
      <c r="L707" s="321">
        <v>1</v>
      </c>
      <c r="M707" s="590">
        <v>87.939769999999996</v>
      </c>
      <c r="N707" s="6" t="s">
        <v>1508</v>
      </c>
      <c r="O707" s="322">
        <v>45582</v>
      </c>
      <c r="P707" s="33" t="str">
        <f>HYPERLINK("https://my.zakupivli.pro/remote/dispatcher/state_purchase_view/54094727", "UA-2024-10-17-014759-a")</f>
        <v>UA-2024-10-17-014759-a</v>
      </c>
      <c r="Q707" s="321">
        <v>87.939769999999996</v>
      </c>
      <c r="R707" s="321">
        <v>1</v>
      </c>
      <c r="S707" s="321">
        <v>87.939769999999996</v>
      </c>
      <c r="T707" s="322">
        <v>45582</v>
      </c>
      <c r="U707" s="305"/>
      <c r="V707" s="321" t="s">
        <v>59</v>
      </c>
    </row>
    <row r="708" spans="1:22" ht="62.4" x14ac:dyDescent="0.3">
      <c r="A708" s="305">
        <v>702</v>
      </c>
      <c r="B708" s="321" t="s">
        <v>40</v>
      </c>
      <c r="C708" s="44" t="s">
        <v>884</v>
      </c>
      <c r="D708" s="305"/>
      <c r="E708" s="321" t="s">
        <v>20</v>
      </c>
      <c r="F708" s="44" t="s">
        <v>1505</v>
      </c>
      <c r="G708" s="321" t="s">
        <v>184</v>
      </c>
      <c r="H708" s="590">
        <v>695.75840000000005</v>
      </c>
      <c r="I708" s="321">
        <v>1</v>
      </c>
      <c r="J708" s="590">
        <v>695.75840000000005</v>
      </c>
      <c r="K708" s="590">
        <v>695.75840000000005</v>
      </c>
      <c r="L708" s="321">
        <v>1</v>
      </c>
      <c r="M708" s="590">
        <v>695.75840000000005</v>
      </c>
      <c r="N708" s="6" t="s">
        <v>1509</v>
      </c>
      <c r="O708" s="322">
        <v>45582</v>
      </c>
      <c r="P708" s="33" t="str">
        <f>HYPERLINK("https://my.zakupivli.pro/remote/dispatcher/state_purchase_view/54094640", "UA-2024-10-17-014694-a")</f>
        <v>UA-2024-10-17-014694-a</v>
      </c>
      <c r="Q708" s="321">
        <v>695.75840000000005</v>
      </c>
      <c r="R708" s="321">
        <v>1</v>
      </c>
      <c r="S708" s="321">
        <v>695.75840000000005</v>
      </c>
      <c r="T708" s="322">
        <v>45582</v>
      </c>
      <c r="U708" s="305"/>
      <c r="V708" s="321" t="s">
        <v>59</v>
      </c>
    </row>
    <row r="709" spans="1:22" ht="78" x14ac:dyDescent="0.3">
      <c r="A709" s="305">
        <v>703</v>
      </c>
      <c r="B709" s="321" t="s">
        <v>40</v>
      </c>
      <c r="C709" s="44" t="s">
        <v>884</v>
      </c>
      <c r="D709" s="305"/>
      <c r="E709" s="321" t="s">
        <v>20</v>
      </c>
      <c r="F709" s="44" t="s">
        <v>1506</v>
      </c>
      <c r="G709" s="321" t="s">
        <v>184</v>
      </c>
      <c r="H709" s="590">
        <v>111.26732</v>
      </c>
      <c r="I709" s="321">
        <v>1</v>
      </c>
      <c r="J709" s="590">
        <v>111.26732</v>
      </c>
      <c r="K709" s="590">
        <v>111.26732</v>
      </c>
      <c r="L709" s="321">
        <v>1</v>
      </c>
      <c r="M709" s="590">
        <v>111.26732</v>
      </c>
      <c r="N709" s="6" t="s">
        <v>1510</v>
      </c>
      <c r="O709" s="322">
        <v>45582</v>
      </c>
      <c r="P709" s="33" t="str">
        <f>HYPERLINK("https://my.zakupivli.pro/remote/dispatcher/state_purchase_view/54094443", "UA-2024-10-17-014575-a")</f>
        <v>UA-2024-10-17-014575-a</v>
      </c>
      <c r="Q709" s="321">
        <v>111.26732</v>
      </c>
      <c r="R709" s="321">
        <v>1</v>
      </c>
      <c r="S709" s="321">
        <v>111.26732</v>
      </c>
      <c r="T709" s="322">
        <v>45582</v>
      </c>
      <c r="U709" s="305"/>
      <c r="V709" s="321" t="s">
        <v>59</v>
      </c>
    </row>
    <row r="710" spans="1:22" ht="62.4" x14ac:dyDescent="0.3">
      <c r="A710" s="305">
        <v>704</v>
      </c>
      <c r="B710" s="323" t="s">
        <v>40</v>
      </c>
      <c r="C710" s="44" t="s">
        <v>884</v>
      </c>
      <c r="D710" s="305"/>
      <c r="E710" s="323" t="s">
        <v>20</v>
      </c>
      <c r="F710" s="41" t="s">
        <v>1511</v>
      </c>
      <c r="G710" s="323" t="s">
        <v>184</v>
      </c>
      <c r="H710" s="590">
        <v>221.52010000000001</v>
      </c>
      <c r="I710" s="305">
        <v>1</v>
      </c>
      <c r="J710" s="590">
        <v>221.52010000000001</v>
      </c>
      <c r="K710" s="590">
        <v>221.52010000000001</v>
      </c>
      <c r="L710" s="323">
        <v>1</v>
      </c>
      <c r="M710" s="590">
        <v>221.52010000000001</v>
      </c>
      <c r="N710" s="6" t="s">
        <v>1512</v>
      </c>
      <c r="O710" s="324">
        <v>45586</v>
      </c>
      <c r="P710" s="33" t="str">
        <f>HYPERLINK("https://my.zakupivli.pro/remote/dispatcher/state_purchase_view/54164412", "UA-2024-10-21-012894-a")</f>
        <v>UA-2024-10-21-012894-a</v>
      </c>
      <c r="Q710" s="323">
        <v>221.52010000000001</v>
      </c>
      <c r="R710" s="323">
        <v>1</v>
      </c>
      <c r="S710" s="323">
        <v>221.52010000000001</v>
      </c>
      <c r="T710" s="324">
        <v>45582</v>
      </c>
      <c r="U710" s="305"/>
      <c r="V710" s="323" t="s">
        <v>59</v>
      </c>
    </row>
    <row r="711" spans="1:22" ht="78" x14ac:dyDescent="0.3">
      <c r="A711" s="305">
        <v>705</v>
      </c>
      <c r="B711" s="305" t="s">
        <v>21</v>
      </c>
      <c r="C711" s="44" t="s">
        <v>32</v>
      </c>
      <c r="D711" s="395" t="s">
        <v>58</v>
      </c>
      <c r="E711" s="326" t="s">
        <v>20</v>
      </c>
      <c r="F711" s="44" t="s">
        <v>1513</v>
      </c>
      <c r="G711" s="305" t="s">
        <v>186</v>
      </c>
      <c r="H711" s="590"/>
      <c r="I711" s="305">
        <v>4</v>
      </c>
      <c r="J711" s="590">
        <v>3959.16167</v>
      </c>
      <c r="K711" s="590"/>
      <c r="L711" s="326">
        <v>4</v>
      </c>
      <c r="M711" s="590">
        <v>3959.16167</v>
      </c>
      <c r="N711" s="6" t="s">
        <v>1516</v>
      </c>
      <c r="O711" s="306">
        <v>45590</v>
      </c>
      <c r="P711" s="33" t="str">
        <f>HYPERLINK("https://my.zakupivli.pro/remote/dispatcher/state_purchase_view/54304558", "UA-2024-10-25-008799-a")</f>
        <v>UA-2024-10-25-008799-a</v>
      </c>
      <c r="Q711" s="305"/>
      <c r="R711" s="305"/>
      <c r="S711" s="305"/>
      <c r="T711" s="306"/>
      <c r="U711" s="305" t="s">
        <v>93</v>
      </c>
      <c r="V711" s="305"/>
    </row>
    <row r="712" spans="1:22" ht="62.4" x14ac:dyDescent="0.3">
      <c r="A712" s="305">
        <v>706</v>
      </c>
      <c r="B712" s="326" t="s">
        <v>40</v>
      </c>
      <c r="C712" s="44" t="s">
        <v>1515</v>
      </c>
      <c r="D712" s="305"/>
      <c r="E712" s="326" t="s">
        <v>75</v>
      </c>
      <c r="F712" s="44" t="s">
        <v>1514</v>
      </c>
      <c r="G712" s="305" t="s">
        <v>184</v>
      </c>
      <c r="H712" s="590">
        <v>66.111429999999999</v>
      </c>
      <c r="I712" s="305">
        <v>1</v>
      </c>
      <c r="J712" s="590">
        <v>66.111429999999999</v>
      </c>
      <c r="K712" s="590">
        <v>66.111429999999999</v>
      </c>
      <c r="L712" s="326">
        <v>1</v>
      </c>
      <c r="M712" s="590">
        <v>66.111429999999999</v>
      </c>
      <c r="N712" s="6" t="s">
        <v>1517</v>
      </c>
      <c r="O712" s="325">
        <v>45590</v>
      </c>
      <c r="P712" s="33" t="str">
        <f>HYPERLINK("https://my.zakupivli.pro/remote/dispatcher/state_purchase_view/54293500", "UA-2024-10-25-003611-a")</f>
        <v>UA-2024-10-25-003611-a</v>
      </c>
      <c r="Q712" s="326">
        <v>66.111429999999999</v>
      </c>
      <c r="R712" s="326">
        <v>1</v>
      </c>
      <c r="S712" s="326">
        <v>66.111429999999999</v>
      </c>
      <c r="T712" s="325">
        <v>45590</v>
      </c>
      <c r="U712" s="305"/>
      <c r="V712" s="326" t="s">
        <v>59</v>
      </c>
    </row>
    <row r="713" spans="1:22" ht="62.4" x14ac:dyDescent="0.3">
      <c r="A713" s="305">
        <v>707</v>
      </c>
      <c r="B713" s="327" t="s">
        <v>40</v>
      </c>
      <c r="C713" s="332" t="s">
        <v>884</v>
      </c>
      <c r="D713" s="305"/>
      <c r="E713" s="327" t="s">
        <v>20</v>
      </c>
      <c r="F713" s="331" t="s">
        <v>1518</v>
      </c>
      <c r="G713" s="327" t="s">
        <v>184</v>
      </c>
      <c r="H713" s="590">
        <v>227.66444999999999</v>
      </c>
      <c r="I713" s="305">
        <v>1</v>
      </c>
      <c r="J713" s="590">
        <v>227.66444999999999</v>
      </c>
      <c r="K713" s="590">
        <v>227.66444999999999</v>
      </c>
      <c r="L713" s="327">
        <v>1</v>
      </c>
      <c r="M713" s="590">
        <v>227.66444999999999</v>
      </c>
      <c r="N713" s="6" t="s">
        <v>1522</v>
      </c>
      <c r="O713" s="306">
        <v>45594</v>
      </c>
      <c r="P713" s="33" t="str">
        <f>HYPERLINK("https://my.zakupivli.pro/remote/dispatcher/state_purchase_view/54376960", "UA-2024-10-29-008676-a")</f>
        <v>UA-2024-10-29-008676-a</v>
      </c>
      <c r="Q713" s="327">
        <v>227.66444999999999</v>
      </c>
      <c r="R713" s="327">
        <v>1</v>
      </c>
      <c r="S713" s="327">
        <v>227.66444999999999</v>
      </c>
      <c r="T713" s="328">
        <v>45594</v>
      </c>
      <c r="U713" s="305"/>
      <c r="V713" s="327" t="s">
        <v>59</v>
      </c>
    </row>
    <row r="714" spans="1:22" ht="62.4" x14ac:dyDescent="0.3">
      <c r="A714" s="305">
        <v>708</v>
      </c>
      <c r="B714" s="327" t="s">
        <v>40</v>
      </c>
      <c r="C714" s="332" t="s">
        <v>884</v>
      </c>
      <c r="D714" s="305"/>
      <c r="E714" s="327" t="s">
        <v>20</v>
      </c>
      <c r="F714" s="331" t="s">
        <v>1519</v>
      </c>
      <c r="G714" s="327" t="s">
        <v>184</v>
      </c>
      <c r="H714" s="590">
        <v>217.78270000000001</v>
      </c>
      <c r="I714" s="305">
        <v>1</v>
      </c>
      <c r="J714" s="590">
        <v>217.78270000000001</v>
      </c>
      <c r="K714" s="590">
        <v>217.78270000000001</v>
      </c>
      <c r="L714" s="327">
        <v>1</v>
      </c>
      <c r="M714" s="590">
        <v>217.78270000000001</v>
      </c>
      <c r="N714" s="6" t="s">
        <v>1523</v>
      </c>
      <c r="O714" s="328">
        <v>45594</v>
      </c>
      <c r="P714" s="33" t="str">
        <f>HYPERLINK("https://my.zakupivli.pro/remote/dispatcher/state_purchase_view/54376354", "UA-2024-10-29-008424-a")</f>
        <v>UA-2024-10-29-008424-a</v>
      </c>
      <c r="Q714" s="327">
        <v>217.78270000000001</v>
      </c>
      <c r="R714" s="327">
        <v>1</v>
      </c>
      <c r="S714" s="327">
        <v>217.78270000000001</v>
      </c>
      <c r="T714" s="328">
        <v>45594</v>
      </c>
      <c r="U714" s="305"/>
      <c r="V714" s="327" t="s">
        <v>59</v>
      </c>
    </row>
    <row r="715" spans="1:22" ht="62.4" x14ac:dyDescent="0.3">
      <c r="A715" s="305">
        <v>709</v>
      </c>
      <c r="B715" s="327" t="s">
        <v>40</v>
      </c>
      <c r="C715" s="332" t="s">
        <v>884</v>
      </c>
      <c r="D715" s="305"/>
      <c r="E715" s="327" t="s">
        <v>20</v>
      </c>
      <c r="F715" s="331" t="s">
        <v>1520</v>
      </c>
      <c r="G715" s="327" t="s">
        <v>184</v>
      </c>
      <c r="H715" s="590">
        <v>92.776589999999999</v>
      </c>
      <c r="I715" s="305">
        <v>1</v>
      </c>
      <c r="J715" s="590">
        <v>92.776589999999999</v>
      </c>
      <c r="K715" s="590">
        <v>92.776589999999999</v>
      </c>
      <c r="L715" s="327">
        <v>1</v>
      </c>
      <c r="M715" s="590">
        <v>92.776589999999999</v>
      </c>
      <c r="N715" s="6" t="s">
        <v>1524</v>
      </c>
      <c r="O715" s="328">
        <v>45594</v>
      </c>
      <c r="P715" s="33" t="str">
        <f>HYPERLINK("https://my.zakupivli.pro/remote/dispatcher/state_purchase_view/54375854", "UA-2024-10-29-008170-a")</f>
        <v>UA-2024-10-29-008170-a</v>
      </c>
      <c r="Q715" s="327">
        <v>92.776589999999999</v>
      </c>
      <c r="R715" s="327">
        <v>1</v>
      </c>
      <c r="S715" s="327">
        <v>92.776589999999999</v>
      </c>
      <c r="T715" s="328">
        <v>45594</v>
      </c>
      <c r="U715" s="305"/>
      <c r="V715" s="327" t="s">
        <v>59</v>
      </c>
    </row>
    <row r="716" spans="1:22" ht="62.4" x14ac:dyDescent="0.3">
      <c r="A716" s="305">
        <v>710</v>
      </c>
      <c r="B716" s="327" t="s">
        <v>21</v>
      </c>
      <c r="C716" s="332" t="s">
        <v>300</v>
      </c>
      <c r="D716" s="305"/>
      <c r="E716" s="327" t="s">
        <v>20</v>
      </c>
      <c r="F716" s="331" t="s">
        <v>1521</v>
      </c>
      <c r="G716" s="305" t="s">
        <v>1526</v>
      </c>
      <c r="H716" s="590">
        <v>8.0710000000000004E-2</v>
      </c>
      <c r="I716" s="305">
        <v>1000</v>
      </c>
      <c r="J716" s="590">
        <v>80.709999999999994</v>
      </c>
      <c r="K716" s="590">
        <v>8.0710000000000004E-2</v>
      </c>
      <c r="L716" s="327">
        <v>1000</v>
      </c>
      <c r="M716" s="590">
        <v>80.709999999999994</v>
      </c>
      <c r="N716" s="6" t="s">
        <v>1525</v>
      </c>
      <c r="O716" s="328">
        <v>45594</v>
      </c>
      <c r="P716" s="33" t="str">
        <f>HYPERLINK("https://my.zakupivli.pro/remote/dispatcher/state_purchase_view/54362853", "UA-2024-10-29-002264-a")</f>
        <v>UA-2024-10-29-002264-a</v>
      </c>
      <c r="Q716" s="327">
        <v>8.0710000000000004E-2</v>
      </c>
      <c r="R716" s="327">
        <v>1000</v>
      </c>
      <c r="S716" s="327">
        <v>80.709999999999994</v>
      </c>
      <c r="T716" s="328">
        <v>45594</v>
      </c>
      <c r="U716" s="305"/>
      <c r="V716" s="327" t="s">
        <v>59</v>
      </c>
    </row>
    <row r="717" spans="1:22" ht="93.6" x14ac:dyDescent="0.3">
      <c r="A717" s="305">
        <v>711</v>
      </c>
      <c r="B717" s="329" t="s">
        <v>40</v>
      </c>
      <c r="C717" s="44" t="s">
        <v>41</v>
      </c>
      <c r="D717" s="305"/>
      <c r="E717" s="329" t="s">
        <v>20</v>
      </c>
      <c r="F717" s="44" t="s">
        <v>1527</v>
      </c>
      <c r="G717" s="329" t="s">
        <v>184</v>
      </c>
      <c r="H717" s="590">
        <v>829.03994</v>
      </c>
      <c r="I717" s="305">
        <v>1</v>
      </c>
      <c r="J717" s="590">
        <v>829.03994</v>
      </c>
      <c r="K717" s="590">
        <v>829.03994</v>
      </c>
      <c r="L717" s="329">
        <v>1</v>
      </c>
      <c r="M717" s="590">
        <v>829.03994</v>
      </c>
      <c r="N717" s="6" t="s">
        <v>1531</v>
      </c>
      <c r="O717" s="306">
        <v>45595</v>
      </c>
      <c r="P717" s="33" t="str">
        <f>HYPERLINK("https://my.zakupivli.pro/remote/dispatcher/state_purchase_view/54409626", "UA-2024-10-30-007644-a")</f>
        <v>UA-2024-10-30-007644-a</v>
      </c>
      <c r="Q717" s="329">
        <v>829.03994</v>
      </c>
      <c r="R717" s="329">
        <v>1</v>
      </c>
      <c r="S717" s="329">
        <v>829.03994</v>
      </c>
      <c r="T717" s="330">
        <v>45595</v>
      </c>
      <c r="U717" s="305"/>
      <c r="V717" s="329" t="s">
        <v>59</v>
      </c>
    </row>
    <row r="718" spans="1:22" ht="93.6" x14ac:dyDescent="0.3">
      <c r="A718" s="305">
        <v>712</v>
      </c>
      <c r="B718" s="329" t="s">
        <v>40</v>
      </c>
      <c r="C718" s="44" t="s">
        <v>41</v>
      </c>
      <c r="D718" s="305"/>
      <c r="E718" s="329" t="s">
        <v>20</v>
      </c>
      <c r="F718" s="44" t="s">
        <v>1528</v>
      </c>
      <c r="G718" s="329" t="s">
        <v>184</v>
      </c>
      <c r="H718" s="590">
        <v>678.22518000000002</v>
      </c>
      <c r="I718" s="305">
        <v>1</v>
      </c>
      <c r="J718" s="590">
        <v>678.22518000000002</v>
      </c>
      <c r="K718" s="590">
        <v>678.22518000000002</v>
      </c>
      <c r="L718" s="329">
        <v>1</v>
      </c>
      <c r="M718" s="590">
        <v>678.22518000000002</v>
      </c>
      <c r="N718" s="6" t="s">
        <v>1532</v>
      </c>
      <c r="O718" s="330">
        <v>45595</v>
      </c>
      <c r="P718" s="33" t="str">
        <f>HYPERLINK("https://my.zakupivli.pro/remote/dispatcher/state_purchase_view/54409008", "UA-2024-10-30-007410-a")</f>
        <v>UA-2024-10-30-007410-a</v>
      </c>
      <c r="Q718" s="329">
        <v>678.22518000000002</v>
      </c>
      <c r="R718" s="329">
        <v>1</v>
      </c>
      <c r="S718" s="329">
        <v>678.22518000000002</v>
      </c>
      <c r="T718" s="330">
        <v>45595</v>
      </c>
      <c r="U718" s="305"/>
      <c r="V718" s="329" t="s">
        <v>59</v>
      </c>
    </row>
    <row r="719" spans="1:22" ht="62.4" x14ac:dyDescent="0.3">
      <c r="A719" s="305">
        <v>713</v>
      </c>
      <c r="B719" s="329" t="s">
        <v>40</v>
      </c>
      <c r="C719" s="44" t="s">
        <v>884</v>
      </c>
      <c r="D719" s="305"/>
      <c r="E719" s="329" t="s">
        <v>20</v>
      </c>
      <c r="F719" s="44" t="s">
        <v>1529</v>
      </c>
      <c r="G719" s="329" t="s">
        <v>184</v>
      </c>
      <c r="H719" s="590">
        <v>327.16228999999998</v>
      </c>
      <c r="I719" s="305">
        <v>1</v>
      </c>
      <c r="J719" s="590">
        <v>327.16228999999998</v>
      </c>
      <c r="K719" s="590">
        <v>327.16228999999998</v>
      </c>
      <c r="L719" s="329">
        <v>1</v>
      </c>
      <c r="M719" s="590">
        <v>327.16228999999998</v>
      </c>
      <c r="N719" s="6" t="s">
        <v>1533</v>
      </c>
      <c r="O719" s="330">
        <v>45595</v>
      </c>
      <c r="P719" s="33" t="str">
        <f>HYPERLINK("https://my.zakupivli.pro/remote/dispatcher/state_purchase_view/54407139", "UA-2024-10-30-006594-a")</f>
        <v>UA-2024-10-30-006594-a</v>
      </c>
      <c r="Q719" s="329">
        <v>327.16228999999998</v>
      </c>
      <c r="R719" s="329">
        <v>1</v>
      </c>
      <c r="S719" s="329">
        <v>327.16228999999998</v>
      </c>
      <c r="T719" s="330">
        <v>45595</v>
      </c>
      <c r="U719" s="305"/>
      <c r="V719" s="329" t="s">
        <v>59</v>
      </c>
    </row>
    <row r="720" spans="1:22" ht="62.4" x14ac:dyDescent="0.3">
      <c r="A720" s="305">
        <v>714</v>
      </c>
      <c r="B720" s="329" t="s">
        <v>40</v>
      </c>
      <c r="C720" s="44" t="s">
        <v>884</v>
      </c>
      <c r="D720" s="305"/>
      <c r="E720" s="329" t="s">
        <v>20</v>
      </c>
      <c r="F720" s="44" t="s">
        <v>1530</v>
      </c>
      <c r="G720" s="329" t="s">
        <v>184</v>
      </c>
      <c r="H720" s="590">
        <v>137.55618999999999</v>
      </c>
      <c r="I720" s="305">
        <v>1</v>
      </c>
      <c r="J720" s="590">
        <v>137.55618999999999</v>
      </c>
      <c r="K720" s="590">
        <v>137.55618999999999</v>
      </c>
      <c r="L720" s="329">
        <v>1</v>
      </c>
      <c r="M720" s="590">
        <v>137.55618999999999</v>
      </c>
      <c r="N720" s="6" t="s">
        <v>1534</v>
      </c>
      <c r="O720" s="330">
        <v>45595</v>
      </c>
      <c r="P720" s="33" t="str">
        <f>HYPERLINK("https://my.zakupivli.pro/remote/dispatcher/state_purchase_view/54403612", "UA-2024-10-30-005005-a")</f>
        <v>UA-2024-10-30-005005-a</v>
      </c>
      <c r="Q720" s="329">
        <v>137.55618999999999</v>
      </c>
      <c r="R720" s="329">
        <v>1</v>
      </c>
      <c r="S720" s="329">
        <v>137.55618999999999</v>
      </c>
      <c r="T720" s="330">
        <v>45595</v>
      </c>
      <c r="U720" s="305"/>
      <c r="V720" s="329" t="s">
        <v>59</v>
      </c>
    </row>
    <row r="721" spans="1:22" ht="62.4" x14ac:dyDescent="0.3">
      <c r="A721" s="305">
        <v>715</v>
      </c>
      <c r="B721" s="333" t="s">
        <v>21</v>
      </c>
      <c r="C721" s="44" t="s">
        <v>412</v>
      </c>
      <c r="D721" s="305"/>
      <c r="E721" s="333" t="s">
        <v>20</v>
      </c>
      <c r="F721" s="44" t="s">
        <v>1386</v>
      </c>
      <c r="G721" s="305" t="s">
        <v>185</v>
      </c>
      <c r="H721" s="590">
        <v>71.625</v>
      </c>
      <c r="I721" s="305">
        <v>1</v>
      </c>
      <c r="J721" s="590">
        <v>71.625</v>
      </c>
      <c r="K721" s="590">
        <v>71.625</v>
      </c>
      <c r="L721" s="333">
        <v>1</v>
      </c>
      <c r="M721" s="590">
        <v>71.625</v>
      </c>
      <c r="N721" s="6" t="s">
        <v>1541</v>
      </c>
      <c r="O721" s="306">
        <v>45566</v>
      </c>
      <c r="P721" s="33" t="str">
        <f>HYPERLINK("https://my.zakupivli.pro/remote/dispatcher/state_purchase_view/54476090", "UA-2024-11-01-010548-a")</f>
        <v>UA-2024-11-01-010548-a</v>
      </c>
      <c r="Q721" s="333">
        <v>71.625</v>
      </c>
      <c r="R721" s="333">
        <v>1</v>
      </c>
      <c r="S721" s="333">
        <v>71.625</v>
      </c>
      <c r="T721" s="334">
        <v>45566</v>
      </c>
      <c r="U721" s="305"/>
      <c r="V721" s="333" t="s">
        <v>59</v>
      </c>
    </row>
    <row r="722" spans="1:22" ht="78" x14ac:dyDescent="0.3">
      <c r="A722" s="305">
        <v>716</v>
      </c>
      <c r="B722" s="333" t="s">
        <v>40</v>
      </c>
      <c r="C722" s="44" t="s">
        <v>884</v>
      </c>
      <c r="D722" s="305"/>
      <c r="E722" s="333" t="s">
        <v>20</v>
      </c>
      <c r="F722" s="44" t="s">
        <v>1535</v>
      </c>
      <c r="G722" s="305" t="s">
        <v>184</v>
      </c>
      <c r="H722" s="590">
        <v>77.515150000000006</v>
      </c>
      <c r="I722" s="305">
        <v>1</v>
      </c>
      <c r="J722" s="590">
        <v>77.515150000000006</v>
      </c>
      <c r="K722" s="590">
        <v>77.515150000000006</v>
      </c>
      <c r="L722" s="333">
        <v>1</v>
      </c>
      <c r="M722" s="590">
        <v>77.515150000000006</v>
      </c>
      <c r="N722" s="6" t="s">
        <v>1542</v>
      </c>
      <c r="O722" s="334">
        <v>45566</v>
      </c>
      <c r="P722" s="33" t="str">
        <f>HYPERLINK("https://my.zakupivli.pro/remote/dispatcher/state_purchase_view/54470389", "UA-2024-11-01-007893-a")</f>
        <v>UA-2024-11-01-007893-a</v>
      </c>
      <c r="Q722" s="333">
        <v>77.515150000000006</v>
      </c>
      <c r="R722" s="333">
        <v>1</v>
      </c>
      <c r="S722" s="333">
        <v>77.515150000000006</v>
      </c>
      <c r="T722" s="334">
        <v>45566</v>
      </c>
      <c r="U722" s="305"/>
      <c r="V722" s="333" t="s">
        <v>59</v>
      </c>
    </row>
    <row r="723" spans="1:22" ht="62.4" x14ac:dyDescent="0.3">
      <c r="A723" s="305">
        <v>717</v>
      </c>
      <c r="B723" s="333" t="s">
        <v>21</v>
      </c>
      <c r="C723" s="44" t="s">
        <v>30</v>
      </c>
      <c r="D723" s="305"/>
      <c r="E723" s="333" t="s">
        <v>75</v>
      </c>
      <c r="F723" s="44" t="s">
        <v>1536</v>
      </c>
      <c r="G723" s="305" t="s">
        <v>185</v>
      </c>
      <c r="H723" s="590">
        <v>0.14299999999999999</v>
      </c>
      <c r="I723" s="305">
        <v>550</v>
      </c>
      <c r="J723" s="590">
        <v>78.650000000000006</v>
      </c>
      <c r="K723" s="590">
        <v>0.14299999999999999</v>
      </c>
      <c r="L723" s="333">
        <v>550</v>
      </c>
      <c r="M723" s="590">
        <v>78.650000000000006</v>
      </c>
      <c r="N723" s="6" t="s">
        <v>1543</v>
      </c>
      <c r="O723" s="334">
        <v>45566</v>
      </c>
      <c r="P723" s="33" t="str">
        <f>HYPERLINK("https://my.zakupivli.pro/remote/dispatcher/state_purchase_view/54459170", "UA-2024-11-01-003014-a")</f>
        <v>UA-2024-11-01-003014-a</v>
      </c>
      <c r="Q723" s="333">
        <v>0.14299999999999999</v>
      </c>
      <c r="R723" s="333">
        <v>550</v>
      </c>
      <c r="S723" s="333">
        <v>78.650000000000006</v>
      </c>
      <c r="T723" s="334">
        <v>45566</v>
      </c>
      <c r="U723" s="305"/>
      <c r="V723" s="333" t="s">
        <v>59</v>
      </c>
    </row>
    <row r="724" spans="1:22" ht="93.6" x14ac:dyDescent="0.3">
      <c r="A724" s="305">
        <v>718</v>
      </c>
      <c r="B724" s="333" t="s">
        <v>40</v>
      </c>
      <c r="C724" s="44" t="s">
        <v>884</v>
      </c>
      <c r="D724" s="305"/>
      <c r="E724" s="333" t="s">
        <v>20</v>
      </c>
      <c r="F724" s="44" t="s">
        <v>1537</v>
      </c>
      <c r="G724" s="305" t="s">
        <v>184</v>
      </c>
      <c r="H724" s="590">
        <v>108.8648</v>
      </c>
      <c r="I724" s="305">
        <v>1</v>
      </c>
      <c r="J724" s="590">
        <v>108.8648</v>
      </c>
      <c r="K724" s="590">
        <v>108.8648</v>
      </c>
      <c r="L724" s="333">
        <v>1</v>
      </c>
      <c r="M724" s="590">
        <v>108.8648</v>
      </c>
      <c r="N724" s="6" t="s">
        <v>1544</v>
      </c>
      <c r="O724" s="334">
        <v>45566</v>
      </c>
      <c r="P724" s="33" t="str">
        <f>HYPERLINK("https://my.zakupivli.pro/remote/dispatcher/state_purchase_view/54453684", "UA-2024-11-01-000488-a")</f>
        <v>UA-2024-11-01-000488-a</v>
      </c>
      <c r="Q724" s="333">
        <v>108.8648</v>
      </c>
      <c r="R724" s="333">
        <v>1</v>
      </c>
      <c r="S724" s="333">
        <v>108.8648</v>
      </c>
      <c r="T724" s="306">
        <v>45596</v>
      </c>
      <c r="U724" s="305"/>
      <c r="V724" s="333" t="s">
        <v>59</v>
      </c>
    </row>
    <row r="725" spans="1:22" ht="62.4" x14ac:dyDescent="0.3">
      <c r="A725" s="305">
        <v>719</v>
      </c>
      <c r="B725" s="333" t="s">
        <v>40</v>
      </c>
      <c r="C725" s="44" t="s">
        <v>884</v>
      </c>
      <c r="D725" s="305"/>
      <c r="E725" s="333" t="s">
        <v>20</v>
      </c>
      <c r="F725" s="44" t="s">
        <v>1538</v>
      </c>
      <c r="G725" s="305" t="s">
        <v>184</v>
      </c>
      <c r="H725" s="590">
        <v>165.26864</v>
      </c>
      <c r="I725" s="305">
        <v>1</v>
      </c>
      <c r="J725" s="590">
        <v>165.26864</v>
      </c>
      <c r="K725" s="590">
        <v>165.26864</v>
      </c>
      <c r="L725" s="333">
        <v>1</v>
      </c>
      <c r="M725" s="590">
        <v>165.26864</v>
      </c>
      <c r="N725" s="6" t="s">
        <v>1545</v>
      </c>
      <c r="O725" s="334">
        <v>45566</v>
      </c>
      <c r="P725" s="33" t="str">
        <f>HYPERLINK("https://my.zakupivli.pro/remote/dispatcher/state_purchase_view/54453325", "UA-2024-11-01-000327-a")</f>
        <v>UA-2024-11-01-000327-a</v>
      </c>
      <c r="Q725" s="333">
        <v>165.26864</v>
      </c>
      <c r="R725" s="333">
        <v>1</v>
      </c>
      <c r="S725" s="333">
        <v>165.26864</v>
      </c>
      <c r="T725" s="334">
        <v>45596</v>
      </c>
      <c r="U725" s="305"/>
      <c r="V725" s="333" t="s">
        <v>59</v>
      </c>
    </row>
    <row r="726" spans="1:22" ht="62.4" x14ac:dyDescent="0.3">
      <c r="A726" s="305">
        <v>720</v>
      </c>
      <c r="B726" s="333" t="s">
        <v>40</v>
      </c>
      <c r="C726" s="44" t="s">
        <v>884</v>
      </c>
      <c r="D726" s="305"/>
      <c r="E726" s="333" t="s">
        <v>20</v>
      </c>
      <c r="F726" s="44" t="s">
        <v>1539</v>
      </c>
      <c r="G726" s="305" t="s">
        <v>184</v>
      </c>
      <c r="H726" s="590">
        <v>77.242069999999998</v>
      </c>
      <c r="I726" s="305">
        <v>1</v>
      </c>
      <c r="J726" s="590">
        <v>77.242069999999998</v>
      </c>
      <c r="K726" s="590">
        <v>77.242069999999998</v>
      </c>
      <c r="L726" s="333">
        <v>1</v>
      </c>
      <c r="M726" s="590">
        <v>77.242069999999998</v>
      </c>
      <c r="N726" s="6" t="s">
        <v>1546</v>
      </c>
      <c r="O726" s="334">
        <v>45566</v>
      </c>
      <c r="P726" s="33" t="str">
        <f>HYPERLINK("https://my.zakupivli.pro/remote/dispatcher/state_purchase_view/54453220", "UA-2024-11-01-000272-a")</f>
        <v>UA-2024-11-01-000272-a</v>
      </c>
      <c r="Q726" s="333">
        <v>77.242069999999998</v>
      </c>
      <c r="R726" s="333">
        <v>1</v>
      </c>
      <c r="S726" s="333">
        <v>77.242069999999998</v>
      </c>
      <c r="T726" s="306">
        <v>45596</v>
      </c>
      <c r="U726" s="305"/>
      <c r="V726" s="333" t="s">
        <v>59</v>
      </c>
    </row>
    <row r="727" spans="1:22" ht="78" x14ac:dyDescent="0.3">
      <c r="A727" s="305">
        <v>721</v>
      </c>
      <c r="B727" s="333" t="s">
        <v>40</v>
      </c>
      <c r="C727" s="44" t="s">
        <v>884</v>
      </c>
      <c r="D727" s="305"/>
      <c r="E727" s="333" t="s">
        <v>20</v>
      </c>
      <c r="F727" s="44" t="s">
        <v>1540</v>
      </c>
      <c r="G727" s="305" t="s">
        <v>184</v>
      </c>
      <c r="H727" s="590">
        <v>76.717250000000007</v>
      </c>
      <c r="I727" s="305">
        <v>1</v>
      </c>
      <c r="J727" s="590">
        <v>76.717250000000007</v>
      </c>
      <c r="K727" s="590">
        <v>76.717250000000007</v>
      </c>
      <c r="L727" s="333">
        <v>1</v>
      </c>
      <c r="M727" s="590">
        <v>76.717250000000007</v>
      </c>
      <c r="N727" s="6" t="s">
        <v>1547</v>
      </c>
      <c r="O727" s="334">
        <v>45566</v>
      </c>
      <c r="P727" s="33" t="str">
        <f>HYPERLINK("https://my.zakupivli.pro/remote/dispatcher/state_purchase_view/54453100", "UA-2024-11-01-000223-a")</f>
        <v>UA-2024-11-01-000223-a</v>
      </c>
      <c r="Q727" s="333">
        <v>76.717250000000007</v>
      </c>
      <c r="R727" s="333">
        <v>1</v>
      </c>
      <c r="S727" s="333">
        <v>76.717250000000007</v>
      </c>
      <c r="T727" s="334">
        <v>45596</v>
      </c>
      <c r="U727" s="305"/>
      <c r="V727" s="333" t="s">
        <v>59</v>
      </c>
    </row>
    <row r="728" spans="1:22" ht="78" x14ac:dyDescent="0.3">
      <c r="A728" s="305">
        <v>722</v>
      </c>
      <c r="B728" s="335" t="s">
        <v>40</v>
      </c>
      <c r="C728" s="44" t="s">
        <v>884</v>
      </c>
      <c r="D728" s="305"/>
      <c r="E728" s="335" t="s">
        <v>20</v>
      </c>
      <c r="F728" s="44" t="s">
        <v>1548</v>
      </c>
      <c r="G728" s="335" t="s">
        <v>184</v>
      </c>
      <c r="H728" s="590">
        <v>588.98168999999996</v>
      </c>
      <c r="I728" s="305">
        <v>1</v>
      </c>
      <c r="J728" s="590">
        <v>588.98168999999996</v>
      </c>
      <c r="K728" s="590">
        <v>588.98168999999996</v>
      </c>
      <c r="L728" s="335">
        <v>1</v>
      </c>
      <c r="M728" s="590">
        <v>588.98168999999996</v>
      </c>
      <c r="N728" s="6" t="s">
        <v>1549</v>
      </c>
      <c r="O728" s="306">
        <v>45601</v>
      </c>
      <c r="P728" s="33" t="str">
        <f>HYPERLINK("https://my.zakupivli.pro/remote/dispatcher/state_purchase_view/54552115", "UA-2024-11-05-013976-a")</f>
        <v>UA-2024-11-05-013976-a</v>
      </c>
      <c r="Q728" s="335">
        <v>588.98168999999996</v>
      </c>
      <c r="R728" s="335">
        <v>1</v>
      </c>
      <c r="S728" s="335">
        <v>588.98168999999996</v>
      </c>
      <c r="T728" s="306">
        <v>45601</v>
      </c>
      <c r="U728" s="305"/>
      <c r="V728" s="335" t="s">
        <v>59</v>
      </c>
    </row>
    <row r="729" spans="1:22" ht="140.4" x14ac:dyDescent="0.3">
      <c r="A729" s="305">
        <v>723</v>
      </c>
      <c r="B729" s="305" t="s">
        <v>1150</v>
      </c>
      <c r="C729" s="44" t="s">
        <v>1400</v>
      </c>
      <c r="D729" s="395" t="s">
        <v>58</v>
      </c>
      <c r="E729" s="336" t="s">
        <v>75</v>
      </c>
      <c r="F729" s="44" t="s">
        <v>1550</v>
      </c>
      <c r="G729" s="305" t="s">
        <v>1149</v>
      </c>
      <c r="H729" s="590">
        <v>480</v>
      </c>
      <c r="I729" s="305">
        <v>1</v>
      </c>
      <c r="J729" s="590">
        <v>480</v>
      </c>
      <c r="K729" s="590">
        <v>480</v>
      </c>
      <c r="L729" s="336">
        <v>1</v>
      </c>
      <c r="M729" s="590">
        <v>480</v>
      </c>
      <c r="N729" s="6" t="s">
        <v>1554</v>
      </c>
      <c r="O729" s="306">
        <v>45602</v>
      </c>
      <c r="P729" s="33" t="str">
        <f>HYPERLINK("https://my.zakupivli.pro/remote/dispatcher/state_purchase_view/54591270", "UA-2024-11-06-015235-a")</f>
        <v>UA-2024-11-06-015235-a</v>
      </c>
      <c r="Q729" s="117">
        <v>480</v>
      </c>
      <c r="R729" s="305">
        <v>1</v>
      </c>
      <c r="S729" s="117">
        <v>480</v>
      </c>
      <c r="T729" s="306">
        <v>45618</v>
      </c>
      <c r="U729" s="305"/>
      <c r="V729" s="305"/>
    </row>
    <row r="730" spans="1:22" ht="62.4" x14ac:dyDescent="0.3">
      <c r="A730" s="305">
        <v>724</v>
      </c>
      <c r="B730" s="305" t="s">
        <v>21</v>
      </c>
      <c r="C730" s="44" t="s">
        <v>893</v>
      </c>
      <c r="D730" s="305"/>
      <c r="E730" s="336" t="s">
        <v>75</v>
      </c>
      <c r="F730" s="44" t="s">
        <v>1551</v>
      </c>
      <c r="G730" s="305" t="s">
        <v>186</v>
      </c>
      <c r="H730" s="590"/>
      <c r="I730" s="305">
        <v>7</v>
      </c>
      <c r="J730" s="590">
        <v>67.769000000000005</v>
      </c>
      <c r="K730" s="590"/>
      <c r="L730" s="336">
        <v>7</v>
      </c>
      <c r="M730" s="590">
        <v>67.769000000000005</v>
      </c>
      <c r="N730" s="6" t="s">
        <v>1555</v>
      </c>
      <c r="O730" s="337">
        <v>45602</v>
      </c>
      <c r="P730" s="33" t="str">
        <f>HYPERLINK("https://my.zakupivli.pro/remote/dispatcher/state_purchase_view/54590134", "UA-2024-11-06-014697-a")</f>
        <v>UA-2024-11-06-014697-a</v>
      </c>
      <c r="Q730" s="305"/>
      <c r="R730" s="336">
        <v>7</v>
      </c>
      <c r="S730" s="336">
        <v>67.769000000000005</v>
      </c>
      <c r="T730" s="337">
        <v>45602</v>
      </c>
      <c r="U730" s="305"/>
      <c r="V730" s="336" t="s">
        <v>59</v>
      </c>
    </row>
    <row r="731" spans="1:22" ht="93.6" x14ac:dyDescent="0.3">
      <c r="A731" s="305">
        <v>725</v>
      </c>
      <c r="B731" s="305" t="s">
        <v>1150</v>
      </c>
      <c r="C731" s="44" t="s">
        <v>1553</v>
      </c>
      <c r="D731" s="395" t="s">
        <v>58</v>
      </c>
      <c r="E731" s="336" t="s">
        <v>75</v>
      </c>
      <c r="F731" s="44" t="s">
        <v>1552</v>
      </c>
      <c r="G731" s="305" t="s">
        <v>1149</v>
      </c>
      <c r="H731" s="590">
        <v>1400</v>
      </c>
      <c r="I731" s="305">
        <v>1</v>
      </c>
      <c r="J731" s="590">
        <v>1400</v>
      </c>
      <c r="K731" s="590">
        <v>1400</v>
      </c>
      <c r="L731" s="336">
        <v>1</v>
      </c>
      <c r="M731" s="590">
        <v>1400</v>
      </c>
      <c r="N731" s="6" t="s">
        <v>1556</v>
      </c>
      <c r="O731" s="337">
        <v>45602</v>
      </c>
      <c r="P731" s="33" t="str">
        <f>HYPERLINK("https://my.zakupivli.pro/remote/dispatcher/state_purchase_view/54588242", "UA-2024-11-06-013838-a")</f>
        <v>UA-2024-11-06-013838-a</v>
      </c>
      <c r="Q731" s="305">
        <v>1233.3333399999999</v>
      </c>
      <c r="R731" s="305">
        <v>1</v>
      </c>
      <c r="S731" s="358">
        <v>1233.3333399999999</v>
      </c>
      <c r="T731" s="306">
        <v>45617</v>
      </c>
      <c r="U731" s="305"/>
      <c r="V731" s="305"/>
    </row>
    <row r="732" spans="1:22" ht="62.4" x14ac:dyDescent="0.3">
      <c r="A732" s="305">
        <v>726</v>
      </c>
      <c r="B732" s="339" t="s">
        <v>1150</v>
      </c>
      <c r="C732" s="44" t="s">
        <v>1400</v>
      </c>
      <c r="D732" s="305"/>
      <c r="E732" s="339" t="s">
        <v>75</v>
      </c>
      <c r="F732" s="223" t="s">
        <v>1429</v>
      </c>
      <c r="G732" s="305" t="s">
        <v>1149</v>
      </c>
      <c r="H732" s="590">
        <v>56</v>
      </c>
      <c r="I732" s="305">
        <v>1</v>
      </c>
      <c r="J732" s="590">
        <v>56</v>
      </c>
      <c r="K732" s="590">
        <v>56</v>
      </c>
      <c r="L732" s="339">
        <v>1</v>
      </c>
      <c r="M732" s="590">
        <v>56</v>
      </c>
      <c r="N732" s="6" t="s">
        <v>1557</v>
      </c>
      <c r="O732" s="306">
        <v>45603</v>
      </c>
      <c r="P732" s="33" t="str">
        <f>HYPERLINK("https://my.zakupivli.pro/remote/dispatcher/state_purchase_view/54604192", "UA-2024-11-07-003266-a")</f>
        <v>UA-2024-11-07-003266-a</v>
      </c>
      <c r="Q732" s="117">
        <v>56</v>
      </c>
      <c r="R732" s="339">
        <v>1</v>
      </c>
      <c r="S732" s="117">
        <v>56</v>
      </c>
      <c r="T732" s="338">
        <v>45603</v>
      </c>
      <c r="U732" s="305"/>
      <c r="V732" s="339" t="s">
        <v>59</v>
      </c>
    </row>
    <row r="733" spans="1:22" ht="62.4" x14ac:dyDescent="0.3">
      <c r="A733" s="340">
        <v>727</v>
      </c>
      <c r="B733" s="340" t="s">
        <v>21</v>
      </c>
      <c r="C733" s="44" t="s">
        <v>300</v>
      </c>
      <c r="D733" s="340"/>
      <c r="E733" s="340" t="s">
        <v>20</v>
      </c>
      <c r="F733" s="44" t="s">
        <v>1558</v>
      </c>
      <c r="G733" s="340" t="s">
        <v>1526</v>
      </c>
      <c r="H733" s="590">
        <v>8.0710000000000004E-2</v>
      </c>
      <c r="I733" s="340">
        <v>1000</v>
      </c>
      <c r="J733" s="590">
        <v>80.709999999999994</v>
      </c>
      <c r="K733" s="590">
        <v>8.0710000000000004E-2</v>
      </c>
      <c r="L733" s="340">
        <v>1000</v>
      </c>
      <c r="M733" s="590">
        <v>80.709999999999994</v>
      </c>
      <c r="N733" s="6" t="s">
        <v>1560</v>
      </c>
      <c r="O733" s="341">
        <v>45604</v>
      </c>
      <c r="P733" s="33" t="str">
        <f>HYPERLINK("https://my.zakupivli.pro/remote/dispatcher/state_purchase_view/54641995", "UA-2024-11-08-003305-a")</f>
        <v>UA-2024-11-08-003305-a</v>
      </c>
      <c r="Q733" s="340">
        <v>8.0710000000000004E-2</v>
      </c>
      <c r="R733" s="340">
        <v>1000</v>
      </c>
      <c r="S733" s="117">
        <v>80.709999999999994</v>
      </c>
      <c r="T733" s="341">
        <v>45604</v>
      </c>
      <c r="U733" s="340"/>
      <c r="V733" s="340" t="s">
        <v>59</v>
      </c>
    </row>
    <row r="734" spans="1:22" ht="62.4" x14ac:dyDescent="0.3">
      <c r="A734" s="340">
        <v>728</v>
      </c>
      <c r="B734" s="340" t="s">
        <v>21</v>
      </c>
      <c r="C734" s="44" t="s">
        <v>412</v>
      </c>
      <c r="D734" s="340"/>
      <c r="E734" s="340" t="s">
        <v>20</v>
      </c>
      <c r="F734" s="44" t="s">
        <v>1296</v>
      </c>
      <c r="G734" s="340" t="s">
        <v>185</v>
      </c>
      <c r="H734" s="590">
        <v>71.625</v>
      </c>
      <c r="I734" s="340">
        <v>1</v>
      </c>
      <c r="J734" s="590">
        <v>71.625</v>
      </c>
      <c r="K734" s="590">
        <v>71.625</v>
      </c>
      <c r="L734" s="340">
        <v>1</v>
      </c>
      <c r="M734" s="590">
        <v>71.625</v>
      </c>
      <c r="N734" s="6" t="s">
        <v>1561</v>
      </c>
      <c r="O734" s="341">
        <v>45604</v>
      </c>
      <c r="P734" s="33" t="str">
        <f>HYPERLINK("https://my.zakupivli.pro/remote/dispatcher/state_purchase_view/54640544", "UA-2024-11-08-002662-a")</f>
        <v>UA-2024-11-08-002662-a</v>
      </c>
      <c r="Q734" s="340">
        <v>71.625</v>
      </c>
      <c r="R734" s="340">
        <v>1</v>
      </c>
      <c r="S734" s="340">
        <v>71.625</v>
      </c>
      <c r="T734" s="341">
        <v>45604</v>
      </c>
      <c r="U734" s="340"/>
      <c r="V734" s="340" t="s">
        <v>59</v>
      </c>
    </row>
    <row r="735" spans="1:22" ht="78" x14ac:dyDescent="0.3">
      <c r="A735" s="340">
        <v>729</v>
      </c>
      <c r="B735" s="340" t="s">
        <v>21</v>
      </c>
      <c r="C735" s="44" t="s">
        <v>405</v>
      </c>
      <c r="D735" s="395" t="s">
        <v>58</v>
      </c>
      <c r="E735" s="340" t="s">
        <v>75</v>
      </c>
      <c r="F735" s="44" t="s">
        <v>1559</v>
      </c>
      <c r="G735" s="340" t="s">
        <v>186</v>
      </c>
      <c r="H735" s="590"/>
      <c r="I735" s="340">
        <v>2</v>
      </c>
      <c r="J735" s="590">
        <v>433.33332999999999</v>
      </c>
      <c r="K735" s="590"/>
      <c r="L735" s="340">
        <v>2</v>
      </c>
      <c r="M735" s="590">
        <v>433.33332999999999</v>
      </c>
      <c r="N735" s="6" t="s">
        <v>1562</v>
      </c>
      <c r="O735" s="341">
        <v>45604</v>
      </c>
      <c r="P735" s="33" t="str">
        <f>HYPERLINK("https://my.zakupivli.pro/remote/dispatcher/state_purchase_view/54634822", "UA-2024-11-08-000190-a")</f>
        <v>UA-2024-11-08-000190-a</v>
      </c>
      <c r="Q735" s="340"/>
      <c r="R735" s="340">
        <v>2</v>
      </c>
      <c r="S735" s="340">
        <v>423.54</v>
      </c>
      <c r="T735" s="341">
        <v>45621</v>
      </c>
      <c r="U735" s="340"/>
      <c r="V735" s="340"/>
    </row>
    <row r="736" spans="1:22" ht="62.4" x14ac:dyDescent="0.3">
      <c r="A736" s="342">
        <v>730</v>
      </c>
      <c r="B736" s="342" t="s">
        <v>40</v>
      </c>
      <c r="C736" s="44" t="s">
        <v>884</v>
      </c>
      <c r="D736" s="342"/>
      <c r="E736" s="342" t="s">
        <v>20</v>
      </c>
      <c r="F736" s="62" t="s">
        <v>1563</v>
      </c>
      <c r="G736" s="342" t="s">
        <v>184</v>
      </c>
      <c r="H736" s="590">
        <v>1208.4389200000001</v>
      </c>
      <c r="I736" s="342">
        <v>1</v>
      </c>
      <c r="J736" s="590">
        <v>1208.4389200000001</v>
      </c>
      <c r="K736" s="590">
        <v>1208.4389200000001</v>
      </c>
      <c r="L736" s="342">
        <v>1</v>
      </c>
      <c r="M736" s="590">
        <v>1208.4389200000001</v>
      </c>
      <c r="N736" s="6" t="s">
        <v>1565</v>
      </c>
      <c r="O736" s="343">
        <v>45608</v>
      </c>
      <c r="P736" s="33" t="str">
        <f>HYPERLINK("https://my.zakupivli.pro/remote/dispatcher/state_purchase_view/54732542", "UA-2024-11-12-010433-a")</f>
        <v>UA-2024-11-12-010433-a</v>
      </c>
      <c r="Q736" s="342">
        <v>1208.4389200000001</v>
      </c>
      <c r="R736" s="342">
        <v>1</v>
      </c>
      <c r="S736" s="342">
        <v>1208.4389200000001</v>
      </c>
      <c r="T736" s="343">
        <v>45608</v>
      </c>
      <c r="U736" s="342"/>
      <c r="V736" s="342" t="s">
        <v>59</v>
      </c>
    </row>
    <row r="737" spans="1:22" ht="62.4" x14ac:dyDescent="0.3">
      <c r="A737" s="342">
        <v>731</v>
      </c>
      <c r="B737" s="342" t="s">
        <v>40</v>
      </c>
      <c r="C737" s="44" t="s">
        <v>884</v>
      </c>
      <c r="D737" s="342"/>
      <c r="E737" s="342" t="s">
        <v>20</v>
      </c>
      <c r="F737" s="62" t="s">
        <v>1564</v>
      </c>
      <c r="G737" s="342" t="s">
        <v>184</v>
      </c>
      <c r="H737" s="590">
        <v>473.19024999999999</v>
      </c>
      <c r="I737" s="342">
        <v>1</v>
      </c>
      <c r="J737" s="590">
        <v>473.19024999999999</v>
      </c>
      <c r="K737" s="590">
        <v>473.19024999999999</v>
      </c>
      <c r="L737" s="342">
        <v>1</v>
      </c>
      <c r="M737" s="590">
        <v>473.19024999999999</v>
      </c>
      <c r="N737" s="6" t="s">
        <v>1566</v>
      </c>
      <c r="O737" s="343">
        <v>45608</v>
      </c>
      <c r="P737" s="33" t="str">
        <f>HYPERLINK("https://my.zakupivli.pro/remote/dispatcher/state_purchase_view/54732316", "UA-2024-11-12-010311-a")</f>
        <v>UA-2024-11-12-010311-a</v>
      </c>
      <c r="Q737" s="342">
        <v>473.19024999999999</v>
      </c>
      <c r="R737" s="342">
        <v>1</v>
      </c>
      <c r="S737" s="342">
        <v>473.19024999999999</v>
      </c>
      <c r="T737" s="343">
        <v>45608</v>
      </c>
      <c r="U737" s="342"/>
      <c r="V737" s="342" t="s">
        <v>59</v>
      </c>
    </row>
    <row r="738" spans="1:22" ht="62.4" x14ac:dyDescent="0.3">
      <c r="A738" s="342">
        <v>732</v>
      </c>
      <c r="B738" s="344" t="s">
        <v>40</v>
      </c>
      <c r="C738" s="44" t="s">
        <v>884</v>
      </c>
      <c r="D738" s="342"/>
      <c r="E738" s="344" t="s">
        <v>20</v>
      </c>
      <c r="F738" s="44" t="s">
        <v>1567</v>
      </c>
      <c r="G738" s="344" t="s">
        <v>184</v>
      </c>
      <c r="H738" s="590">
        <v>123.59764</v>
      </c>
      <c r="I738" s="342">
        <v>1</v>
      </c>
      <c r="J738" s="590">
        <v>123.59764</v>
      </c>
      <c r="K738" s="590">
        <v>123.59764</v>
      </c>
      <c r="L738" s="344">
        <v>1</v>
      </c>
      <c r="M738" s="590">
        <v>123.59764</v>
      </c>
      <c r="N738" s="6" t="s">
        <v>1580</v>
      </c>
      <c r="O738" s="343">
        <v>45610</v>
      </c>
      <c r="P738" s="33" t="str">
        <f>HYPERLINK("https://my.zakupivli.pro/remote/dispatcher/state_purchase_view/54822874", "UA-2024-11-14-015224-a")</f>
        <v>UA-2024-11-14-015224-a</v>
      </c>
      <c r="Q738" s="344">
        <v>123.59764</v>
      </c>
      <c r="R738" s="344">
        <v>1</v>
      </c>
      <c r="S738" s="344">
        <v>123.59764</v>
      </c>
      <c r="T738" s="345">
        <v>45610</v>
      </c>
      <c r="U738" s="342"/>
      <c r="V738" s="344" t="s">
        <v>59</v>
      </c>
    </row>
    <row r="739" spans="1:22" ht="62.4" x14ac:dyDescent="0.3">
      <c r="A739" s="342">
        <v>733</v>
      </c>
      <c r="B739" s="344" t="s">
        <v>40</v>
      </c>
      <c r="C739" s="44" t="s">
        <v>884</v>
      </c>
      <c r="D739" s="342"/>
      <c r="E739" s="344" t="s">
        <v>20</v>
      </c>
      <c r="F739" s="44" t="s">
        <v>1568</v>
      </c>
      <c r="G739" s="344" t="s">
        <v>184</v>
      </c>
      <c r="H739" s="590">
        <v>295.39073999999999</v>
      </c>
      <c r="I739" s="342">
        <v>1</v>
      </c>
      <c r="J739" s="590">
        <v>295.39073999999999</v>
      </c>
      <c r="K739" s="590">
        <v>295.39073999999999</v>
      </c>
      <c r="L739" s="344">
        <v>1</v>
      </c>
      <c r="M739" s="590">
        <v>295.39073999999999</v>
      </c>
      <c r="N739" s="6" t="s">
        <v>1581</v>
      </c>
      <c r="O739" s="345">
        <v>45610</v>
      </c>
      <c r="P739" s="33" t="str">
        <f>HYPERLINK("https://my.zakupivli.pro/remote/dispatcher/state_purchase_view/54822010", "UA-2024-11-14-014888-a")</f>
        <v>UA-2024-11-14-014888-a</v>
      </c>
      <c r="Q739" s="344">
        <v>295.39073999999999</v>
      </c>
      <c r="R739" s="344">
        <v>1</v>
      </c>
      <c r="S739" s="344">
        <v>295.39073999999999</v>
      </c>
      <c r="T739" s="345">
        <v>45610</v>
      </c>
      <c r="U739" s="342"/>
      <c r="V739" s="344" t="s">
        <v>59</v>
      </c>
    </row>
    <row r="740" spans="1:22" ht="62.4" x14ac:dyDescent="0.3">
      <c r="A740" s="342">
        <v>734</v>
      </c>
      <c r="B740" s="344" t="s">
        <v>40</v>
      </c>
      <c r="C740" s="44" t="s">
        <v>884</v>
      </c>
      <c r="D740" s="342"/>
      <c r="E740" s="344" t="s">
        <v>20</v>
      </c>
      <c r="F740" s="44" t="s">
        <v>1569</v>
      </c>
      <c r="G740" s="344" t="s">
        <v>184</v>
      </c>
      <c r="H740" s="590">
        <v>288.64389999999997</v>
      </c>
      <c r="I740" s="342">
        <v>1</v>
      </c>
      <c r="J740" s="590">
        <v>288.64389999999997</v>
      </c>
      <c r="K740" s="590">
        <v>288.64389999999997</v>
      </c>
      <c r="L740" s="344">
        <v>1</v>
      </c>
      <c r="M740" s="590">
        <v>288.64389999999997</v>
      </c>
      <c r="N740" s="6" t="s">
        <v>1582</v>
      </c>
      <c r="O740" s="345">
        <v>45610</v>
      </c>
      <c r="P740" s="33" t="str">
        <f>HYPERLINK("https://my.zakupivli.pro/remote/dispatcher/state_purchase_view/54821149", "UA-2024-11-14-014524-a")</f>
        <v>UA-2024-11-14-014524-a</v>
      </c>
      <c r="Q740" s="344">
        <v>288.64389999999997</v>
      </c>
      <c r="R740" s="344">
        <v>1</v>
      </c>
      <c r="S740" s="344">
        <v>288.64389999999997</v>
      </c>
      <c r="T740" s="345">
        <v>45610</v>
      </c>
      <c r="U740" s="342"/>
      <c r="V740" s="344" t="s">
        <v>59</v>
      </c>
    </row>
    <row r="741" spans="1:22" ht="78" x14ac:dyDescent="0.3">
      <c r="A741" s="342">
        <v>735</v>
      </c>
      <c r="B741" s="344" t="s">
        <v>40</v>
      </c>
      <c r="C741" s="44" t="s">
        <v>884</v>
      </c>
      <c r="D741" s="342"/>
      <c r="E741" s="344" t="s">
        <v>20</v>
      </c>
      <c r="F741" s="44" t="s">
        <v>1570</v>
      </c>
      <c r="G741" s="344" t="s">
        <v>184</v>
      </c>
      <c r="H741" s="590">
        <v>278.11198999999999</v>
      </c>
      <c r="I741" s="342">
        <v>1</v>
      </c>
      <c r="J741" s="590">
        <v>278.11198999999999</v>
      </c>
      <c r="K741" s="590">
        <v>278.11198999999999</v>
      </c>
      <c r="L741" s="344">
        <v>1</v>
      </c>
      <c r="M741" s="590">
        <v>278.11198999999999</v>
      </c>
      <c r="N741" s="6" t="s">
        <v>1583</v>
      </c>
      <c r="O741" s="345">
        <v>45610</v>
      </c>
      <c r="P741" s="33" t="str">
        <f>HYPERLINK("https://my.zakupivli.pro/remote/dispatcher/state_purchase_view/54820976", "UA-2024-11-14-014426-a")</f>
        <v>UA-2024-11-14-014426-a</v>
      </c>
      <c r="Q741" s="344">
        <v>278.11198999999999</v>
      </c>
      <c r="R741" s="344">
        <v>1</v>
      </c>
      <c r="S741" s="344">
        <v>278.11198999999999</v>
      </c>
      <c r="T741" s="345">
        <v>45610</v>
      </c>
      <c r="U741" s="342"/>
      <c r="V741" s="344" t="s">
        <v>59</v>
      </c>
    </row>
    <row r="742" spans="1:22" ht="78" x14ac:dyDescent="0.3">
      <c r="A742" s="342">
        <v>736</v>
      </c>
      <c r="B742" s="344" t="s">
        <v>40</v>
      </c>
      <c r="C742" s="44" t="s">
        <v>884</v>
      </c>
      <c r="D742" s="342"/>
      <c r="E742" s="344" t="s">
        <v>20</v>
      </c>
      <c r="F742" s="44" t="s">
        <v>1571</v>
      </c>
      <c r="G742" s="344" t="s">
        <v>184</v>
      </c>
      <c r="H742" s="590">
        <v>160.96020999999999</v>
      </c>
      <c r="I742" s="342">
        <v>1</v>
      </c>
      <c r="J742" s="590">
        <v>160.96020999999999</v>
      </c>
      <c r="K742" s="590">
        <v>160.96020999999999</v>
      </c>
      <c r="L742" s="344">
        <v>1</v>
      </c>
      <c r="M742" s="590">
        <v>160.96020999999999</v>
      </c>
      <c r="N742" s="6" t="s">
        <v>1584</v>
      </c>
      <c r="O742" s="345">
        <v>45610</v>
      </c>
      <c r="P742" s="33" t="str">
        <f>HYPERLINK("https://my.zakupivli.pro/remote/dispatcher/state_purchase_view/54820835", "UA-2024-11-14-014342-a")</f>
        <v>UA-2024-11-14-014342-a</v>
      </c>
      <c r="Q742" s="344">
        <v>160.96020999999999</v>
      </c>
      <c r="R742" s="344">
        <v>1</v>
      </c>
      <c r="S742" s="344">
        <v>160.96020999999999</v>
      </c>
      <c r="T742" s="345">
        <v>45610</v>
      </c>
      <c r="U742" s="342"/>
      <c r="V742" s="344" t="s">
        <v>59</v>
      </c>
    </row>
    <row r="743" spans="1:22" ht="62.4" x14ac:dyDescent="0.3">
      <c r="A743" s="342">
        <v>737</v>
      </c>
      <c r="B743" s="344" t="s">
        <v>40</v>
      </c>
      <c r="C743" s="44" t="s">
        <v>884</v>
      </c>
      <c r="D743" s="342"/>
      <c r="E743" s="344" t="s">
        <v>20</v>
      </c>
      <c r="F743" s="44" t="s">
        <v>1572</v>
      </c>
      <c r="G743" s="344" t="s">
        <v>184</v>
      </c>
      <c r="H743" s="590">
        <v>270.2063</v>
      </c>
      <c r="I743" s="342">
        <v>1</v>
      </c>
      <c r="J743" s="590">
        <v>270.2063</v>
      </c>
      <c r="K743" s="590">
        <v>270.2063</v>
      </c>
      <c r="L743" s="344">
        <v>1</v>
      </c>
      <c r="M743" s="590">
        <v>270.2063</v>
      </c>
      <c r="N743" s="6" t="s">
        <v>1585</v>
      </c>
      <c r="O743" s="345">
        <v>45610</v>
      </c>
      <c r="P743" s="33" t="str">
        <f>HYPERLINK("https://my.zakupivli.pro/remote/dispatcher/state_purchase_view/54820777", "UA-2024-11-14-014309-a")</f>
        <v>UA-2024-11-14-014309-a</v>
      </c>
      <c r="Q743" s="344">
        <v>270.2063</v>
      </c>
      <c r="R743" s="344">
        <v>1</v>
      </c>
      <c r="S743" s="344">
        <v>270.2063</v>
      </c>
      <c r="T743" s="345">
        <v>45610</v>
      </c>
      <c r="U743" s="342"/>
      <c r="V743" s="344" t="s">
        <v>59</v>
      </c>
    </row>
    <row r="744" spans="1:22" ht="78" x14ac:dyDescent="0.3">
      <c r="A744" s="342">
        <v>738</v>
      </c>
      <c r="B744" s="344" t="s">
        <v>40</v>
      </c>
      <c r="C744" s="44" t="s">
        <v>884</v>
      </c>
      <c r="D744" s="342"/>
      <c r="E744" s="344" t="s">
        <v>20</v>
      </c>
      <c r="F744" s="44" t="s">
        <v>1573</v>
      </c>
      <c r="G744" s="344" t="s">
        <v>184</v>
      </c>
      <c r="H744" s="590">
        <v>716.86090000000002</v>
      </c>
      <c r="I744" s="342">
        <v>1</v>
      </c>
      <c r="J744" s="590">
        <v>716.86090000000002</v>
      </c>
      <c r="K744" s="590">
        <v>716.86090000000002</v>
      </c>
      <c r="L744" s="344">
        <v>1</v>
      </c>
      <c r="M744" s="590">
        <v>716.86090000000002</v>
      </c>
      <c r="N744" s="6" t="s">
        <v>1586</v>
      </c>
      <c r="O744" s="345">
        <v>45610</v>
      </c>
      <c r="P744" s="33" t="str">
        <f>HYPERLINK("https://my.zakupivli.pro/remote/dispatcher/state_purchase_view/54820687", "UA-2024-11-14-014257-a")</f>
        <v>UA-2024-11-14-014257-a</v>
      </c>
      <c r="Q744" s="344">
        <v>716.86090000000002</v>
      </c>
      <c r="R744" s="344">
        <v>1</v>
      </c>
      <c r="S744" s="344">
        <v>716.86090000000002</v>
      </c>
      <c r="T744" s="345">
        <v>45610</v>
      </c>
      <c r="U744" s="342"/>
      <c r="V744" s="344" t="s">
        <v>59</v>
      </c>
    </row>
    <row r="745" spans="1:22" ht="62.4" x14ac:dyDescent="0.3">
      <c r="A745" s="342">
        <v>739</v>
      </c>
      <c r="B745" s="344" t="s">
        <v>40</v>
      </c>
      <c r="C745" s="44" t="s">
        <v>884</v>
      </c>
      <c r="D745" s="342"/>
      <c r="E745" s="344" t="s">
        <v>20</v>
      </c>
      <c r="F745" s="44" t="s">
        <v>1574</v>
      </c>
      <c r="G745" s="344" t="s">
        <v>184</v>
      </c>
      <c r="H745" s="590">
        <v>130.29897</v>
      </c>
      <c r="I745" s="342">
        <v>1</v>
      </c>
      <c r="J745" s="590">
        <v>130.29897</v>
      </c>
      <c r="K745" s="590">
        <v>130.29897</v>
      </c>
      <c r="L745" s="344">
        <v>1</v>
      </c>
      <c r="M745" s="590">
        <v>130.29897</v>
      </c>
      <c r="N745" s="6" t="s">
        <v>1587</v>
      </c>
      <c r="O745" s="345">
        <v>45610</v>
      </c>
      <c r="P745" s="33" t="str">
        <f>HYPERLINK("https://my.zakupivli.pro/remote/dispatcher/state_purchase_view/54820495", "UA-2024-11-14-014124-a")</f>
        <v>UA-2024-11-14-014124-a</v>
      </c>
      <c r="Q745" s="344">
        <v>130.29897</v>
      </c>
      <c r="R745" s="344">
        <v>1</v>
      </c>
      <c r="S745" s="344">
        <v>130.29897</v>
      </c>
      <c r="T745" s="345">
        <v>45610</v>
      </c>
      <c r="U745" s="342"/>
      <c r="V745" s="344" t="s">
        <v>59</v>
      </c>
    </row>
    <row r="746" spans="1:22" ht="62.4" x14ac:dyDescent="0.3">
      <c r="A746" s="342">
        <v>740</v>
      </c>
      <c r="B746" s="344" t="s">
        <v>40</v>
      </c>
      <c r="C746" s="44" t="s">
        <v>884</v>
      </c>
      <c r="D746" s="342"/>
      <c r="E746" s="344" t="s">
        <v>20</v>
      </c>
      <c r="F746" s="44" t="s">
        <v>1575</v>
      </c>
      <c r="G746" s="344" t="s">
        <v>184</v>
      </c>
      <c r="H746" s="590">
        <v>253.92179999999999</v>
      </c>
      <c r="I746" s="342">
        <v>1</v>
      </c>
      <c r="J746" s="590">
        <v>253.92179999999999</v>
      </c>
      <c r="K746" s="590">
        <v>253.92179999999999</v>
      </c>
      <c r="L746" s="344">
        <v>1</v>
      </c>
      <c r="M746" s="590">
        <v>253.92179999999999</v>
      </c>
      <c r="N746" s="6" t="s">
        <v>1588</v>
      </c>
      <c r="O746" s="345">
        <v>45610</v>
      </c>
      <c r="P746" s="33" t="str">
        <f>HYPERLINK("https://my.zakupivli.pro/remote/dispatcher/state_purchase_view/54820196", "UA-2024-11-14-014034-a")</f>
        <v>UA-2024-11-14-014034-a</v>
      </c>
      <c r="Q746" s="344">
        <v>253.92179999999999</v>
      </c>
      <c r="R746" s="344">
        <v>1</v>
      </c>
      <c r="S746" s="344">
        <v>253.92179999999999</v>
      </c>
      <c r="T746" s="345">
        <v>45610</v>
      </c>
      <c r="U746" s="342"/>
      <c r="V746" s="344" t="s">
        <v>59</v>
      </c>
    </row>
    <row r="747" spans="1:22" ht="62.4" x14ac:dyDescent="0.3">
      <c r="A747" s="342">
        <v>741</v>
      </c>
      <c r="B747" s="344" t="s">
        <v>40</v>
      </c>
      <c r="C747" s="44" t="s">
        <v>884</v>
      </c>
      <c r="D747" s="342"/>
      <c r="E747" s="344" t="s">
        <v>20</v>
      </c>
      <c r="F747" s="44" t="s">
        <v>1576</v>
      </c>
      <c r="G747" s="344" t="s">
        <v>184</v>
      </c>
      <c r="H747" s="590">
        <v>133.48004</v>
      </c>
      <c r="I747" s="342">
        <v>1</v>
      </c>
      <c r="J747" s="590">
        <v>133.48004</v>
      </c>
      <c r="K747" s="590">
        <v>133.48004</v>
      </c>
      <c r="L747" s="344">
        <v>1</v>
      </c>
      <c r="M747" s="590">
        <v>133.48004</v>
      </c>
      <c r="N747" s="6" t="s">
        <v>1589</v>
      </c>
      <c r="O747" s="345">
        <v>45610</v>
      </c>
      <c r="P747" s="33" t="str">
        <f>HYPERLINK("https://my.zakupivli.pro/remote/dispatcher/state_purchase_view/54820177", "UA-2024-11-14-014016-a")</f>
        <v>UA-2024-11-14-014016-a</v>
      </c>
      <c r="Q747" s="344">
        <v>133.48004</v>
      </c>
      <c r="R747" s="344">
        <v>1</v>
      </c>
      <c r="S747" s="344">
        <v>133.48004</v>
      </c>
      <c r="T747" s="345">
        <v>45610</v>
      </c>
      <c r="U747" s="342"/>
      <c r="V747" s="344" t="s">
        <v>59</v>
      </c>
    </row>
    <row r="748" spans="1:22" ht="62.4" x14ac:dyDescent="0.3">
      <c r="A748" s="342">
        <v>742</v>
      </c>
      <c r="B748" s="344" t="s">
        <v>40</v>
      </c>
      <c r="C748" s="44" t="s">
        <v>884</v>
      </c>
      <c r="D748" s="342"/>
      <c r="E748" s="344" t="s">
        <v>20</v>
      </c>
      <c r="F748" s="44" t="s">
        <v>1577</v>
      </c>
      <c r="G748" s="344" t="s">
        <v>184</v>
      </c>
      <c r="H748" s="590">
        <v>665.55016999999998</v>
      </c>
      <c r="I748" s="342">
        <v>1</v>
      </c>
      <c r="J748" s="590">
        <v>665.55016999999998</v>
      </c>
      <c r="K748" s="590">
        <v>665.55016999999998</v>
      </c>
      <c r="L748" s="344">
        <v>1</v>
      </c>
      <c r="M748" s="590">
        <v>665.55016999999998</v>
      </c>
      <c r="N748" s="6" t="s">
        <v>1590</v>
      </c>
      <c r="O748" s="345">
        <v>45610</v>
      </c>
      <c r="P748" s="33" t="str">
        <f>HYPERLINK("https://my.zakupivli.pro/remote/dispatcher/state_purchase_view/54819986", "UA-2024-11-14-013905-a")</f>
        <v>UA-2024-11-14-013905-a</v>
      </c>
      <c r="Q748" s="344">
        <v>665.55016999999998</v>
      </c>
      <c r="R748" s="344">
        <v>1</v>
      </c>
      <c r="S748" s="344">
        <v>665.55016999999998</v>
      </c>
      <c r="T748" s="345">
        <v>45610</v>
      </c>
      <c r="U748" s="342"/>
      <c r="V748" s="344" t="s">
        <v>59</v>
      </c>
    </row>
    <row r="749" spans="1:22" ht="62.4" x14ac:dyDescent="0.3">
      <c r="A749" s="342">
        <v>743</v>
      </c>
      <c r="B749" s="344" t="s">
        <v>40</v>
      </c>
      <c r="C749" s="44" t="s">
        <v>73</v>
      </c>
      <c r="D749" s="342"/>
      <c r="E749" s="342" t="s">
        <v>75</v>
      </c>
      <c r="F749" s="44" t="s">
        <v>1578</v>
      </c>
      <c r="G749" s="344" t="s">
        <v>184</v>
      </c>
      <c r="H749" s="590">
        <v>99.433300000000003</v>
      </c>
      <c r="I749" s="342">
        <v>1</v>
      </c>
      <c r="J749" s="590">
        <v>99.433300000000003</v>
      </c>
      <c r="K749" s="590">
        <v>99.433300000000003</v>
      </c>
      <c r="L749" s="344">
        <v>1</v>
      </c>
      <c r="M749" s="590">
        <v>99.433300000000003</v>
      </c>
      <c r="N749" s="6" t="s">
        <v>1591</v>
      </c>
      <c r="O749" s="345">
        <v>45610</v>
      </c>
      <c r="P749" s="33" t="str">
        <f>HYPERLINK("https://my.zakupivli.pro/remote/dispatcher/state_purchase_view/54797048", "UA-2024-11-14-003634-a")</f>
        <v>UA-2024-11-14-003634-a</v>
      </c>
      <c r="Q749" s="344">
        <v>99.433300000000003</v>
      </c>
      <c r="R749" s="344">
        <v>1</v>
      </c>
      <c r="S749" s="344">
        <v>99.433300000000003</v>
      </c>
      <c r="T749" s="345">
        <v>45610</v>
      </c>
      <c r="U749" s="342"/>
      <c r="V749" s="344" t="s">
        <v>59</v>
      </c>
    </row>
    <row r="750" spans="1:22" ht="46.8" x14ac:dyDescent="0.3">
      <c r="A750" s="342">
        <v>744</v>
      </c>
      <c r="B750" s="342" t="s">
        <v>1150</v>
      </c>
      <c r="C750" s="44" t="s">
        <v>1322</v>
      </c>
      <c r="D750" s="395" t="s">
        <v>58</v>
      </c>
      <c r="E750" s="344" t="s">
        <v>75</v>
      </c>
      <c r="F750" s="44" t="s">
        <v>1579</v>
      </c>
      <c r="G750" s="342" t="s">
        <v>1149</v>
      </c>
      <c r="H750" s="590">
        <v>930.62915999999996</v>
      </c>
      <c r="I750" s="342">
        <v>1</v>
      </c>
      <c r="J750" s="590">
        <v>930.62915999999996</v>
      </c>
      <c r="K750" s="590">
        <v>930.62915999999996</v>
      </c>
      <c r="L750" s="344">
        <v>1</v>
      </c>
      <c r="M750" s="590">
        <v>930.62915999999996</v>
      </c>
      <c r="N750" s="6" t="s">
        <v>1592</v>
      </c>
      <c r="O750" s="345">
        <v>45610</v>
      </c>
      <c r="P750" s="33" t="str">
        <f>HYPERLINK("https://my.zakupivli.pro/remote/dispatcher/state_purchase_view/54789788", "UA-2024-11-14-000435-a")</f>
        <v>UA-2024-11-14-000435-a</v>
      </c>
      <c r="Q750" s="342">
        <v>930.29884000000004</v>
      </c>
      <c r="R750" s="342">
        <v>1</v>
      </c>
      <c r="S750" s="358">
        <v>930.29884000000004</v>
      </c>
      <c r="T750" s="343">
        <v>45624</v>
      </c>
      <c r="U750" s="342"/>
      <c r="V750" s="342"/>
    </row>
    <row r="751" spans="1:22" ht="78" x14ac:dyDescent="0.3">
      <c r="A751" s="342">
        <v>745</v>
      </c>
      <c r="B751" s="346" t="s">
        <v>40</v>
      </c>
      <c r="C751" s="44" t="s">
        <v>884</v>
      </c>
      <c r="D751" s="342"/>
      <c r="E751" s="346" t="s">
        <v>20</v>
      </c>
      <c r="F751" s="44" t="s">
        <v>1593</v>
      </c>
      <c r="G751" s="346" t="s">
        <v>184</v>
      </c>
      <c r="H751" s="590">
        <v>479.91138999999998</v>
      </c>
      <c r="I751" s="342">
        <v>1</v>
      </c>
      <c r="J751" s="590">
        <v>479.91138999999998</v>
      </c>
      <c r="K751" s="590">
        <v>479.91138999999998</v>
      </c>
      <c r="L751" s="346">
        <v>1</v>
      </c>
      <c r="M751" s="590">
        <v>479.91138999999998</v>
      </c>
      <c r="N751" s="6" t="s">
        <v>1598</v>
      </c>
      <c r="O751" s="343">
        <v>45611</v>
      </c>
      <c r="P751" s="33" t="str">
        <f>HYPERLINK("https://my.zakupivli.pro/remote/dispatcher/state_purchase_view/54856895", "UA-2024-11-15-012568-a")</f>
        <v>UA-2024-11-15-012568-a</v>
      </c>
      <c r="Q751" s="346">
        <v>479.91138999999998</v>
      </c>
      <c r="R751" s="346">
        <v>1</v>
      </c>
      <c r="S751" s="346">
        <v>479.91138999999998</v>
      </c>
      <c r="T751" s="347">
        <v>45611</v>
      </c>
      <c r="U751" s="342"/>
      <c r="V751" s="346" t="s">
        <v>59</v>
      </c>
    </row>
    <row r="752" spans="1:22" ht="62.4" x14ac:dyDescent="0.3">
      <c r="A752" s="342">
        <v>746</v>
      </c>
      <c r="B752" s="346" t="s">
        <v>40</v>
      </c>
      <c r="C752" s="44" t="s">
        <v>884</v>
      </c>
      <c r="D752" s="342"/>
      <c r="E752" s="346" t="s">
        <v>20</v>
      </c>
      <c r="F752" s="44" t="s">
        <v>1594</v>
      </c>
      <c r="G752" s="346" t="s">
        <v>184</v>
      </c>
      <c r="H752" s="590">
        <v>293.29867999999999</v>
      </c>
      <c r="I752" s="342">
        <v>1</v>
      </c>
      <c r="J752" s="590">
        <v>293.29867999999999</v>
      </c>
      <c r="K752" s="590">
        <v>293.29867999999999</v>
      </c>
      <c r="L752" s="346">
        <v>1</v>
      </c>
      <c r="M752" s="590">
        <v>293.29867999999999</v>
      </c>
      <c r="N752" s="6" t="s">
        <v>1599</v>
      </c>
      <c r="O752" s="347">
        <v>45611</v>
      </c>
      <c r="P752" s="33" t="str">
        <f>HYPERLINK("https://my.zakupivli.pro/remote/dispatcher/state_purchase_view/54856641", "UA-2024-11-15-012380-a")</f>
        <v>UA-2024-11-15-012380-a</v>
      </c>
      <c r="Q752" s="346">
        <v>293.29867999999999</v>
      </c>
      <c r="R752" s="346">
        <v>1</v>
      </c>
      <c r="S752" s="346">
        <v>293.29867999999999</v>
      </c>
      <c r="T752" s="347">
        <v>45611</v>
      </c>
      <c r="U752" s="342"/>
      <c r="V752" s="346" t="s">
        <v>59</v>
      </c>
    </row>
    <row r="753" spans="1:22" ht="78" x14ac:dyDescent="0.3">
      <c r="A753" s="342">
        <v>747</v>
      </c>
      <c r="B753" s="346" t="s">
        <v>40</v>
      </c>
      <c r="C753" s="44" t="s">
        <v>884</v>
      </c>
      <c r="D753" s="342"/>
      <c r="E753" s="346" t="s">
        <v>20</v>
      </c>
      <c r="F753" s="44" t="s">
        <v>1595</v>
      </c>
      <c r="G753" s="346" t="s">
        <v>184</v>
      </c>
      <c r="H753" s="590">
        <v>466.92307</v>
      </c>
      <c r="I753" s="342">
        <v>1</v>
      </c>
      <c r="J753" s="590">
        <v>466.92307</v>
      </c>
      <c r="K753" s="590">
        <v>466.92307</v>
      </c>
      <c r="L753" s="346">
        <v>1</v>
      </c>
      <c r="M753" s="590">
        <v>466.92307</v>
      </c>
      <c r="N753" s="6" t="s">
        <v>1600</v>
      </c>
      <c r="O753" s="347">
        <v>45611</v>
      </c>
      <c r="P753" s="33" t="str">
        <f>HYPERLINK("https://my.zakupivli.pro/remote/dispatcher/state_purchase_view/54856228", "UA-2024-11-15-012171-a")</f>
        <v>UA-2024-11-15-012171-a</v>
      </c>
      <c r="Q753" s="346">
        <v>466.92307</v>
      </c>
      <c r="R753" s="346">
        <v>1</v>
      </c>
      <c r="S753" s="346">
        <v>466.92307</v>
      </c>
      <c r="T753" s="347">
        <v>45611</v>
      </c>
      <c r="U753" s="342"/>
      <c r="V753" s="346" t="s">
        <v>59</v>
      </c>
    </row>
    <row r="754" spans="1:22" ht="78" x14ac:dyDescent="0.3">
      <c r="A754" s="342">
        <v>748</v>
      </c>
      <c r="B754" s="346" t="s">
        <v>40</v>
      </c>
      <c r="C754" s="44" t="s">
        <v>41</v>
      </c>
      <c r="D754" s="342"/>
      <c r="E754" s="346" t="s">
        <v>20</v>
      </c>
      <c r="F754" s="44" t="s">
        <v>1596</v>
      </c>
      <c r="G754" s="342" t="s">
        <v>184</v>
      </c>
      <c r="H754" s="590">
        <v>637.67813000000001</v>
      </c>
      <c r="I754" s="342">
        <v>1</v>
      </c>
      <c r="J754" s="590">
        <v>637.67813000000001</v>
      </c>
      <c r="K754" s="590">
        <v>637.67813000000001</v>
      </c>
      <c r="L754" s="346">
        <v>1</v>
      </c>
      <c r="M754" s="590">
        <v>637.67813000000001</v>
      </c>
      <c r="N754" s="6" t="s">
        <v>1601</v>
      </c>
      <c r="O754" s="347">
        <v>45611</v>
      </c>
      <c r="P754" s="33" t="str">
        <f>HYPERLINK("https://my.zakupivli.pro/remote/dispatcher/state_purchase_view/54855962", "UA-2024-11-15-012017-a")</f>
        <v>UA-2024-11-15-012017-a</v>
      </c>
      <c r="Q754" s="346">
        <v>637.67813000000001</v>
      </c>
      <c r="R754" s="346">
        <v>1</v>
      </c>
      <c r="S754" s="346">
        <v>637.67813000000001</v>
      </c>
      <c r="T754" s="347">
        <v>45611</v>
      </c>
      <c r="U754" s="342"/>
      <c r="V754" s="346" t="s">
        <v>59</v>
      </c>
    </row>
    <row r="755" spans="1:22" ht="78" x14ac:dyDescent="0.3">
      <c r="A755" s="342">
        <v>749</v>
      </c>
      <c r="B755" s="342" t="s">
        <v>21</v>
      </c>
      <c r="C755" s="44" t="s">
        <v>36</v>
      </c>
      <c r="D755" s="395" t="s">
        <v>58</v>
      </c>
      <c r="E755" s="346" t="s">
        <v>75</v>
      </c>
      <c r="F755" s="44" t="s">
        <v>1597</v>
      </c>
      <c r="G755" s="342" t="s">
        <v>185</v>
      </c>
      <c r="H755" s="590"/>
      <c r="I755" s="342">
        <v>25</v>
      </c>
      <c r="J755" s="590">
        <v>2554.2750000000001</v>
      </c>
      <c r="K755" s="590"/>
      <c r="L755" s="346">
        <v>25</v>
      </c>
      <c r="M755" s="590">
        <v>2554.2750000000001</v>
      </c>
      <c r="N755" s="6" t="s">
        <v>1602</v>
      </c>
      <c r="O755" s="347">
        <v>45611</v>
      </c>
      <c r="P755" s="33" t="str">
        <f>HYPERLINK("https://my.zakupivli.pro/remote/dispatcher/state_purchase_view/54837075", "UA-2024-11-15-003479-a")</f>
        <v>UA-2024-11-15-003479-a</v>
      </c>
      <c r="Q755" s="342"/>
      <c r="R755" s="342">
        <v>25</v>
      </c>
      <c r="S755" s="342">
        <v>2554.2750000000001</v>
      </c>
      <c r="T755" s="343">
        <v>45631</v>
      </c>
      <c r="U755" s="342"/>
      <c r="V755" s="342"/>
    </row>
    <row r="756" spans="1:22" ht="62.4" x14ac:dyDescent="0.3">
      <c r="A756" s="342">
        <v>750</v>
      </c>
      <c r="B756" s="348" t="s">
        <v>21</v>
      </c>
      <c r="C756" s="44" t="s">
        <v>412</v>
      </c>
      <c r="D756" s="342"/>
      <c r="E756" s="348" t="s">
        <v>20</v>
      </c>
      <c r="F756" s="223" t="s">
        <v>1386</v>
      </c>
      <c r="G756" s="348" t="s">
        <v>185</v>
      </c>
      <c r="H756" s="590">
        <v>72</v>
      </c>
      <c r="I756" s="342">
        <v>1</v>
      </c>
      <c r="J756" s="590">
        <v>72</v>
      </c>
      <c r="K756" s="590">
        <v>72</v>
      </c>
      <c r="L756" s="348">
        <v>1</v>
      </c>
      <c r="M756" s="590">
        <v>72</v>
      </c>
      <c r="N756" s="6" t="s">
        <v>1603</v>
      </c>
      <c r="O756" s="343">
        <v>45616</v>
      </c>
      <c r="P756" s="33" t="str">
        <f>HYPERLINK("https://my.zakupivli.pro/remote/dispatcher/state_purchase_view/54954390", "UA-2024-11-20-001284-a")</f>
        <v>UA-2024-11-20-001284-a</v>
      </c>
      <c r="Q756" s="117">
        <v>72</v>
      </c>
      <c r="R756" s="348">
        <v>1</v>
      </c>
      <c r="S756" s="117">
        <v>72</v>
      </c>
      <c r="T756" s="349">
        <v>45616</v>
      </c>
      <c r="U756" s="342"/>
      <c r="V756" s="348" t="s">
        <v>59</v>
      </c>
    </row>
    <row r="757" spans="1:22" ht="62.4" x14ac:dyDescent="0.3">
      <c r="A757" s="351">
        <v>751</v>
      </c>
      <c r="B757" s="351" t="s">
        <v>21</v>
      </c>
      <c r="C757" s="44" t="s">
        <v>32</v>
      </c>
      <c r="D757" s="351"/>
      <c r="E757" s="351" t="s">
        <v>20</v>
      </c>
      <c r="F757" s="223" t="s">
        <v>1604</v>
      </c>
      <c r="G757" s="351" t="s">
        <v>186</v>
      </c>
      <c r="H757" s="590"/>
      <c r="I757" s="351">
        <v>4</v>
      </c>
      <c r="J757" s="590">
        <v>3867.4949999999999</v>
      </c>
      <c r="K757" s="590"/>
      <c r="L757" s="351">
        <v>4</v>
      </c>
      <c r="M757" s="590">
        <v>3867.4949999999999</v>
      </c>
      <c r="N757" s="6" t="s">
        <v>1605</v>
      </c>
      <c r="O757" s="350">
        <v>45617</v>
      </c>
      <c r="P757" s="33" t="str">
        <f>HYPERLINK("https://my.zakupivli.pro/remote/dispatcher/state_purchase_view/55001569", "UA-2024-11-21-004000-a")</f>
        <v>UA-2024-11-21-004000-a</v>
      </c>
      <c r="Q757" s="351"/>
      <c r="R757" s="351">
        <v>4</v>
      </c>
      <c r="S757" s="351">
        <v>3867.4949999999999</v>
      </c>
      <c r="T757" s="350">
        <v>45617</v>
      </c>
      <c r="U757" s="351"/>
      <c r="V757" s="351" t="s">
        <v>59</v>
      </c>
    </row>
    <row r="758" spans="1:22" ht="62.4" x14ac:dyDescent="0.3">
      <c r="A758" s="352">
        <v>752</v>
      </c>
      <c r="B758" s="352" t="s">
        <v>40</v>
      </c>
      <c r="C758" s="44" t="s">
        <v>884</v>
      </c>
      <c r="D758" s="352"/>
      <c r="E758" s="352" t="s">
        <v>20</v>
      </c>
      <c r="F758" s="44" t="s">
        <v>1606</v>
      </c>
      <c r="G758" s="352" t="s">
        <v>184</v>
      </c>
      <c r="H758" s="590">
        <v>225.98391000000001</v>
      </c>
      <c r="I758" s="352">
        <v>1</v>
      </c>
      <c r="J758" s="590">
        <v>225.98391000000001</v>
      </c>
      <c r="K758" s="590">
        <v>225.98391000000001</v>
      </c>
      <c r="L758" s="352">
        <v>1</v>
      </c>
      <c r="M758" s="590">
        <v>225.98391000000001</v>
      </c>
      <c r="N758" s="6" t="s">
        <v>1607</v>
      </c>
      <c r="O758" s="353">
        <v>45618</v>
      </c>
      <c r="P758" s="33" t="str">
        <f>HYPERLINK("https://my.zakupivli.pro/remote/dispatcher/state_purchase_view/55052216", "UA-2024-11-22-008839-a")</f>
        <v>UA-2024-11-22-008839-a</v>
      </c>
      <c r="Q758" s="352">
        <v>225.98391000000001</v>
      </c>
      <c r="R758" s="352">
        <v>1</v>
      </c>
      <c r="S758" s="352">
        <v>225.98391000000001</v>
      </c>
      <c r="T758" s="353">
        <v>45618</v>
      </c>
      <c r="U758" s="352"/>
      <c r="V758" s="352" t="s">
        <v>59</v>
      </c>
    </row>
    <row r="759" spans="1:22" ht="62.4" x14ac:dyDescent="0.3">
      <c r="A759" s="352">
        <v>753</v>
      </c>
      <c r="B759" s="354" t="s">
        <v>40</v>
      </c>
      <c r="C759" s="44" t="s">
        <v>884</v>
      </c>
      <c r="D759" s="352"/>
      <c r="E759" s="354" t="s">
        <v>20</v>
      </c>
      <c r="F759" s="44" t="s">
        <v>1608</v>
      </c>
      <c r="G759" s="352" t="s">
        <v>184</v>
      </c>
      <c r="H759" s="590">
        <v>214.72739999999999</v>
      </c>
      <c r="I759" s="352">
        <v>1</v>
      </c>
      <c r="J759" s="590">
        <v>214.72739999999999</v>
      </c>
      <c r="K759" s="590">
        <v>214.72739999999999</v>
      </c>
      <c r="L759" s="354">
        <v>1</v>
      </c>
      <c r="M759" s="590">
        <v>214.72739999999999</v>
      </c>
      <c r="N759" s="6" t="s">
        <v>1610</v>
      </c>
      <c r="O759" s="353">
        <v>45622</v>
      </c>
      <c r="P759" s="33" t="str">
        <f>HYPERLINK("https://my.zakupivli.pro/remote/dispatcher/state_purchase_view/55155829", "UA-2024-11-26-016347-a")</f>
        <v>UA-2024-11-26-016347-a</v>
      </c>
      <c r="Q759" s="354">
        <v>214.72739999999999</v>
      </c>
      <c r="R759" s="354">
        <v>1</v>
      </c>
      <c r="S759" s="354">
        <v>214.72739999999999</v>
      </c>
      <c r="T759" s="355">
        <v>45622</v>
      </c>
      <c r="U759" s="352"/>
      <c r="V759" s="354" t="s">
        <v>59</v>
      </c>
    </row>
    <row r="760" spans="1:22" ht="62.4" x14ac:dyDescent="0.3">
      <c r="A760" s="352">
        <v>754</v>
      </c>
      <c r="B760" s="352" t="s">
        <v>1150</v>
      </c>
      <c r="C760" s="44" t="s">
        <v>1466</v>
      </c>
      <c r="D760" s="352"/>
      <c r="E760" s="354" t="s">
        <v>75</v>
      </c>
      <c r="F760" s="44" t="s">
        <v>1609</v>
      </c>
      <c r="G760" s="352" t="s">
        <v>1149</v>
      </c>
      <c r="H760" s="590">
        <v>99.55</v>
      </c>
      <c r="I760" s="352">
        <v>1</v>
      </c>
      <c r="J760" s="590">
        <v>99.55</v>
      </c>
      <c r="K760" s="590">
        <v>99.55</v>
      </c>
      <c r="L760" s="354">
        <v>1</v>
      </c>
      <c r="M760" s="590">
        <v>99.55</v>
      </c>
      <c r="N760" s="6" t="s">
        <v>1611</v>
      </c>
      <c r="O760" s="355">
        <v>45622</v>
      </c>
      <c r="P760" s="33" t="str">
        <f>HYPERLINK("https://my.zakupivli.pro/remote/dispatcher/state_purchase_view/55139944", "UA-2024-11-26-009164-a")</f>
        <v>UA-2024-11-26-009164-a</v>
      </c>
      <c r="Q760" s="354">
        <v>99.55</v>
      </c>
      <c r="R760" s="354">
        <v>1</v>
      </c>
      <c r="S760" s="354">
        <v>99.55</v>
      </c>
      <c r="T760" s="355">
        <v>45622</v>
      </c>
      <c r="U760" s="352"/>
      <c r="V760" s="354" t="s">
        <v>59</v>
      </c>
    </row>
    <row r="761" spans="1:22" ht="62.4" x14ac:dyDescent="0.3">
      <c r="A761" s="352">
        <v>755</v>
      </c>
      <c r="B761" s="356" t="s">
        <v>21</v>
      </c>
      <c r="C761" s="44" t="s">
        <v>2001</v>
      </c>
      <c r="D761" s="352"/>
      <c r="E761" s="356" t="s">
        <v>20</v>
      </c>
      <c r="F761" s="44" t="s">
        <v>1612</v>
      </c>
      <c r="G761" s="352" t="s">
        <v>185</v>
      </c>
      <c r="H761" s="590"/>
      <c r="I761" s="352">
        <v>3</v>
      </c>
      <c r="J761" s="590">
        <v>291.66667000000001</v>
      </c>
      <c r="K761" s="590"/>
      <c r="L761" s="356">
        <v>3</v>
      </c>
      <c r="M761" s="590">
        <v>291.66667000000001</v>
      </c>
      <c r="N761" s="6" t="s">
        <v>1613</v>
      </c>
      <c r="O761" s="353">
        <v>45623</v>
      </c>
      <c r="P761" s="33" t="str">
        <f>HYPERLINK("https://my.zakupivli.pro/remote/dispatcher/state_purchase_view/55188936", "UA-2024-11-27-011735-a")</f>
        <v>UA-2024-11-27-011735-a</v>
      </c>
      <c r="Q761" s="352"/>
      <c r="R761" s="352">
        <v>3</v>
      </c>
      <c r="S761" s="352"/>
      <c r="T761" s="353"/>
      <c r="U761" s="352" t="s">
        <v>1615</v>
      </c>
      <c r="V761" s="356" t="s">
        <v>59</v>
      </c>
    </row>
    <row r="762" spans="1:22" ht="62.4" x14ac:dyDescent="0.3">
      <c r="A762" s="352">
        <v>756</v>
      </c>
      <c r="B762" s="356" t="s">
        <v>21</v>
      </c>
      <c r="C762" s="44" t="s">
        <v>2002</v>
      </c>
      <c r="D762" s="352"/>
      <c r="E762" s="356" t="s">
        <v>20</v>
      </c>
      <c r="F762" s="44" t="s">
        <v>1558</v>
      </c>
      <c r="G762" s="352" t="s">
        <v>1526</v>
      </c>
      <c r="H762" s="590">
        <v>8.1710000000000005E-2</v>
      </c>
      <c r="I762" s="352">
        <v>1000</v>
      </c>
      <c r="J762" s="590">
        <v>80.709999999999994</v>
      </c>
      <c r="K762" s="590">
        <v>8.1710000000000005E-2</v>
      </c>
      <c r="L762" s="356">
        <v>1000</v>
      </c>
      <c r="M762" s="590">
        <v>80.709999999999994</v>
      </c>
      <c r="N762" s="6" t="s">
        <v>1614</v>
      </c>
      <c r="O762" s="357">
        <v>45623</v>
      </c>
      <c r="P762" s="33" t="str">
        <f>HYPERLINK("https://my.zakupivli.pro/remote/dispatcher/state_purchase_view/55174014", "UA-2024-11-27-005230-a")</f>
        <v>UA-2024-11-27-005230-a</v>
      </c>
      <c r="Q762" s="356">
        <v>8.1710000000000005E-2</v>
      </c>
      <c r="R762" s="356">
        <v>1000</v>
      </c>
      <c r="S762" s="356">
        <v>80.709999999999994</v>
      </c>
      <c r="T762" s="357">
        <v>45623</v>
      </c>
      <c r="U762" s="352"/>
      <c r="V762" s="356" t="s">
        <v>59</v>
      </c>
    </row>
    <row r="763" spans="1:22" ht="62.4" x14ac:dyDescent="0.3">
      <c r="A763" s="352">
        <v>757</v>
      </c>
      <c r="B763" s="358" t="s">
        <v>40</v>
      </c>
      <c r="C763" s="44" t="s">
        <v>884</v>
      </c>
      <c r="D763" s="352"/>
      <c r="E763" s="358" t="s">
        <v>20</v>
      </c>
      <c r="F763" s="44" t="s">
        <v>2003</v>
      </c>
      <c r="G763" s="352" t="s">
        <v>184</v>
      </c>
      <c r="H763" s="590">
        <v>173.92330999999999</v>
      </c>
      <c r="I763" s="352">
        <v>1</v>
      </c>
      <c r="J763" s="590">
        <v>173.92330999999999</v>
      </c>
      <c r="K763" s="590">
        <v>173.92330999999999</v>
      </c>
      <c r="L763" s="358">
        <v>1</v>
      </c>
      <c r="M763" s="590">
        <v>173.92330999999999</v>
      </c>
      <c r="N763" s="6" t="s">
        <v>1617</v>
      </c>
      <c r="O763" s="359">
        <v>45632</v>
      </c>
      <c r="P763" s="33" t="str">
        <f>HYPERLINK("https://my.zakupivli.pro/remote/dispatcher/state_purchase_view/55499913", "UA-2024-12-06-014938-a")</f>
        <v>UA-2024-12-06-014938-a</v>
      </c>
      <c r="Q763" s="358">
        <v>173.92330999999999</v>
      </c>
      <c r="R763" s="358">
        <v>1</v>
      </c>
      <c r="S763" s="358">
        <v>173.92330999999999</v>
      </c>
      <c r="T763" s="359">
        <v>45632</v>
      </c>
      <c r="U763" s="352"/>
      <c r="V763" s="358" t="s">
        <v>59</v>
      </c>
    </row>
    <row r="764" spans="1:22" ht="62.4" x14ac:dyDescent="0.3">
      <c r="A764" s="352">
        <v>758</v>
      </c>
      <c r="B764" s="358" t="s">
        <v>40</v>
      </c>
      <c r="C764" s="44" t="s">
        <v>1991</v>
      </c>
      <c r="D764" s="352"/>
      <c r="E764" s="358" t="s">
        <v>20</v>
      </c>
      <c r="F764" s="44" t="s">
        <v>1616</v>
      </c>
      <c r="G764" s="352" t="s">
        <v>184</v>
      </c>
      <c r="H764" s="590">
        <v>386.46974</v>
      </c>
      <c r="I764" s="352">
        <v>1</v>
      </c>
      <c r="J764" s="590">
        <v>386.46974</v>
      </c>
      <c r="K764" s="590">
        <v>386.46974</v>
      </c>
      <c r="L764" s="358">
        <v>1</v>
      </c>
      <c r="M764" s="590">
        <v>386.46974</v>
      </c>
      <c r="N764" s="6" t="s">
        <v>1618</v>
      </c>
      <c r="O764" s="359">
        <v>45632</v>
      </c>
      <c r="P764" s="33" t="str">
        <f>HYPERLINK("https://my.zakupivli.pro/remote/dispatcher/state_purchase_view/55499643", "UA-2024-12-06-014805-a")</f>
        <v>UA-2024-12-06-014805-a</v>
      </c>
      <c r="Q764" s="358">
        <v>386.46974</v>
      </c>
      <c r="R764" s="358">
        <v>1</v>
      </c>
      <c r="S764" s="358">
        <v>386.46974</v>
      </c>
      <c r="T764" s="359">
        <v>45632</v>
      </c>
      <c r="U764" s="352"/>
      <c r="V764" s="358" t="s">
        <v>59</v>
      </c>
    </row>
    <row r="765" spans="1:22" ht="78" x14ac:dyDescent="0.3">
      <c r="A765" s="352">
        <v>759</v>
      </c>
      <c r="B765" s="352" t="s">
        <v>21</v>
      </c>
      <c r="C765" s="44" t="s">
        <v>405</v>
      </c>
      <c r="D765" s="395" t="s">
        <v>58</v>
      </c>
      <c r="E765" s="352" t="s">
        <v>75</v>
      </c>
      <c r="F765" s="44" t="s">
        <v>2004</v>
      </c>
      <c r="G765" s="352" t="s">
        <v>186</v>
      </c>
      <c r="H765" s="590"/>
      <c r="I765" s="352">
        <v>2</v>
      </c>
      <c r="J765" s="590">
        <v>2306.9666659999998</v>
      </c>
      <c r="K765" s="590"/>
      <c r="L765" s="358">
        <v>2</v>
      </c>
      <c r="M765" s="590">
        <v>2306.9666659999998</v>
      </c>
      <c r="N765" s="6" t="s">
        <v>1619</v>
      </c>
      <c r="O765" s="359">
        <v>45632</v>
      </c>
      <c r="P765" s="33" t="str">
        <f>HYPERLINK("https://my.zakupivli.pro/remote/dispatcher/state_purchase_view/55498113", "UA-2024-12-06-014140-a")</f>
        <v>UA-2024-12-06-014140-a</v>
      </c>
      <c r="Q765" s="352"/>
      <c r="R765" s="352">
        <v>2</v>
      </c>
      <c r="S765" s="352">
        <v>2214.6880000000001</v>
      </c>
      <c r="T765" s="353">
        <v>45651</v>
      </c>
      <c r="U765" s="352"/>
      <c r="V765" s="358"/>
    </row>
    <row r="766" spans="1:22" ht="62.4" x14ac:dyDescent="0.3">
      <c r="A766" s="352">
        <v>760</v>
      </c>
      <c r="B766" s="358" t="s">
        <v>40</v>
      </c>
      <c r="C766" s="44" t="s">
        <v>884</v>
      </c>
      <c r="D766" s="352"/>
      <c r="E766" s="358" t="s">
        <v>20</v>
      </c>
      <c r="F766" s="44" t="s">
        <v>2005</v>
      </c>
      <c r="G766" s="352" t="s">
        <v>184</v>
      </c>
      <c r="H766" s="590">
        <v>209.59318999999999</v>
      </c>
      <c r="I766" s="352">
        <v>1</v>
      </c>
      <c r="J766" s="590">
        <v>209.59318999999999</v>
      </c>
      <c r="K766" s="590">
        <v>209.59318999999999</v>
      </c>
      <c r="L766" s="358">
        <v>1</v>
      </c>
      <c r="M766" s="590">
        <v>209.59318999999999</v>
      </c>
      <c r="N766" s="6" t="s">
        <v>1620</v>
      </c>
      <c r="O766" s="359">
        <v>45632</v>
      </c>
      <c r="P766" s="33" t="str">
        <f>HYPERLINK("https://my.zakupivli.pro/remote/dispatcher/state_purchase_view/55493584", "UA-2024-12-06-012047-a")</f>
        <v>UA-2024-12-06-012047-a</v>
      </c>
      <c r="Q766" s="358">
        <v>209.59318999999999</v>
      </c>
      <c r="R766" s="358">
        <v>1</v>
      </c>
      <c r="S766" s="358">
        <v>209.59318999999999</v>
      </c>
      <c r="T766" s="359">
        <v>45632</v>
      </c>
      <c r="U766" s="352"/>
      <c r="V766" s="358" t="s">
        <v>59</v>
      </c>
    </row>
    <row r="767" spans="1:22" ht="62.4" x14ac:dyDescent="0.3">
      <c r="A767" s="352">
        <v>761</v>
      </c>
      <c r="B767" s="352" t="s">
        <v>40</v>
      </c>
      <c r="C767" s="44" t="s">
        <v>884</v>
      </c>
      <c r="D767" s="352"/>
      <c r="E767" s="358" t="s">
        <v>20</v>
      </c>
      <c r="F767" s="44" t="s">
        <v>2006</v>
      </c>
      <c r="G767" s="352" t="s">
        <v>184</v>
      </c>
      <c r="H767" s="590">
        <v>281.99993999999998</v>
      </c>
      <c r="I767" s="352">
        <v>1</v>
      </c>
      <c r="J767" s="590">
        <v>281.99993999999998</v>
      </c>
      <c r="K767" s="590">
        <v>281.99993999999998</v>
      </c>
      <c r="L767" s="358">
        <v>1</v>
      </c>
      <c r="M767" s="590">
        <v>281.99993999999998</v>
      </c>
      <c r="N767" s="6" t="s">
        <v>1623</v>
      </c>
      <c r="O767" s="353">
        <v>45632</v>
      </c>
      <c r="P767" s="33" t="str">
        <f>HYPERLINK("https://my.zakupivli.pro/remote/dispatcher/state_purchase_view/55492800", "UA-2024-12-06-011782-a")</f>
        <v>UA-2024-12-06-011782-a</v>
      </c>
      <c r="Q767" s="358">
        <v>281.99993999999998</v>
      </c>
      <c r="R767" s="358">
        <v>1</v>
      </c>
      <c r="S767" s="358">
        <v>281.99993999999998</v>
      </c>
      <c r="T767" s="359">
        <v>45632</v>
      </c>
      <c r="U767" s="352"/>
      <c r="V767" s="358" t="s">
        <v>59</v>
      </c>
    </row>
    <row r="768" spans="1:22" ht="93.6" x14ac:dyDescent="0.3">
      <c r="A768" s="352">
        <v>762</v>
      </c>
      <c r="B768" s="352" t="s">
        <v>21</v>
      </c>
      <c r="C768" s="44" t="s">
        <v>2007</v>
      </c>
      <c r="D768" s="395" t="s">
        <v>58</v>
      </c>
      <c r="E768" s="363" t="s">
        <v>75</v>
      </c>
      <c r="F768" s="44" t="s">
        <v>1559</v>
      </c>
      <c r="G768" s="352" t="s">
        <v>186</v>
      </c>
      <c r="H768" s="590"/>
      <c r="I768" s="352">
        <v>2</v>
      </c>
      <c r="J768" s="590">
        <v>772</v>
      </c>
      <c r="K768" s="590"/>
      <c r="L768" s="358">
        <v>2</v>
      </c>
      <c r="M768" s="590">
        <v>772</v>
      </c>
      <c r="N768" s="6" t="s">
        <v>1624</v>
      </c>
      <c r="O768" s="353">
        <v>45631</v>
      </c>
      <c r="P768" s="33" t="str">
        <f>HYPERLINK("https://my.zakupivli.pro/remote/dispatcher/state_purchase_view/55454423", "UA-2024-12-05-016124-a")</f>
        <v>UA-2024-12-05-016124-a</v>
      </c>
      <c r="Q768" s="352"/>
      <c r="R768" s="352"/>
      <c r="S768" s="352"/>
      <c r="T768" s="353"/>
      <c r="U768" s="352" t="s">
        <v>648</v>
      </c>
      <c r="V768" s="352"/>
    </row>
    <row r="769" spans="1:22" ht="62.4" x14ac:dyDescent="0.3">
      <c r="A769" s="352">
        <v>763</v>
      </c>
      <c r="B769" s="352" t="s">
        <v>21</v>
      </c>
      <c r="C769" s="44" t="s">
        <v>2001</v>
      </c>
      <c r="D769" s="395" t="s">
        <v>58</v>
      </c>
      <c r="E769" s="363" t="s">
        <v>20</v>
      </c>
      <c r="F769" s="44" t="s">
        <v>1612</v>
      </c>
      <c r="G769" s="352" t="s">
        <v>185</v>
      </c>
      <c r="H769" s="590"/>
      <c r="I769" s="352">
        <v>3</v>
      </c>
      <c r="J769" s="590">
        <v>291.666</v>
      </c>
      <c r="K769" s="590"/>
      <c r="L769" s="358">
        <v>3</v>
      </c>
      <c r="M769" s="590">
        <v>291.666</v>
      </c>
      <c r="N769" s="6" t="s">
        <v>1625</v>
      </c>
      <c r="O769" s="353">
        <v>45631</v>
      </c>
      <c r="P769" s="33" t="str">
        <f>HYPERLINK("https://my.zakupivli.pro/remote/dispatcher/state_purchase_view/55452603", "UA-2024-12-05-015239-a")</f>
        <v>UA-2024-12-05-015239-a</v>
      </c>
      <c r="Q769" s="352"/>
      <c r="R769" s="352">
        <v>3</v>
      </c>
      <c r="S769" s="117">
        <v>290</v>
      </c>
      <c r="T769" s="353">
        <v>45651</v>
      </c>
      <c r="U769" s="352"/>
      <c r="V769" s="352"/>
    </row>
    <row r="770" spans="1:22" ht="62.4" x14ac:dyDescent="0.3">
      <c r="A770" s="352">
        <v>764</v>
      </c>
      <c r="B770" s="352" t="s">
        <v>40</v>
      </c>
      <c r="C770" s="44" t="s">
        <v>2008</v>
      </c>
      <c r="D770" s="352"/>
      <c r="E770" s="363" t="s">
        <v>75</v>
      </c>
      <c r="F770" s="44" t="s">
        <v>1621</v>
      </c>
      <c r="G770" s="352" t="s">
        <v>184</v>
      </c>
      <c r="H770" s="590">
        <v>316.13565999999997</v>
      </c>
      <c r="I770" s="352">
        <v>1</v>
      </c>
      <c r="J770" s="590">
        <v>316.13565999999997</v>
      </c>
      <c r="K770" s="590">
        <v>316.13565999999997</v>
      </c>
      <c r="L770" s="358">
        <v>1</v>
      </c>
      <c r="M770" s="590">
        <v>316.13565999999997</v>
      </c>
      <c r="N770" s="6" t="s">
        <v>1626</v>
      </c>
      <c r="O770" s="353">
        <v>45629</v>
      </c>
      <c r="P770" s="33" t="str">
        <f>HYPERLINK("https://my.zakupivli.pro/remote/dispatcher/state_purchase_view/55397586", "UA-2024-12-04-012135-a")</f>
        <v>UA-2024-12-04-012135-a</v>
      </c>
      <c r="Q770" s="358">
        <v>316.13565999999997</v>
      </c>
      <c r="R770" s="358">
        <v>1</v>
      </c>
      <c r="S770" s="358">
        <v>316.13565999999997</v>
      </c>
      <c r="T770" s="359">
        <v>45629</v>
      </c>
      <c r="U770" s="352"/>
      <c r="V770" s="358" t="s">
        <v>59</v>
      </c>
    </row>
    <row r="771" spans="1:22" ht="93.6" x14ac:dyDescent="0.3">
      <c r="A771" s="352">
        <v>765</v>
      </c>
      <c r="B771" s="352" t="s">
        <v>21</v>
      </c>
      <c r="C771" s="44" t="s">
        <v>1622</v>
      </c>
      <c r="D771" s="395" t="s">
        <v>58</v>
      </c>
      <c r="E771" s="363" t="s">
        <v>75</v>
      </c>
      <c r="F771" s="44" t="s">
        <v>2009</v>
      </c>
      <c r="G771" s="352" t="s">
        <v>186</v>
      </c>
      <c r="I771" s="352">
        <v>2</v>
      </c>
      <c r="J771" s="590">
        <v>5837.75</v>
      </c>
      <c r="K771" s="590"/>
      <c r="L771" s="358">
        <v>2</v>
      </c>
      <c r="M771" s="590">
        <v>5837.75</v>
      </c>
      <c r="N771" s="6" t="s">
        <v>1627</v>
      </c>
      <c r="O771" s="359">
        <v>45629</v>
      </c>
      <c r="P771" s="33" t="str">
        <f>HYPERLINK("https://my.zakupivli.pro/remote/dispatcher/state_purchase_view/55352960", "UA-2024-12-03-012447-a")</f>
        <v>UA-2024-12-03-012447-a</v>
      </c>
      <c r="Q771" s="352"/>
      <c r="R771" s="352"/>
      <c r="S771" s="352"/>
      <c r="T771" s="353"/>
      <c r="U771" s="352" t="s">
        <v>648</v>
      </c>
      <c r="V771" s="352"/>
    </row>
    <row r="772" spans="1:22" ht="62.4" x14ac:dyDescent="0.3">
      <c r="A772" s="352">
        <v>766</v>
      </c>
      <c r="B772" s="352" t="s">
        <v>40</v>
      </c>
      <c r="C772" s="44" t="s">
        <v>884</v>
      </c>
      <c r="D772" s="395" t="s">
        <v>58</v>
      </c>
      <c r="E772" s="363" t="s">
        <v>75</v>
      </c>
      <c r="F772" s="44" t="s">
        <v>2010</v>
      </c>
      <c r="G772" s="352" t="s">
        <v>184</v>
      </c>
      <c r="H772" s="590">
        <v>116.88435</v>
      </c>
      <c r="I772" s="352">
        <v>1</v>
      </c>
      <c r="J772" s="590">
        <v>116.88435</v>
      </c>
      <c r="K772" s="590">
        <v>116.88435</v>
      </c>
      <c r="L772" s="358">
        <v>1</v>
      </c>
      <c r="M772" s="590">
        <v>116.88435</v>
      </c>
      <c r="N772" s="6" t="s">
        <v>1628</v>
      </c>
      <c r="O772" s="353">
        <v>45628</v>
      </c>
      <c r="P772" s="33" t="str">
        <f>HYPERLINK("https://my.zakupivli.pro/remote/dispatcher/state_purchase_view/55292923", "UA-2024-12-02-004435-a")</f>
        <v>UA-2024-12-02-004435-a</v>
      </c>
      <c r="Q772" s="358">
        <v>116.88435</v>
      </c>
      <c r="R772" s="358">
        <v>1</v>
      </c>
      <c r="S772" s="358">
        <v>116.88435</v>
      </c>
      <c r="T772" s="361">
        <v>45628</v>
      </c>
      <c r="U772" s="352"/>
      <c r="V772" s="352"/>
    </row>
    <row r="773" spans="1:22" ht="62.4" x14ac:dyDescent="0.3">
      <c r="A773" s="352">
        <v>767</v>
      </c>
      <c r="B773" s="360" t="s">
        <v>21</v>
      </c>
      <c r="C773" s="44" t="s">
        <v>2011</v>
      </c>
      <c r="D773" s="352"/>
      <c r="E773" s="363" t="s">
        <v>75</v>
      </c>
      <c r="F773" s="44" t="s">
        <v>1629</v>
      </c>
      <c r="G773" s="352" t="s">
        <v>185</v>
      </c>
      <c r="H773" s="590">
        <v>46</v>
      </c>
      <c r="I773" s="352">
        <v>1</v>
      </c>
      <c r="J773" s="590">
        <v>46</v>
      </c>
      <c r="K773" s="590">
        <v>46</v>
      </c>
      <c r="L773" s="360">
        <v>1</v>
      </c>
      <c r="M773" s="590">
        <v>46</v>
      </c>
      <c r="N773" s="6" t="s">
        <v>1630</v>
      </c>
      <c r="O773" s="353">
        <v>45642</v>
      </c>
      <c r="P773" s="33" t="str">
        <f>HYPERLINK("https://my.zakupivli.pro/remote/dispatcher/state_purchase_view/55800910", "UA-2024-12-16-012483-a")</f>
        <v>UA-2024-12-16-012483-a</v>
      </c>
      <c r="Q773" s="117">
        <v>46</v>
      </c>
      <c r="R773" s="360">
        <v>1</v>
      </c>
      <c r="S773" s="117">
        <v>46</v>
      </c>
      <c r="T773" s="361">
        <v>45642</v>
      </c>
      <c r="U773" s="352"/>
      <c r="V773" s="360" t="s">
        <v>59</v>
      </c>
    </row>
    <row r="774" spans="1:22" ht="62.4" x14ac:dyDescent="0.3">
      <c r="A774" s="352">
        <v>768</v>
      </c>
      <c r="B774" s="360" t="s">
        <v>21</v>
      </c>
      <c r="C774" s="44" t="s">
        <v>2001</v>
      </c>
      <c r="D774" s="352"/>
      <c r="E774" s="363" t="s">
        <v>20</v>
      </c>
      <c r="F774" s="44" t="s">
        <v>1386</v>
      </c>
      <c r="G774" s="352" t="s">
        <v>185</v>
      </c>
      <c r="H774" s="590">
        <v>71.25</v>
      </c>
      <c r="I774" s="352">
        <v>1</v>
      </c>
      <c r="J774" s="590">
        <v>71.25</v>
      </c>
      <c r="K774" s="590">
        <v>71.25</v>
      </c>
      <c r="L774" s="360">
        <v>1</v>
      </c>
      <c r="M774" s="590">
        <v>71.25</v>
      </c>
      <c r="N774" s="6" t="s">
        <v>1631</v>
      </c>
      <c r="O774" s="361">
        <v>45642</v>
      </c>
      <c r="P774" s="33" t="str">
        <f>HYPERLINK("https://my.zakupivli.pro/remote/dispatcher/state_purchase_view/55799831", "UA-2024-12-16-012032-a")</f>
        <v>UA-2024-12-16-012032-a</v>
      </c>
      <c r="Q774" s="117">
        <v>71.25</v>
      </c>
      <c r="R774" s="360">
        <v>1</v>
      </c>
      <c r="S774" s="117">
        <v>71.25</v>
      </c>
      <c r="T774" s="361">
        <v>45642</v>
      </c>
      <c r="U774" s="352"/>
      <c r="V774" s="360" t="s">
        <v>59</v>
      </c>
    </row>
    <row r="775" spans="1:22" ht="156" x14ac:dyDescent="0.3">
      <c r="A775" s="352">
        <v>769</v>
      </c>
      <c r="B775" s="363" t="s">
        <v>21</v>
      </c>
      <c r="C775" s="44" t="s">
        <v>1632</v>
      </c>
      <c r="D775" s="395" t="s">
        <v>58</v>
      </c>
      <c r="E775" s="363" t="s">
        <v>75</v>
      </c>
      <c r="F775" s="44" t="s">
        <v>734</v>
      </c>
      <c r="G775" s="352" t="s">
        <v>186</v>
      </c>
      <c r="H775" s="590"/>
      <c r="I775" s="352">
        <v>13</v>
      </c>
      <c r="J775" s="590">
        <v>349.38098000000002</v>
      </c>
      <c r="K775" s="590"/>
      <c r="L775" s="363">
        <v>13</v>
      </c>
      <c r="M775" s="590">
        <v>349.38098000000002</v>
      </c>
      <c r="N775" s="6" t="s">
        <v>1638</v>
      </c>
      <c r="O775" s="353">
        <v>45643</v>
      </c>
      <c r="P775" s="33" t="str">
        <f>HYPERLINK("https://my.zakupivli.pro/remote/dispatcher/state_purchase_view/55872274", "UA-2024-12-17-020706-a")</f>
        <v>UA-2024-12-17-020706-a</v>
      </c>
      <c r="Q775" s="352"/>
      <c r="R775" s="352">
        <v>13</v>
      </c>
      <c r="S775" s="352">
        <v>257.16000000000003</v>
      </c>
      <c r="T775" s="353">
        <v>45663</v>
      </c>
      <c r="U775" s="352"/>
      <c r="V775" s="352"/>
    </row>
    <row r="776" spans="1:22" ht="124.8" x14ac:dyDescent="0.3">
      <c r="A776" s="352">
        <v>770</v>
      </c>
      <c r="B776" s="352" t="s">
        <v>1150</v>
      </c>
      <c r="C776" s="44" t="s">
        <v>1633</v>
      </c>
      <c r="D776" s="395" t="s">
        <v>58</v>
      </c>
      <c r="E776" s="363" t="s">
        <v>75</v>
      </c>
      <c r="F776" s="44" t="s">
        <v>1639</v>
      </c>
      <c r="G776" s="352" t="s">
        <v>1149</v>
      </c>
      <c r="H776" s="590">
        <v>276.8</v>
      </c>
      <c r="I776" s="352">
        <v>1</v>
      </c>
      <c r="J776" s="590">
        <v>276.8</v>
      </c>
      <c r="K776" s="590">
        <v>276.8</v>
      </c>
      <c r="L776" s="363">
        <v>1</v>
      </c>
      <c r="M776" s="590">
        <v>276.8</v>
      </c>
      <c r="N776" s="6" t="s">
        <v>1640</v>
      </c>
      <c r="O776" s="362">
        <v>45643</v>
      </c>
      <c r="P776" s="33" t="str">
        <f>HYPERLINK("https://my.zakupivli.pro/remote/dispatcher/state_purchase_view/55863477", "UA-2024-12-17-016908-a")</f>
        <v>UA-2024-12-17-016908-a</v>
      </c>
      <c r="Q776" s="117">
        <v>250</v>
      </c>
      <c r="R776" s="352">
        <v>1</v>
      </c>
      <c r="S776" s="117">
        <v>250</v>
      </c>
      <c r="T776" s="379">
        <v>45663</v>
      </c>
      <c r="U776" s="352"/>
      <c r="V776" s="352"/>
    </row>
    <row r="777" spans="1:22" ht="124.8" x14ac:dyDescent="0.3">
      <c r="A777" s="352">
        <v>771</v>
      </c>
      <c r="B777" s="363" t="s">
        <v>1150</v>
      </c>
      <c r="C777" s="44" t="s">
        <v>1634</v>
      </c>
      <c r="D777" s="395" t="s">
        <v>58</v>
      </c>
      <c r="E777" s="363" t="s">
        <v>75</v>
      </c>
      <c r="F777" s="44" t="s">
        <v>1639</v>
      </c>
      <c r="G777" s="363" t="s">
        <v>1149</v>
      </c>
      <c r="H777" s="590">
        <v>90.9</v>
      </c>
      <c r="I777" s="352">
        <v>1</v>
      </c>
      <c r="J777" s="590">
        <v>90.9</v>
      </c>
      <c r="K777" s="590">
        <v>90.9</v>
      </c>
      <c r="L777" s="363">
        <v>1</v>
      </c>
      <c r="M777" s="590">
        <v>90.9</v>
      </c>
      <c r="N777" s="6" t="s">
        <v>1641</v>
      </c>
      <c r="O777" s="362">
        <v>45643</v>
      </c>
      <c r="P777" s="33" t="str">
        <f>HYPERLINK("https://my.zakupivli.pro/remote/dispatcher/state_purchase_view/55863477", "UA-2024-12-17-016908-a")</f>
        <v>UA-2024-12-17-016908-a</v>
      </c>
      <c r="Q777" s="117">
        <v>75</v>
      </c>
      <c r="R777" s="352">
        <v>1</v>
      </c>
      <c r="S777" s="117">
        <v>75</v>
      </c>
      <c r="T777" s="379">
        <v>45663</v>
      </c>
      <c r="U777" s="352"/>
      <c r="V777" s="352"/>
    </row>
    <row r="778" spans="1:22" ht="124.8" x14ac:dyDescent="0.3">
      <c r="A778" s="352">
        <v>772</v>
      </c>
      <c r="B778" s="363" t="s">
        <v>1150</v>
      </c>
      <c r="C778" s="44" t="s">
        <v>1635</v>
      </c>
      <c r="D778" s="395" t="s">
        <v>58</v>
      </c>
      <c r="E778" s="363" t="s">
        <v>75</v>
      </c>
      <c r="F778" s="44" t="s">
        <v>1639</v>
      </c>
      <c r="G778" s="363" t="s">
        <v>1149</v>
      </c>
      <c r="H778" s="590">
        <v>2.0816599999999998</v>
      </c>
      <c r="I778" s="352">
        <v>1</v>
      </c>
      <c r="J778" s="590">
        <v>2.0816599999999998</v>
      </c>
      <c r="K778" s="590">
        <v>2.0816599999999998</v>
      </c>
      <c r="L778" s="363">
        <v>1</v>
      </c>
      <c r="M778" s="590">
        <v>2.0816599999999998</v>
      </c>
      <c r="N778" s="6" t="s">
        <v>1642</v>
      </c>
      <c r="O778" s="362">
        <v>45643</v>
      </c>
      <c r="P778" s="33" t="str">
        <f>HYPERLINK("https://my.zakupivli.pro/remote/dispatcher/state_purchase_view/55863477", "UA-2024-12-17-016908-a")</f>
        <v>UA-2024-12-17-016908-a</v>
      </c>
      <c r="Q778" s="117">
        <v>1.75</v>
      </c>
      <c r="R778" s="352">
        <v>1</v>
      </c>
      <c r="S778" s="117">
        <v>1.75</v>
      </c>
      <c r="T778" s="379">
        <v>45663</v>
      </c>
      <c r="U778" s="352"/>
      <c r="V778" s="352"/>
    </row>
    <row r="779" spans="1:22" ht="124.8" x14ac:dyDescent="0.3">
      <c r="A779" s="352">
        <v>773</v>
      </c>
      <c r="B779" s="363" t="s">
        <v>1150</v>
      </c>
      <c r="C779" s="44" t="s">
        <v>1636</v>
      </c>
      <c r="D779" s="395" t="s">
        <v>58</v>
      </c>
      <c r="E779" s="363" t="s">
        <v>75</v>
      </c>
      <c r="F779" s="44" t="s">
        <v>1639</v>
      </c>
      <c r="G779" s="363" t="s">
        <v>1149</v>
      </c>
      <c r="H779" s="590">
        <v>7.8083299999999998</v>
      </c>
      <c r="I779" s="352">
        <v>1</v>
      </c>
      <c r="J779" s="590">
        <v>7.8083299999999998</v>
      </c>
      <c r="K779" s="590">
        <v>7.8083299999999998</v>
      </c>
      <c r="L779" s="363">
        <v>1</v>
      </c>
      <c r="M779" s="590">
        <v>7.8083299999999998</v>
      </c>
      <c r="N779" s="6" t="s">
        <v>1643</v>
      </c>
      <c r="O779" s="362">
        <v>45643</v>
      </c>
      <c r="P779" s="33" t="str">
        <f>HYPERLINK("https://my.zakupivli.pro/remote/dispatcher/state_purchase_view/55863477", "UA-2024-12-17-016908-a")</f>
        <v>UA-2024-12-17-016908-a</v>
      </c>
      <c r="Q779" s="352"/>
      <c r="R779" s="352"/>
      <c r="S779" s="352"/>
      <c r="T779" s="353"/>
      <c r="U779" s="376" t="s">
        <v>93</v>
      </c>
      <c r="V779" s="352"/>
    </row>
    <row r="780" spans="1:22" ht="124.8" x14ac:dyDescent="0.3">
      <c r="A780" s="352">
        <v>774</v>
      </c>
      <c r="B780" s="363" t="s">
        <v>1150</v>
      </c>
      <c r="C780" s="44" t="s">
        <v>1637</v>
      </c>
      <c r="D780" s="395" t="s">
        <v>58</v>
      </c>
      <c r="E780" s="363" t="s">
        <v>75</v>
      </c>
      <c r="F780" s="44" t="s">
        <v>1639</v>
      </c>
      <c r="G780" s="363" t="s">
        <v>1149</v>
      </c>
      <c r="H780" s="590">
        <v>243.85</v>
      </c>
      <c r="I780" s="352">
        <v>1</v>
      </c>
      <c r="J780" s="590">
        <v>243.85</v>
      </c>
      <c r="K780" s="590">
        <v>243.85</v>
      </c>
      <c r="L780" s="363">
        <v>1</v>
      </c>
      <c r="M780" s="590">
        <v>243.85</v>
      </c>
      <c r="N780" s="6" t="s">
        <v>1644</v>
      </c>
      <c r="O780" s="362">
        <v>45643</v>
      </c>
      <c r="P780" s="33" t="str">
        <f>HYPERLINK("https://my.zakupivli.pro/remote/dispatcher/state_purchase_view/55863477", "UA-2024-12-17-016908-a")</f>
        <v>UA-2024-12-17-016908-a</v>
      </c>
      <c r="Q780" s="352"/>
      <c r="R780" s="352"/>
      <c r="S780" s="352"/>
      <c r="T780" s="353"/>
      <c r="U780" s="376" t="s">
        <v>93</v>
      </c>
      <c r="V780" s="352"/>
    </row>
    <row r="781" spans="1:22" ht="46.8" x14ac:dyDescent="0.3">
      <c r="A781" s="352">
        <v>775</v>
      </c>
      <c r="B781" s="364" t="s">
        <v>21</v>
      </c>
      <c r="C781" s="44" t="s">
        <v>1645</v>
      </c>
      <c r="D781" s="395" t="s">
        <v>58</v>
      </c>
      <c r="E781" s="364" t="s">
        <v>75</v>
      </c>
      <c r="F781" s="223" t="s">
        <v>36</v>
      </c>
      <c r="G781" s="352" t="s">
        <v>186</v>
      </c>
      <c r="H781" s="590"/>
      <c r="I781" s="352">
        <v>10</v>
      </c>
      <c r="J781" s="590">
        <v>950.46973000000003</v>
      </c>
      <c r="K781" s="590"/>
      <c r="L781" s="364">
        <v>10</v>
      </c>
      <c r="M781" s="590">
        <v>950.46973000000003</v>
      </c>
      <c r="N781" s="6" t="s">
        <v>1651</v>
      </c>
      <c r="O781" s="367">
        <v>45645</v>
      </c>
      <c r="P781" s="33" t="str">
        <f>HYPERLINK("https://my.zakupivli.pro/remote/dispatcher/state_purchase_view/55973222", "UA-2024-12-19-015237-a")</f>
        <v>UA-2024-12-19-015237-a</v>
      </c>
      <c r="Q781" s="352"/>
      <c r="R781" s="352">
        <v>10</v>
      </c>
      <c r="S781" s="352">
        <v>776.76599999999996</v>
      </c>
      <c r="T781" s="353">
        <v>45664</v>
      </c>
      <c r="U781" s="352"/>
      <c r="V781" s="352"/>
    </row>
    <row r="782" spans="1:22" ht="46.8" x14ac:dyDescent="0.3">
      <c r="A782" s="352">
        <v>776</v>
      </c>
      <c r="B782" s="364" t="s">
        <v>21</v>
      </c>
      <c r="C782" s="44" t="s">
        <v>1646</v>
      </c>
      <c r="D782" s="395" t="s">
        <v>58</v>
      </c>
      <c r="E782" s="364" t="s">
        <v>75</v>
      </c>
      <c r="F782" s="223" t="s">
        <v>36</v>
      </c>
      <c r="G782" s="352" t="s">
        <v>186</v>
      </c>
      <c r="H782" s="590"/>
      <c r="I782" s="352">
        <v>3</v>
      </c>
      <c r="J782" s="590">
        <v>14064.01916</v>
      </c>
      <c r="K782" s="590"/>
      <c r="L782" s="364">
        <v>3</v>
      </c>
      <c r="M782" s="590">
        <v>14064.01916</v>
      </c>
      <c r="N782" s="6" t="s">
        <v>1652</v>
      </c>
      <c r="O782" s="367">
        <v>45645</v>
      </c>
      <c r="P782" s="33" t="str">
        <f>HYPERLINK("https://my.zakupivli.pro/remote/dispatcher/state_purchase_view/55973222", "UA-2024-12-19-015237-a")</f>
        <v>UA-2024-12-19-015237-a</v>
      </c>
      <c r="Q782" s="352"/>
      <c r="R782" s="352">
        <v>2</v>
      </c>
      <c r="S782" s="352">
        <v>13430.855</v>
      </c>
      <c r="T782" s="353">
        <v>45664</v>
      </c>
      <c r="U782" s="352"/>
      <c r="V782" s="352"/>
    </row>
    <row r="783" spans="1:22" ht="78" x14ac:dyDescent="0.3">
      <c r="A783" s="352">
        <v>777</v>
      </c>
      <c r="B783" s="364" t="s">
        <v>21</v>
      </c>
      <c r="C783" s="44" t="s">
        <v>1647</v>
      </c>
      <c r="D783" s="395" t="s">
        <v>58</v>
      </c>
      <c r="E783" s="364" t="s">
        <v>75</v>
      </c>
      <c r="F783" s="223" t="s">
        <v>36</v>
      </c>
      <c r="G783" s="352" t="s">
        <v>186</v>
      </c>
      <c r="H783" s="590"/>
      <c r="I783" s="352">
        <v>2</v>
      </c>
      <c r="J783" s="590">
        <v>2684.5</v>
      </c>
      <c r="K783" s="590"/>
      <c r="L783" s="364">
        <v>2</v>
      </c>
      <c r="M783" s="590">
        <v>2684.5</v>
      </c>
      <c r="N783" s="6" t="s">
        <v>1653</v>
      </c>
      <c r="O783" s="367">
        <v>45645</v>
      </c>
      <c r="P783" s="33" t="str">
        <f>HYPERLINK("https://my.zakupivli.pro/remote/dispatcher/state_purchase_view/55973222", "UA-2024-12-19-015237-a")</f>
        <v>UA-2024-12-19-015237-a</v>
      </c>
      <c r="Q783" s="352"/>
      <c r="R783" s="378"/>
      <c r="S783" s="378"/>
      <c r="T783" s="353"/>
      <c r="U783" s="378" t="s">
        <v>93</v>
      </c>
      <c r="V783" s="352"/>
    </row>
    <row r="784" spans="1:22" ht="93.6" x14ac:dyDescent="0.3">
      <c r="A784" s="352">
        <v>778</v>
      </c>
      <c r="B784" s="364" t="s">
        <v>21</v>
      </c>
      <c r="C784" s="44" t="s">
        <v>1648</v>
      </c>
      <c r="D784" s="395" t="s">
        <v>58</v>
      </c>
      <c r="E784" s="364" t="s">
        <v>75</v>
      </c>
      <c r="F784" s="223" t="s">
        <v>1650</v>
      </c>
      <c r="G784" s="352" t="s">
        <v>186</v>
      </c>
      <c r="H784" s="590"/>
      <c r="I784" s="352">
        <v>239</v>
      </c>
      <c r="J784" s="590">
        <v>3575</v>
      </c>
      <c r="K784" s="590"/>
      <c r="L784" s="364">
        <v>239</v>
      </c>
      <c r="M784" s="590">
        <v>3575</v>
      </c>
      <c r="N784" s="6" t="s">
        <v>1654</v>
      </c>
      <c r="O784" s="367">
        <v>45645</v>
      </c>
      <c r="P784" s="33" t="str">
        <f>HYPERLINK("https://my.zakupivli.pro/remote/dispatcher/state_purchase_view/55969608", "UA-2024-12-19-013809-a")</f>
        <v>UA-2024-12-19-013809-a</v>
      </c>
      <c r="Q784" s="352"/>
      <c r="R784" s="352">
        <v>239</v>
      </c>
      <c r="S784" s="352">
        <v>3573.4467</v>
      </c>
      <c r="T784" s="353">
        <v>45666</v>
      </c>
      <c r="U784" s="352"/>
      <c r="V784" s="352"/>
    </row>
    <row r="785" spans="1:22" ht="78" x14ac:dyDescent="0.3">
      <c r="A785" s="352">
        <v>779</v>
      </c>
      <c r="B785" s="364" t="s">
        <v>21</v>
      </c>
      <c r="C785" s="44" t="s">
        <v>1649</v>
      </c>
      <c r="D785" s="395" t="s">
        <v>58</v>
      </c>
      <c r="E785" s="364" t="s">
        <v>75</v>
      </c>
      <c r="F785" s="223" t="s">
        <v>30</v>
      </c>
      <c r="G785" s="352" t="s">
        <v>186</v>
      </c>
      <c r="H785" s="590"/>
      <c r="I785" s="352">
        <v>9</v>
      </c>
      <c r="J785" s="590">
        <v>3474</v>
      </c>
      <c r="K785" s="590"/>
      <c r="L785" s="364">
        <v>9</v>
      </c>
      <c r="M785" s="590">
        <v>3474</v>
      </c>
      <c r="N785" s="6" t="s">
        <v>1655</v>
      </c>
      <c r="O785" s="365">
        <v>45645</v>
      </c>
      <c r="P785" s="33" t="str">
        <f>HYPERLINK("https://my.zakupivli.pro/remote/dispatcher/state_purchase_view/55956705", "UA-2024-12-19-008061-a")</f>
        <v>UA-2024-12-19-008061-a</v>
      </c>
      <c r="Q785" s="352"/>
      <c r="R785" s="352">
        <v>9</v>
      </c>
      <c r="S785" s="117">
        <v>3441.63</v>
      </c>
      <c r="T785" s="353">
        <v>45664</v>
      </c>
      <c r="U785" s="352"/>
      <c r="V785" s="352"/>
    </row>
    <row r="786" spans="1:22" ht="78" x14ac:dyDescent="0.3">
      <c r="A786" s="352">
        <v>780</v>
      </c>
      <c r="B786" s="366" t="s">
        <v>21</v>
      </c>
      <c r="C786" s="44" t="s">
        <v>1656</v>
      </c>
      <c r="D786" s="395" t="s">
        <v>58</v>
      </c>
      <c r="E786" s="366" t="s">
        <v>75</v>
      </c>
      <c r="F786" s="223" t="s">
        <v>300</v>
      </c>
      <c r="G786" s="352" t="s">
        <v>186</v>
      </c>
      <c r="H786" s="590"/>
      <c r="I786" s="352">
        <v>174</v>
      </c>
      <c r="J786" s="590">
        <v>56083.5</v>
      </c>
      <c r="K786" s="590"/>
      <c r="L786" s="366">
        <v>174</v>
      </c>
      <c r="M786" s="590">
        <v>56083.5</v>
      </c>
      <c r="N786" s="6" t="s">
        <v>1657</v>
      </c>
      <c r="O786" s="353">
        <v>45646</v>
      </c>
      <c r="P786" s="33" t="str">
        <f>HYPERLINK("https://my.zakupivli.pro/remote/dispatcher/state_purchase_view/56008163", "UA-2024-12-20-005683-a")</f>
        <v>UA-2024-12-20-005683-a</v>
      </c>
      <c r="Q786" s="352"/>
      <c r="R786" s="352"/>
      <c r="S786" s="352"/>
      <c r="T786" s="353"/>
      <c r="U786" s="352" t="s">
        <v>1706</v>
      </c>
      <c r="V786" s="352"/>
    </row>
    <row r="787" spans="1:22" ht="93.6" x14ac:dyDescent="0.3">
      <c r="A787" s="352">
        <v>781</v>
      </c>
      <c r="B787" s="368" t="s">
        <v>21</v>
      </c>
      <c r="C787" s="44" t="s">
        <v>1658</v>
      </c>
      <c r="D787" s="395" t="s">
        <v>58</v>
      </c>
      <c r="E787" s="368" t="s">
        <v>75</v>
      </c>
      <c r="F787" s="44" t="s">
        <v>1217</v>
      </c>
      <c r="G787" s="352" t="s">
        <v>185</v>
      </c>
      <c r="H787" s="590"/>
      <c r="I787" s="352">
        <v>466</v>
      </c>
      <c r="J787" s="590">
        <v>5392.9358300000004</v>
      </c>
      <c r="K787" s="590"/>
      <c r="L787" s="368">
        <v>466</v>
      </c>
      <c r="M787" s="590">
        <v>5392.9358300000004</v>
      </c>
      <c r="N787" s="6" t="s">
        <v>1660</v>
      </c>
      <c r="O787" s="353">
        <v>45649</v>
      </c>
      <c r="P787" s="33" t="str">
        <f>HYPERLINK("https://my.zakupivli.pro/remote/dispatcher/state_purchase_view/56101118", "UA-2024-12-23-019298-a")</f>
        <v>UA-2024-12-23-019298-a</v>
      </c>
      <c r="Q787" s="352"/>
      <c r="R787" s="352"/>
      <c r="S787" s="352"/>
      <c r="T787" s="353"/>
      <c r="U787" s="391" t="s">
        <v>1706</v>
      </c>
      <c r="V787" s="352"/>
    </row>
    <row r="788" spans="1:22" ht="78" x14ac:dyDescent="0.3">
      <c r="A788" s="352">
        <v>782</v>
      </c>
      <c r="B788" s="368" t="s">
        <v>21</v>
      </c>
      <c r="C788" s="44" t="s">
        <v>1656</v>
      </c>
      <c r="D788" s="395" t="s">
        <v>58</v>
      </c>
      <c r="E788" s="368" t="s">
        <v>75</v>
      </c>
      <c r="F788" s="44" t="s">
        <v>300</v>
      </c>
      <c r="G788" s="352" t="s">
        <v>186</v>
      </c>
      <c r="H788" s="590"/>
      <c r="I788" s="352">
        <v>166</v>
      </c>
      <c r="J788" s="590">
        <v>56083.5</v>
      </c>
      <c r="K788" s="590"/>
      <c r="L788" s="368">
        <v>166</v>
      </c>
      <c r="M788" s="590">
        <v>56083.5</v>
      </c>
      <c r="N788" s="6" t="s">
        <v>1661</v>
      </c>
      <c r="O788" s="369">
        <v>45649</v>
      </c>
      <c r="P788" s="33" t="str">
        <f>HYPERLINK("https://my.zakupivli.pro/remote/dispatcher/state_purchase_view/56084031", "UA-2024-12-23-011949-a")</f>
        <v>UA-2024-12-23-011949-a</v>
      </c>
      <c r="Q788" s="352"/>
      <c r="R788" s="352">
        <v>166</v>
      </c>
      <c r="S788" s="352">
        <v>51030.896650000002</v>
      </c>
      <c r="T788" s="353">
        <v>45673</v>
      </c>
      <c r="U788" s="352"/>
      <c r="V788" s="352"/>
    </row>
    <row r="789" spans="1:22" ht="124.8" x14ac:dyDescent="0.3">
      <c r="A789" s="352">
        <v>783</v>
      </c>
      <c r="B789" s="368" t="s">
        <v>40</v>
      </c>
      <c r="C789" s="44" t="s">
        <v>1659</v>
      </c>
      <c r="D789" s="395" t="s">
        <v>58</v>
      </c>
      <c r="E789" s="368" t="s">
        <v>75</v>
      </c>
      <c r="F789" s="44" t="s">
        <v>73</v>
      </c>
      <c r="G789" s="352" t="s">
        <v>184</v>
      </c>
      <c r="H789" s="590">
        <v>71.073759999999993</v>
      </c>
      <c r="I789" s="352">
        <v>1</v>
      </c>
      <c r="J789" s="590">
        <v>71.073759999999993</v>
      </c>
      <c r="K789" s="590">
        <v>71.073759999999993</v>
      </c>
      <c r="L789" s="368">
        <v>1</v>
      </c>
      <c r="M789" s="590">
        <v>71.073759999999993</v>
      </c>
      <c r="N789" s="6" t="s">
        <v>1662</v>
      </c>
      <c r="O789" s="369">
        <v>45649</v>
      </c>
      <c r="P789" s="33" t="str">
        <f>HYPERLINK("https://my.zakupivli.pro/remote/dispatcher/state_purchase_view/56070139", "UA-2024-12-23-005679-a")</f>
        <v>UA-2024-12-23-005679-a</v>
      </c>
      <c r="Q789" s="368">
        <v>71.073759999999993</v>
      </c>
      <c r="R789" s="368">
        <v>1</v>
      </c>
      <c r="S789" s="368">
        <v>71.073759999999993</v>
      </c>
      <c r="T789" s="369">
        <v>45649</v>
      </c>
      <c r="U789" s="352"/>
      <c r="V789" s="368" t="s">
        <v>59</v>
      </c>
    </row>
    <row r="790" spans="1:22" ht="93.6" x14ac:dyDescent="0.3">
      <c r="A790" s="352">
        <v>784</v>
      </c>
      <c r="B790" s="370" t="s">
        <v>21</v>
      </c>
      <c r="C790" s="44" t="s">
        <v>1663</v>
      </c>
      <c r="D790" s="395" t="s">
        <v>58</v>
      </c>
      <c r="E790" s="370" t="s">
        <v>75</v>
      </c>
      <c r="F790" s="223" t="s">
        <v>894</v>
      </c>
      <c r="G790" s="352" t="s">
        <v>186</v>
      </c>
      <c r="H790" s="590"/>
      <c r="I790" s="352">
        <v>23</v>
      </c>
      <c r="J790" s="590">
        <v>623.995</v>
      </c>
      <c r="K790" s="590"/>
      <c r="L790" s="370">
        <v>23</v>
      </c>
      <c r="M790" s="590">
        <v>623.995</v>
      </c>
      <c r="N790" s="6" t="s">
        <v>1664</v>
      </c>
      <c r="O790" s="353">
        <v>45650</v>
      </c>
      <c r="P790" s="42" t="str">
        <f>HYPERLINK("https://my.zakupivli.pro/remote/dispatcher/state_purchase_view/56149918", "UA-2024-12-24-017756-a")</f>
        <v>UA-2024-12-24-017756-a</v>
      </c>
      <c r="Q790" s="352"/>
      <c r="R790" s="352">
        <v>23</v>
      </c>
      <c r="S790" s="352">
        <v>601.33299999999997</v>
      </c>
      <c r="T790" s="353">
        <v>45665</v>
      </c>
      <c r="U790" s="352"/>
      <c r="V790" s="352"/>
    </row>
    <row r="791" spans="1:22" ht="124.8" x14ac:dyDescent="0.3">
      <c r="A791" s="352">
        <v>785</v>
      </c>
      <c r="B791" s="371" t="s">
        <v>21</v>
      </c>
      <c r="C791" s="44" t="s">
        <v>1665</v>
      </c>
      <c r="D791" s="395" t="s">
        <v>58</v>
      </c>
      <c r="E791" s="371" t="s">
        <v>75</v>
      </c>
      <c r="F791" s="44" t="s">
        <v>1670</v>
      </c>
      <c r="G791" s="352" t="s">
        <v>186</v>
      </c>
      <c r="H791" s="590"/>
      <c r="I791" s="352">
        <v>89</v>
      </c>
      <c r="J791" s="590">
        <v>7504.1666599999999</v>
      </c>
      <c r="K791" s="590"/>
      <c r="L791" s="371">
        <v>89</v>
      </c>
      <c r="M791" s="590">
        <v>7504.1666599999999</v>
      </c>
      <c r="N791" s="6" t="s">
        <v>1671</v>
      </c>
      <c r="O791" s="353">
        <v>45651</v>
      </c>
      <c r="P791" s="33" t="str">
        <f>HYPERLINK("https://my.zakupivli.pro/remote/dispatcher/state_purchase_view/56178120", "UA-2024-12-25-010078-a")</f>
        <v>UA-2024-12-25-010078-a</v>
      </c>
      <c r="Q791" s="352"/>
      <c r="R791" s="352">
        <v>89</v>
      </c>
      <c r="S791" s="1">
        <v>7041.9616599999999</v>
      </c>
      <c r="T791" s="353">
        <v>45686</v>
      </c>
      <c r="U791" s="352"/>
      <c r="V791" s="352"/>
    </row>
    <row r="792" spans="1:22" ht="124.8" x14ac:dyDescent="0.3">
      <c r="A792" s="352">
        <v>786</v>
      </c>
      <c r="B792" s="371" t="s">
        <v>21</v>
      </c>
      <c r="C792" s="44" t="s">
        <v>1666</v>
      </c>
      <c r="D792" s="395" t="s">
        <v>58</v>
      </c>
      <c r="E792" s="371" t="s">
        <v>75</v>
      </c>
      <c r="F792" s="44" t="s">
        <v>1670</v>
      </c>
      <c r="G792" s="352" t="s">
        <v>186</v>
      </c>
      <c r="H792" s="590"/>
      <c r="I792" s="352">
        <v>4</v>
      </c>
      <c r="J792" s="590">
        <v>65</v>
      </c>
      <c r="K792" s="590"/>
      <c r="L792" s="371">
        <v>4</v>
      </c>
      <c r="M792" s="590">
        <v>65</v>
      </c>
      <c r="N792" s="6" t="s">
        <v>1671</v>
      </c>
      <c r="O792" s="372">
        <v>45651</v>
      </c>
      <c r="P792" s="33" t="str">
        <f>HYPERLINK("https://my.zakupivli.pro/remote/dispatcher/state_purchase_view/56178120", "UA-2024-12-25-010078-a")</f>
        <v>UA-2024-12-25-010078-a</v>
      </c>
      <c r="Q792" s="352"/>
      <c r="R792" s="352">
        <v>4</v>
      </c>
      <c r="S792" s="352">
        <v>63.695</v>
      </c>
      <c r="T792" s="353">
        <v>45677</v>
      </c>
      <c r="U792" s="352"/>
      <c r="V792" s="352"/>
    </row>
    <row r="793" spans="1:22" ht="156" x14ac:dyDescent="0.3">
      <c r="A793" s="352">
        <v>787</v>
      </c>
      <c r="B793" s="371" t="s">
        <v>40</v>
      </c>
      <c r="C793" s="44" t="s">
        <v>1667</v>
      </c>
      <c r="D793" s="395"/>
      <c r="E793" s="371" t="s">
        <v>20</v>
      </c>
      <c r="F793" s="44" t="s">
        <v>41</v>
      </c>
      <c r="G793" s="352" t="s">
        <v>184</v>
      </c>
      <c r="H793" s="590">
        <v>66.326260000000005</v>
      </c>
      <c r="I793" s="352">
        <v>1</v>
      </c>
      <c r="J793" s="590">
        <v>66.326260000000005</v>
      </c>
      <c r="K793" s="590">
        <v>66.326260000000005</v>
      </c>
      <c r="L793" s="371">
        <v>1</v>
      </c>
      <c r="M793" s="590">
        <v>66.326260000000005</v>
      </c>
      <c r="N793" s="6" t="s">
        <v>1672</v>
      </c>
      <c r="O793" s="372">
        <v>45651</v>
      </c>
      <c r="P793" s="33" t="str">
        <f>HYPERLINK("https://my.zakupivli.pro/remote/dispatcher/state_purchase_view/56165938", "UA-2024-12-25-004680-a")</f>
        <v>UA-2024-12-25-004680-a</v>
      </c>
      <c r="Q793" s="371">
        <v>66.326260000000005</v>
      </c>
      <c r="R793" s="371">
        <v>1</v>
      </c>
      <c r="S793" s="371">
        <v>66.326260000000005</v>
      </c>
      <c r="T793" s="353">
        <v>45651</v>
      </c>
      <c r="U793" s="352"/>
      <c r="V793" s="371" t="s">
        <v>59</v>
      </c>
    </row>
    <row r="794" spans="1:22" ht="156" x14ac:dyDescent="0.3">
      <c r="A794" s="352">
        <v>788</v>
      </c>
      <c r="B794" s="371" t="s">
        <v>40</v>
      </c>
      <c r="C794" s="44" t="s">
        <v>1668</v>
      </c>
      <c r="D794" s="395"/>
      <c r="E794" s="371" t="s">
        <v>20</v>
      </c>
      <c r="F794" s="44" t="s">
        <v>884</v>
      </c>
      <c r="G794" s="352" t="s">
        <v>184</v>
      </c>
      <c r="H794" s="590">
        <v>672.66476</v>
      </c>
      <c r="I794" s="352">
        <v>1</v>
      </c>
      <c r="J794" s="590">
        <v>672.66476</v>
      </c>
      <c r="K794" s="590">
        <v>672.66476</v>
      </c>
      <c r="L794" s="371">
        <v>1</v>
      </c>
      <c r="M794" s="590">
        <v>672.66476</v>
      </c>
      <c r="N794" s="6" t="s">
        <v>1673</v>
      </c>
      <c r="O794" s="372">
        <v>45651</v>
      </c>
      <c r="P794" s="33" t="str">
        <f>HYPERLINK("https://my.zakupivli.pro/remote/dispatcher/state_purchase_view/56157266", "UA-2024-12-25-000652-a")</f>
        <v>UA-2024-12-25-000652-a</v>
      </c>
      <c r="Q794" s="371">
        <v>672.66476</v>
      </c>
      <c r="R794" s="371">
        <v>1</v>
      </c>
      <c r="S794" s="371">
        <v>672.66476</v>
      </c>
      <c r="T794" s="372">
        <v>45651</v>
      </c>
      <c r="U794" s="352"/>
      <c r="V794" s="371" t="s">
        <v>59</v>
      </c>
    </row>
    <row r="795" spans="1:22" ht="109.2" x14ac:dyDescent="0.3">
      <c r="A795" s="352">
        <v>789</v>
      </c>
      <c r="B795" s="371" t="s">
        <v>21</v>
      </c>
      <c r="C795" s="44" t="s">
        <v>1669</v>
      </c>
      <c r="D795" s="395" t="s">
        <v>58</v>
      </c>
      <c r="E795" s="371" t="s">
        <v>75</v>
      </c>
      <c r="F795" s="44" t="s">
        <v>36</v>
      </c>
      <c r="G795" s="352" t="s">
        <v>186</v>
      </c>
      <c r="H795" s="590"/>
      <c r="I795" s="352">
        <v>139</v>
      </c>
      <c r="J795" s="590">
        <v>12680.833329999999</v>
      </c>
      <c r="K795" s="590"/>
      <c r="L795" s="371">
        <v>139</v>
      </c>
      <c r="M795" s="590">
        <v>12680.833329999999</v>
      </c>
      <c r="N795" s="6" t="s">
        <v>1674</v>
      </c>
      <c r="O795" s="372">
        <v>45651</v>
      </c>
      <c r="P795" s="33" t="str">
        <f>HYPERLINK("https://my.zakupivli.pro/remote/dispatcher/state_purchase_view/56156900", "UA-2024-12-25-000472-a")</f>
        <v>UA-2024-12-25-000472-a</v>
      </c>
      <c r="Q795" s="352"/>
      <c r="R795" s="352">
        <v>139</v>
      </c>
      <c r="S795" s="352">
        <v>12302.7731</v>
      </c>
      <c r="T795" s="353">
        <v>45677</v>
      </c>
      <c r="U795" s="352"/>
      <c r="V795" s="352"/>
    </row>
    <row r="796" spans="1:22" ht="62.4" x14ac:dyDescent="0.3">
      <c r="A796" s="352">
        <v>790</v>
      </c>
      <c r="B796" s="374" t="s">
        <v>21</v>
      </c>
      <c r="C796" s="44" t="s">
        <v>1675</v>
      </c>
      <c r="D796" s="395" t="s">
        <v>58</v>
      </c>
      <c r="E796" s="374" t="s">
        <v>75</v>
      </c>
      <c r="F796" s="44" t="s">
        <v>30</v>
      </c>
      <c r="G796" s="352" t="s">
        <v>186</v>
      </c>
      <c r="H796" s="590"/>
      <c r="I796" s="352">
        <v>42</v>
      </c>
      <c r="J796" s="590">
        <v>6340.9613900000004</v>
      </c>
      <c r="K796" s="590"/>
      <c r="L796" s="374">
        <v>42</v>
      </c>
      <c r="M796" s="590">
        <v>6340.9613900000004</v>
      </c>
      <c r="N796" s="6" t="s">
        <v>1678</v>
      </c>
      <c r="O796" s="353">
        <v>45652</v>
      </c>
      <c r="P796" s="33" t="str">
        <f>HYPERLINK("https://my.zakupivli.pro/remote/dispatcher/state_purchase_view/56211568", "UA-2024-12-26-010326-a")</f>
        <v>UA-2024-12-26-010326-a</v>
      </c>
      <c r="Q796" s="352"/>
      <c r="R796" s="352">
        <v>42</v>
      </c>
      <c r="S796" s="352">
        <v>6105.2520000000004</v>
      </c>
      <c r="T796" s="353">
        <v>45673</v>
      </c>
      <c r="U796" s="352"/>
      <c r="V796" s="352"/>
    </row>
    <row r="797" spans="1:22" ht="43.2" x14ac:dyDescent="0.3">
      <c r="A797" s="352">
        <v>791</v>
      </c>
      <c r="B797" s="374" t="s">
        <v>21</v>
      </c>
      <c r="C797" s="44" t="s">
        <v>30</v>
      </c>
      <c r="D797" s="395" t="s">
        <v>58</v>
      </c>
      <c r="E797" s="374" t="s">
        <v>75</v>
      </c>
      <c r="F797" s="44" t="s">
        <v>2199</v>
      </c>
      <c r="G797" s="352" t="s">
        <v>186</v>
      </c>
      <c r="H797" s="590"/>
      <c r="I797" s="352">
        <v>100</v>
      </c>
      <c r="J797" s="590">
        <v>6085.1333299999997</v>
      </c>
      <c r="K797" s="590"/>
      <c r="L797" s="374">
        <v>100</v>
      </c>
      <c r="M797" s="590">
        <v>6085.1333299999997</v>
      </c>
      <c r="N797" s="6" t="s">
        <v>1679</v>
      </c>
      <c r="O797" s="373">
        <v>45652</v>
      </c>
      <c r="P797" s="33" t="str">
        <f>HYPERLINK("https://my.zakupivli.pro/remote/dispatcher/state_purchase_view/56211568", "UA-2024-12-26-010326-a")</f>
        <v>UA-2024-12-26-010326-a</v>
      </c>
      <c r="Q797" s="352"/>
      <c r="R797" s="352">
        <v>100</v>
      </c>
      <c r="S797" s="352">
        <v>6031.9987499999997</v>
      </c>
      <c r="T797" s="353">
        <v>45673</v>
      </c>
      <c r="U797" s="352"/>
      <c r="V797" s="352"/>
    </row>
    <row r="798" spans="1:22" ht="62.4" x14ac:dyDescent="0.3">
      <c r="A798" s="352">
        <v>792</v>
      </c>
      <c r="B798" s="352" t="s">
        <v>40</v>
      </c>
      <c r="C798" s="44" t="s">
        <v>884</v>
      </c>
      <c r="D798" s="352"/>
      <c r="E798" s="374" t="s">
        <v>20</v>
      </c>
      <c r="F798" s="44" t="s">
        <v>2198</v>
      </c>
      <c r="G798" s="352" t="s">
        <v>184</v>
      </c>
      <c r="H798" s="590">
        <v>55.763150000000003</v>
      </c>
      <c r="I798" s="352">
        <v>1</v>
      </c>
      <c r="J798" s="590">
        <v>55.763150000000003</v>
      </c>
      <c r="K798" s="590">
        <v>55.763150000000003</v>
      </c>
      <c r="L798" s="374">
        <v>1</v>
      </c>
      <c r="M798" s="590">
        <v>55.763150000000003</v>
      </c>
      <c r="N798" s="6" t="s">
        <v>1680</v>
      </c>
      <c r="O798" s="373">
        <v>45652</v>
      </c>
      <c r="P798" s="33" t="str">
        <f>HYPERLINK("https://my.zakupivli.pro/remote/dispatcher/state_purchase_view/56208279", "UA-2024-12-26-008861-a")</f>
        <v>UA-2024-12-26-008861-a</v>
      </c>
      <c r="Q798" s="374">
        <v>55.763150000000003</v>
      </c>
      <c r="R798" s="374">
        <v>1</v>
      </c>
      <c r="S798" s="374">
        <v>55.763150000000003</v>
      </c>
      <c r="T798" s="353">
        <v>45652</v>
      </c>
      <c r="U798" s="352"/>
      <c r="V798" s="374" t="s">
        <v>59</v>
      </c>
    </row>
    <row r="799" spans="1:22" ht="62.4" x14ac:dyDescent="0.3">
      <c r="A799" s="352">
        <v>793</v>
      </c>
      <c r="B799" s="374" t="s">
        <v>21</v>
      </c>
      <c r="C799" s="44" t="s">
        <v>2011</v>
      </c>
      <c r="D799" s="352"/>
      <c r="E799" s="374" t="s">
        <v>20</v>
      </c>
      <c r="F799" s="44" t="s">
        <v>1629</v>
      </c>
      <c r="G799" s="352" t="s">
        <v>185</v>
      </c>
      <c r="H799" s="590">
        <v>43.75</v>
      </c>
      <c r="I799" s="352">
        <v>1</v>
      </c>
      <c r="J799" s="590">
        <v>43.75</v>
      </c>
      <c r="K799" s="590">
        <v>43.75</v>
      </c>
      <c r="L799" s="374">
        <v>1</v>
      </c>
      <c r="M799" s="590">
        <v>43.75</v>
      </c>
      <c r="N799" s="6" t="s">
        <v>1681</v>
      </c>
      <c r="O799" s="373">
        <v>45652</v>
      </c>
      <c r="P799" s="33" t="str">
        <f>HYPERLINK("https://my.zakupivli.pro/remote/dispatcher/state_purchase_view/56204817", "UA-2024-12-26-007271-a")</f>
        <v>UA-2024-12-26-007271-a</v>
      </c>
      <c r="Q799" s="117">
        <v>43.75</v>
      </c>
      <c r="R799" s="374">
        <v>1</v>
      </c>
      <c r="S799" s="117">
        <v>43.75</v>
      </c>
      <c r="T799" s="373">
        <v>45652</v>
      </c>
      <c r="U799" s="352"/>
      <c r="V799" s="374" t="s">
        <v>59</v>
      </c>
    </row>
    <row r="800" spans="1:22" ht="62.4" x14ac:dyDescent="0.3">
      <c r="A800" s="352">
        <v>794</v>
      </c>
      <c r="B800" s="374" t="s">
        <v>21</v>
      </c>
      <c r="C800" s="44" t="s">
        <v>2001</v>
      </c>
      <c r="D800" s="352"/>
      <c r="E800" s="374" t="s">
        <v>20</v>
      </c>
      <c r="F800" s="44" t="s">
        <v>1676</v>
      </c>
      <c r="G800" s="352" t="s">
        <v>185</v>
      </c>
      <c r="H800" s="590">
        <v>71.625</v>
      </c>
      <c r="I800" s="352">
        <v>1</v>
      </c>
      <c r="J800" s="590">
        <v>71.625</v>
      </c>
      <c r="K800" s="590">
        <v>71.625</v>
      </c>
      <c r="L800" s="374">
        <v>1</v>
      </c>
      <c r="M800" s="590">
        <v>71.625</v>
      </c>
      <c r="N800" s="6" t="s">
        <v>1682</v>
      </c>
      <c r="O800" s="373">
        <v>45652</v>
      </c>
      <c r="P800" s="33" t="str">
        <f>HYPERLINK("https://my.zakupivli.pro/remote/dispatcher/state_purchase_view/56204127", "UA-2024-12-26-006943-a")</f>
        <v>UA-2024-12-26-006943-a</v>
      </c>
      <c r="Q800" s="374">
        <v>71.625</v>
      </c>
      <c r="R800" s="374">
        <v>1</v>
      </c>
      <c r="S800" s="374">
        <v>71.625</v>
      </c>
      <c r="T800" s="373">
        <v>45652</v>
      </c>
      <c r="U800" s="352"/>
      <c r="V800" s="374" t="s">
        <v>59</v>
      </c>
    </row>
    <row r="801" spans="1:22" ht="46.8" x14ac:dyDescent="0.3">
      <c r="A801" s="352">
        <v>795</v>
      </c>
      <c r="B801" s="446" t="s">
        <v>21</v>
      </c>
      <c r="C801" s="452" t="s">
        <v>1677</v>
      </c>
      <c r="D801" s="446" t="s">
        <v>58</v>
      </c>
      <c r="E801" s="446" t="s">
        <v>20</v>
      </c>
      <c r="F801" s="452" t="s">
        <v>2197</v>
      </c>
      <c r="G801" s="352" t="s">
        <v>186</v>
      </c>
      <c r="H801" s="590"/>
      <c r="I801" s="352">
        <v>10</v>
      </c>
      <c r="J801" s="590">
        <v>367.95958000000002</v>
      </c>
      <c r="K801" s="590"/>
      <c r="L801" s="374">
        <v>10</v>
      </c>
      <c r="M801" s="590">
        <v>367.95958000000002</v>
      </c>
      <c r="N801" s="6" t="s">
        <v>1683</v>
      </c>
      <c r="O801" s="373">
        <v>45652</v>
      </c>
      <c r="P801" s="33" t="str">
        <f>HYPERLINK("https://my.zakupivli.pro/remote/dispatcher/state_purchase_view/56200541", "UA-2024-12-26-005498-a")</f>
        <v>UA-2024-12-26-005498-a</v>
      </c>
      <c r="Q801" s="352"/>
      <c r="R801" s="352">
        <v>10</v>
      </c>
      <c r="S801" s="352">
        <v>353.78789999999998</v>
      </c>
      <c r="T801" s="353">
        <v>45670</v>
      </c>
      <c r="U801" s="352"/>
      <c r="V801" s="352"/>
    </row>
    <row r="802" spans="1:22" ht="46.8" x14ac:dyDescent="0.3">
      <c r="A802" s="352">
        <v>796</v>
      </c>
      <c r="B802" s="375" t="s">
        <v>21</v>
      </c>
      <c r="C802" s="44" t="s">
        <v>1684</v>
      </c>
      <c r="D802" s="395" t="s">
        <v>58</v>
      </c>
      <c r="E802" s="375" t="s">
        <v>20</v>
      </c>
      <c r="F802" s="44" t="s">
        <v>2196</v>
      </c>
      <c r="G802" s="352" t="s">
        <v>186</v>
      </c>
      <c r="H802" s="590"/>
      <c r="I802" s="352">
        <v>12</v>
      </c>
      <c r="J802" s="590">
        <v>1073.48</v>
      </c>
      <c r="K802" s="590"/>
      <c r="L802" s="375">
        <v>12</v>
      </c>
      <c r="M802" s="590">
        <v>1073.48</v>
      </c>
      <c r="N802" s="6" t="s">
        <v>1685</v>
      </c>
      <c r="O802" s="353">
        <v>45656</v>
      </c>
      <c r="P802" s="33" t="str">
        <f>HYPERLINK("https://my.zakupivli.pro/remote/dispatcher/state_purchase_view/56282686", "UA-2024-12-30-006675-a")</f>
        <v>UA-2024-12-30-006675-a</v>
      </c>
      <c r="Q802" s="352"/>
      <c r="R802" s="352">
        <v>12</v>
      </c>
      <c r="S802" s="352">
        <v>1073.48</v>
      </c>
      <c r="T802" s="353">
        <v>45670</v>
      </c>
      <c r="U802" s="352"/>
      <c r="V802" s="352"/>
    </row>
    <row r="803" spans="1:22" ht="62.4" x14ac:dyDescent="0.3">
      <c r="A803" s="352">
        <v>797</v>
      </c>
      <c r="B803" s="376" t="s">
        <v>40</v>
      </c>
      <c r="C803" s="44" t="s">
        <v>884</v>
      </c>
      <c r="D803" s="352"/>
      <c r="E803" s="376" t="s">
        <v>20</v>
      </c>
      <c r="F803" s="44" t="s">
        <v>2195</v>
      </c>
      <c r="G803" s="376" t="s">
        <v>184</v>
      </c>
      <c r="H803" s="590">
        <v>111.44601</v>
      </c>
      <c r="I803" s="352">
        <v>1</v>
      </c>
      <c r="J803" s="590">
        <v>111.44601</v>
      </c>
      <c r="K803" s="590">
        <v>111.44601</v>
      </c>
      <c r="L803" s="376">
        <v>1</v>
      </c>
      <c r="M803" s="590">
        <v>111.44601</v>
      </c>
      <c r="N803" s="6" t="s">
        <v>1689</v>
      </c>
      <c r="O803" s="353">
        <v>45660</v>
      </c>
      <c r="P803" s="33" t="str">
        <f>HYPERLINK("https://my.zakupivli.pro/remote/dispatcher/state_purchase_view/56334714", "UA-2025-01-03-000698-a")</f>
        <v>UA-2025-01-03-000698-a</v>
      </c>
      <c r="Q803" s="376">
        <v>111.44601</v>
      </c>
      <c r="R803" s="376">
        <v>1</v>
      </c>
      <c r="S803" s="376">
        <v>111.44601</v>
      </c>
      <c r="T803" s="353">
        <v>45657</v>
      </c>
      <c r="U803" s="352"/>
      <c r="V803" s="376" t="s">
        <v>59</v>
      </c>
    </row>
    <row r="804" spans="1:22" ht="62.4" x14ac:dyDescent="0.3">
      <c r="A804" s="352">
        <v>798</v>
      </c>
      <c r="B804" s="446" t="s">
        <v>40</v>
      </c>
      <c r="C804" s="452" t="s">
        <v>884</v>
      </c>
      <c r="D804" s="446"/>
      <c r="E804" s="446" t="s">
        <v>20</v>
      </c>
      <c r="F804" s="452" t="s">
        <v>1686</v>
      </c>
      <c r="G804" s="376" t="s">
        <v>184</v>
      </c>
      <c r="H804" s="590">
        <v>47.140090000000001</v>
      </c>
      <c r="I804" s="352">
        <v>1</v>
      </c>
      <c r="J804" s="590">
        <v>47.140090000000001</v>
      </c>
      <c r="K804" s="590">
        <v>47.140090000000001</v>
      </c>
      <c r="L804" s="376">
        <v>1</v>
      </c>
      <c r="M804" s="590">
        <v>47.140090000000001</v>
      </c>
      <c r="N804" s="6" t="s">
        <v>1690</v>
      </c>
      <c r="O804" s="377">
        <v>45660</v>
      </c>
      <c r="P804" s="33" t="str">
        <f>HYPERLINK("https://my.zakupivli.pro/remote/dispatcher/state_purchase_view/56334419", "UA-2025-01-03-000567-a")</f>
        <v>UA-2025-01-03-000567-a</v>
      </c>
      <c r="Q804" s="376">
        <v>47.140090000000001</v>
      </c>
      <c r="R804" s="376">
        <v>1</v>
      </c>
      <c r="S804" s="376">
        <v>47.140090000000001</v>
      </c>
      <c r="T804" s="377">
        <v>45657</v>
      </c>
      <c r="U804" s="352"/>
      <c r="V804" s="376" t="s">
        <v>59</v>
      </c>
    </row>
    <row r="805" spans="1:22" ht="62.4" x14ac:dyDescent="0.3">
      <c r="A805" s="352">
        <v>799</v>
      </c>
      <c r="B805" s="376" t="s">
        <v>40</v>
      </c>
      <c r="C805" s="44" t="s">
        <v>1991</v>
      </c>
      <c r="D805" s="352"/>
      <c r="E805" s="376" t="s">
        <v>20</v>
      </c>
      <c r="F805" s="44" t="s">
        <v>1687</v>
      </c>
      <c r="G805" s="376" t="s">
        <v>184</v>
      </c>
      <c r="H805" s="590">
        <v>662.97909000000004</v>
      </c>
      <c r="I805" s="352">
        <v>1</v>
      </c>
      <c r="J805" s="590">
        <v>662.97909000000004</v>
      </c>
      <c r="K805" s="590">
        <v>662.97909000000004</v>
      </c>
      <c r="L805" s="376">
        <v>1</v>
      </c>
      <c r="M805" s="590">
        <v>662.97909000000004</v>
      </c>
      <c r="N805" s="6" t="s">
        <v>1691</v>
      </c>
      <c r="O805" s="353">
        <v>45659</v>
      </c>
      <c r="P805" s="33" t="str">
        <f>HYPERLINK("https://my.zakupivli.pro/remote/dispatcher/state_purchase_view/56333751", "UA-2025-01-03-000294-a")</f>
        <v>UA-2025-01-03-000294-a</v>
      </c>
      <c r="Q805" s="376">
        <v>662.97909000000004</v>
      </c>
      <c r="R805" s="376">
        <v>1</v>
      </c>
      <c r="S805" s="376">
        <v>662.97909000000004</v>
      </c>
      <c r="T805" s="377">
        <v>45659</v>
      </c>
      <c r="U805" s="352"/>
      <c r="V805" s="376" t="s">
        <v>59</v>
      </c>
    </row>
    <row r="806" spans="1:22" ht="62.4" x14ac:dyDescent="0.3">
      <c r="A806" s="352">
        <v>800</v>
      </c>
      <c r="B806" s="376" t="s">
        <v>40</v>
      </c>
      <c r="C806" s="44" t="s">
        <v>884</v>
      </c>
      <c r="D806" s="352"/>
      <c r="E806" s="376" t="s">
        <v>20</v>
      </c>
      <c r="F806" s="44" t="s">
        <v>2194</v>
      </c>
      <c r="G806" s="376" t="s">
        <v>184</v>
      </c>
      <c r="H806" s="590">
        <v>514.31356000000005</v>
      </c>
      <c r="I806" s="352">
        <v>1</v>
      </c>
      <c r="J806" s="590">
        <v>514.31356000000005</v>
      </c>
      <c r="K806" s="590">
        <v>514.31356000000005</v>
      </c>
      <c r="L806" s="376">
        <v>1</v>
      </c>
      <c r="M806" s="590">
        <v>514.31356000000005</v>
      </c>
      <c r="N806" s="6" t="s">
        <v>1692</v>
      </c>
      <c r="O806" s="377">
        <v>45659</v>
      </c>
      <c r="P806" s="33" t="str">
        <f>HYPERLINK("https://my.zakupivli.pro/remote/dispatcher/state_purchase_view/56325016", "UA-2025-01-02-003891-a")</f>
        <v>UA-2025-01-02-003891-a</v>
      </c>
      <c r="Q806" s="376">
        <v>514.31356000000005</v>
      </c>
      <c r="R806" s="376">
        <v>1</v>
      </c>
      <c r="S806" s="376">
        <v>514.31356000000005</v>
      </c>
      <c r="T806" s="377">
        <v>45659</v>
      </c>
      <c r="U806" s="352"/>
      <c r="V806" s="376" t="s">
        <v>59</v>
      </c>
    </row>
    <row r="807" spans="1:22" ht="62.4" x14ac:dyDescent="0.3">
      <c r="A807" s="352">
        <v>801</v>
      </c>
      <c r="B807" s="446" t="s">
        <v>40</v>
      </c>
      <c r="C807" s="452" t="s">
        <v>1991</v>
      </c>
      <c r="D807" s="446"/>
      <c r="E807" s="446" t="s">
        <v>20</v>
      </c>
      <c r="F807" s="452" t="s">
        <v>1688</v>
      </c>
      <c r="G807" s="376" t="s">
        <v>184</v>
      </c>
      <c r="H807" s="590">
        <v>62.57461</v>
      </c>
      <c r="I807" s="352">
        <v>1</v>
      </c>
      <c r="J807" s="590">
        <v>62.57461</v>
      </c>
      <c r="K807" s="590">
        <v>62.57461</v>
      </c>
      <c r="L807" s="376">
        <v>1</v>
      </c>
      <c r="M807" s="590">
        <v>62.57461</v>
      </c>
      <c r="N807" s="6" t="s">
        <v>1693</v>
      </c>
      <c r="O807" s="353">
        <v>45659</v>
      </c>
      <c r="P807" s="33" t="str">
        <f>HYPERLINK("https://my.zakupivli.pro/remote/dispatcher/state_purchase_view/56319993", "UA-2025-01-02-001786-a")</f>
        <v>UA-2025-01-02-001786-a</v>
      </c>
      <c r="Q807" s="376">
        <v>62.57461</v>
      </c>
      <c r="R807" s="376">
        <v>1</v>
      </c>
      <c r="S807" s="376">
        <v>62.57461</v>
      </c>
      <c r="T807" s="377">
        <v>45657</v>
      </c>
      <c r="U807" s="352"/>
      <c r="V807" s="376" t="s">
        <v>59</v>
      </c>
    </row>
    <row r="808" spans="1:22" ht="188.4" customHeight="1" x14ac:dyDescent="0.3">
      <c r="A808" s="352">
        <v>802</v>
      </c>
      <c r="B808" s="376" t="s">
        <v>40</v>
      </c>
      <c r="C808" s="44" t="s">
        <v>41</v>
      </c>
      <c r="D808" s="352"/>
      <c r="E808" s="376" t="s">
        <v>20</v>
      </c>
      <c r="F808" s="44" t="s">
        <v>2193</v>
      </c>
      <c r="G808" s="376" t="s">
        <v>184</v>
      </c>
      <c r="H808" s="590">
        <v>45.181690000000003</v>
      </c>
      <c r="I808" s="352">
        <v>1</v>
      </c>
      <c r="J808" s="590">
        <v>45.181690000000003</v>
      </c>
      <c r="K808" s="590">
        <v>45.181690000000003</v>
      </c>
      <c r="L808" s="376">
        <v>1</v>
      </c>
      <c r="M808" s="590">
        <v>45.181690000000003</v>
      </c>
      <c r="N808" s="6" t="s">
        <v>1694</v>
      </c>
      <c r="O808" s="377">
        <v>45659</v>
      </c>
      <c r="P808" s="33" t="str">
        <f>HYPERLINK("https://my.zakupivli.pro/remote/dispatcher/state_purchase_view/56319028", "UA-2025-01-02-001375-a")</f>
        <v>UA-2025-01-02-001375-a</v>
      </c>
      <c r="Q808" s="376">
        <v>45.181690000000003</v>
      </c>
      <c r="R808" s="376">
        <v>1</v>
      </c>
      <c r="S808" s="376">
        <v>45.181690000000003</v>
      </c>
      <c r="T808" s="377">
        <v>45657</v>
      </c>
      <c r="U808" s="352"/>
      <c r="V808" s="376" t="s">
        <v>59</v>
      </c>
    </row>
    <row r="809" spans="1:22" ht="43.2" x14ac:dyDescent="0.3">
      <c r="A809" s="352">
        <v>803</v>
      </c>
      <c r="B809" s="376" t="s">
        <v>21</v>
      </c>
      <c r="C809" s="44" t="s">
        <v>176</v>
      </c>
      <c r="D809" s="395" t="s">
        <v>58</v>
      </c>
      <c r="E809" s="376" t="s">
        <v>75</v>
      </c>
      <c r="F809" s="44" t="s">
        <v>2192</v>
      </c>
      <c r="G809" s="352" t="s">
        <v>186</v>
      </c>
      <c r="H809" s="590"/>
      <c r="I809" s="352">
        <v>8</v>
      </c>
      <c r="J809" s="590">
        <v>6134.9338399999997</v>
      </c>
      <c r="K809" s="590"/>
      <c r="L809" s="376">
        <v>8</v>
      </c>
      <c r="M809" s="590">
        <v>6134.9338399999997</v>
      </c>
      <c r="N809" s="6" t="s">
        <v>1699</v>
      </c>
      <c r="O809" s="377">
        <v>45659</v>
      </c>
      <c r="P809" s="33" t="str">
        <f>HYPERLINK("https://my.zakupivli.pro/remote/dispatcher/state_purchase_view/56343850", "UA-2025-01-03-004740-a")</f>
        <v>UA-2025-01-03-004740-a</v>
      </c>
      <c r="Q809" s="352"/>
      <c r="R809" s="352"/>
      <c r="S809" s="352"/>
      <c r="T809" s="353"/>
      <c r="U809" s="352" t="s">
        <v>1704</v>
      </c>
      <c r="V809" s="352"/>
    </row>
    <row r="810" spans="1:22" ht="43.2" x14ac:dyDescent="0.3">
      <c r="A810" s="352">
        <v>804</v>
      </c>
      <c r="B810" s="376" t="s">
        <v>21</v>
      </c>
      <c r="C810" s="44" t="s">
        <v>969</v>
      </c>
      <c r="D810" s="395" t="s">
        <v>58</v>
      </c>
      <c r="E810" s="376" t="s">
        <v>75</v>
      </c>
      <c r="F810" s="44" t="s">
        <v>2191</v>
      </c>
      <c r="G810" s="352" t="s">
        <v>186</v>
      </c>
      <c r="H810" s="590"/>
      <c r="I810" s="352">
        <v>7</v>
      </c>
      <c r="J810" s="590">
        <v>701.4</v>
      </c>
      <c r="K810" s="590"/>
      <c r="L810" s="376">
        <v>7</v>
      </c>
      <c r="M810" s="590">
        <v>701.4</v>
      </c>
      <c r="N810" s="6" t="s">
        <v>1700</v>
      </c>
      <c r="O810" s="377">
        <v>45659</v>
      </c>
      <c r="P810" s="33" t="str">
        <f>HYPERLINK("https://my.zakupivli.pro/remote/dispatcher/state_purchase_view/56341932", "UA-2025-01-03-003984-a")</f>
        <v>UA-2025-01-03-003984-a</v>
      </c>
      <c r="Q810" s="352"/>
      <c r="R810" s="352"/>
      <c r="S810" s="352"/>
      <c r="T810" s="353"/>
      <c r="U810" s="352" t="s">
        <v>1793</v>
      </c>
      <c r="V810" s="352"/>
    </row>
    <row r="811" spans="1:22" ht="43.2" x14ac:dyDescent="0.3">
      <c r="A811" s="352">
        <v>805</v>
      </c>
      <c r="B811" s="446" t="s">
        <v>21</v>
      </c>
      <c r="C811" s="452" t="s">
        <v>2190</v>
      </c>
      <c r="D811" s="446" t="s">
        <v>58</v>
      </c>
      <c r="E811" s="446" t="s">
        <v>75</v>
      </c>
      <c r="F811" s="452" t="s">
        <v>1696</v>
      </c>
      <c r="G811" s="352" t="s">
        <v>186</v>
      </c>
      <c r="H811" s="590"/>
      <c r="I811" s="352">
        <v>7</v>
      </c>
      <c r="J811" s="590">
        <v>225.74142000000001</v>
      </c>
      <c r="K811" s="590"/>
      <c r="L811" s="376">
        <v>7</v>
      </c>
      <c r="M811" s="590">
        <v>225.74142000000001</v>
      </c>
      <c r="N811" s="6" t="s">
        <v>1701</v>
      </c>
      <c r="O811" s="377">
        <v>45659</v>
      </c>
      <c r="P811" s="33" t="str">
        <f>HYPERLINK("https://my.zakupivli.pro/remote/dispatcher/state_purchase_view/56341932", "UA-2025-01-03-003984-a")</f>
        <v>UA-2025-01-03-003984-a</v>
      </c>
      <c r="Q811" s="352"/>
      <c r="R811" s="352">
        <v>7</v>
      </c>
      <c r="S811" s="352">
        <v>201.99799999999999</v>
      </c>
      <c r="T811" s="353">
        <v>45687</v>
      </c>
      <c r="U811" s="352"/>
      <c r="V811" s="352"/>
    </row>
    <row r="812" spans="1:22" ht="43.2" x14ac:dyDescent="0.3">
      <c r="A812" s="352">
        <v>806</v>
      </c>
      <c r="B812" s="376" t="s">
        <v>21</v>
      </c>
      <c r="C812" s="44" t="s">
        <v>2190</v>
      </c>
      <c r="D812" s="395" t="s">
        <v>58</v>
      </c>
      <c r="E812" s="376" t="s">
        <v>75</v>
      </c>
      <c r="F812" s="44" t="s">
        <v>1697</v>
      </c>
      <c r="G812" s="352" t="s">
        <v>186</v>
      </c>
      <c r="H812" s="590"/>
      <c r="I812" s="352">
        <v>28</v>
      </c>
      <c r="J812" s="590">
        <v>137.03142</v>
      </c>
      <c r="K812" s="590"/>
      <c r="L812" s="376">
        <v>28</v>
      </c>
      <c r="M812" s="590">
        <v>137.03142</v>
      </c>
      <c r="N812" s="6" t="s">
        <v>1702</v>
      </c>
      <c r="O812" s="377">
        <v>45659</v>
      </c>
      <c r="P812" s="33" t="str">
        <f>HYPERLINK("https://my.zakupivli.pro/remote/dispatcher/state_purchase_view/56341932", "UA-2025-01-03-003984-a")</f>
        <v>UA-2025-01-03-003984-a</v>
      </c>
      <c r="Q812" s="352"/>
      <c r="R812" s="352">
        <v>28</v>
      </c>
      <c r="S812" s="352">
        <v>132.8665</v>
      </c>
      <c r="T812" s="353">
        <v>45679</v>
      </c>
      <c r="U812" s="352"/>
      <c r="V812" s="352"/>
    </row>
    <row r="813" spans="1:22" ht="43.2" x14ac:dyDescent="0.3">
      <c r="A813" s="352">
        <v>807</v>
      </c>
      <c r="B813" s="376" t="s">
        <v>21</v>
      </c>
      <c r="C813" s="44" t="s">
        <v>2190</v>
      </c>
      <c r="D813" s="395" t="s">
        <v>58</v>
      </c>
      <c r="E813" s="376" t="s">
        <v>75</v>
      </c>
      <c r="F813" s="44" t="s">
        <v>1698</v>
      </c>
      <c r="G813" s="352" t="s">
        <v>186</v>
      </c>
      <c r="H813" s="590"/>
      <c r="I813" s="352">
        <v>4</v>
      </c>
      <c r="J813" s="590">
        <v>86.76</v>
      </c>
      <c r="K813" s="590"/>
      <c r="L813" s="376">
        <v>4</v>
      </c>
      <c r="M813" s="590">
        <v>86.76</v>
      </c>
      <c r="N813" s="6" t="s">
        <v>1703</v>
      </c>
      <c r="O813" s="377">
        <v>45659</v>
      </c>
      <c r="P813" s="33" t="str">
        <f>HYPERLINK("https://my.zakupivli.pro/remote/dispatcher/state_purchase_view/56341932", "UA-2025-01-03-003984-a")</f>
        <v>UA-2025-01-03-003984-a</v>
      </c>
      <c r="Q813" s="352"/>
      <c r="R813" s="352"/>
      <c r="S813" s="352"/>
      <c r="T813" s="353"/>
      <c r="U813" s="399" t="s">
        <v>1793</v>
      </c>
      <c r="V813" s="352"/>
    </row>
    <row r="814" spans="1:22" ht="43.2" x14ac:dyDescent="0.3">
      <c r="A814" s="352">
        <v>808</v>
      </c>
      <c r="B814" s="378" t="s">
        <v>21</v>
      </c>
      <c r="C814" s="44" t="s">
        <v>2037</v>
      </c>
      <c r="D814" s="395" t="s">
        <v>58</v>
      </c>
      <c r="E814" s="378" t="s">
        <v>75</v>
      </c>
      <c r="F814" s="44" t="s">
        <v>1695</v>
      </c>
      <c r="G814" s="378" t="s">
        <v>186</v>
      </c>
      <c r="H814" s="590"/>
      <c r="I814" s="378">
        <v>8</v>
      </c>
      <c r="J814" s="590">
        <v>6617.085</v>
      </c>
      <c r="K814" s="590"/>
      <c r="L814" s="378">
        <v>8</v>
      </c>
      <c r="M814" s="590">
        <v>6617.085</v>
      </c>
      <c r="N814" s="6" t="s">
        <v>1705</v>
      </c>
      <c r="O814" s="353">
        <v>45664</v>
      </c>
      <c r="P814" s="33" t="str">
        <f>HYPERLINK("https://my.zakupivli.pro/remote/dispatcher/state_purchase_view/56380662", "UA-2025-01-07-003941-a")</f>
        <v>UA-2025-01-07-003941-a</v>
      </c>
      <c r="Q814" s="352"/>
      <c r="R814" s="352">
        <v>8</v>
      </c>
      <c r="S814" s="352">
        <v>6365.4449999999997</v>
      </c>
      <c r="T814" s="353">
        <v>45685</v>
      </c>
      <c r="U814" s="352"/>
      <c r="V814" s="352"/>
    </row>
    <row r="815" spans="1:22" ht="62.4" x14ac:dyDescent="0.3">
      <c r="A815" s="352">
        <v>809</v>
      </c>
      <c r="B815" s="380" t="s">
        <v>40</v>
      </c>
      <c r="C815" s="44" t="s">
        <v>2008</v>
      </c>
      <c r="D815" s="352"/>
      <c r="E815" s="380" t="s">
        <v>20</v>
      </c>
      <c r="F815" s="44" t="s">
        <v>1707</v>
      </c>
      <c r="G815" s="352" t="s">
        <v>184</v>
      </c>
      <c r="H815" s="590">
        <v>448.03685999999999</v>
      </c>
      <c r="I815" s="352">
        <v>1</v>
      </c>
      <c r="J815" s="590">
        <v>448.03685999999999</v>
      </c>
      <c r="K815" s="590">
        <v>448.03685999999999</v>
      </c>
      <c r="L815" s="380">
        <v>1</v>
      </c>
      <c r="M815" s="590">
        <v>448.03685999999999</v>
      </c>
      <c r="N815" s="6" t="s">
        <v>1710</v>
      </c>
      <c r="O815" s="353">
        <v>45665</v>
      </c>
      <c r="P815" s="33" t="str">
        <f>HYPERLINK("https://my.zakupivli.pro/remote/dispatcher/state_purchase_view/56409739", "UA-2025-01-08-007829-a")</f>
        <v>UA-2025-01-08-007829-a</v>
      </c>
      <c r="Q815" s="380">
        <v>448.03685999999999</v>
      </c>
      <c r="R815" s="380">
        <v>1</v>
      </c>
      <c r="S815" s="380">
        <v>448.03685999999999</v>
      </c>
      <c r="T815" s="353">
        <v>45665</v>
      </c>
      <c r="U815" s="352"/>
      <c r="V815" s="380" t="s">
        <v>59</v>
      </c>
    </row>
    <row r="816" spans="1:22" ht="43.2" x14ac:dyDescent="0.3">
      <c r="A816" s="352">
        <v>810</v>
      </c>
      <c r="B816" s="446" t="s">
        <v>21</v>
      </c>
      <c r="C816" s="452" t="s">
        <v>2183</v>
      </c>
      <c r="D816" s="446" t="s">
        <v>58</v>
      </c>
      <c r="E816" s="446" t="s">
        <v>75</v>
      </c>
      <c r="F816" s="452" t="s">
        <v>1708</v>
      </c>
      <c r="G816" s="352" t="s">
        <v>186</v>
      </c>
      <c r="H816" s="590"/>
      <c r="I816" s="352">
        <v>35</v>
      </c>
      <c r="J816" s="590">
        <v>5718.64725</v>
      </c>
      <c r="K816" s="590"/>
      <c r="L816" s="380">
        <v>35</v>
      </c>
      <c r="M816" s="590">
        <v>5718.64725</v>
      </c>
      <c r="N816" s="6" t="s">
        <v>1711</v>
      </c>
      <c r="O816" s="381">
        <v>45665</v>
      </c>
      <c r="P816" s="33" t="str">
        <f>HYPERLINK("https://my.zakupivli.pro/remote/dispatcher/state_purchase_view/56394826", "UA-2025-01-08-001594-a")</f>
        <v>UA-2025-01-08-001594-a</v>
      </c>
      <c r="Q816" s="352"/>
      <c r="R816" s="352">
        <v>35</v>
      </c>
      <c r="S816" s="352">
        <v>5708.6121999999996</v>
      </c>
      <c r="T816" s="353">
        <v>45686</v>
      </c>
      <c r="U816" s="352"/>
      <c r="V816" s="352"/>
    </row>
    <row r="817" spans="1:22" ht="43.2" x14ac:dyDescent="0.3">
      <c r="A817" s="352">
        <v>811</v>
      </c>
      <c r="B817" s="380" t="s">
        <v>21</v>
      </c>
      <c r="C817" s="44" t="s">
        <v>2183</v>
      </c>
      <c r="D817" s="395" t="s">
        <v>58</v>
      </c>
      <c r="E817" s="380" t="s">
        <v>75</v>
      </c>
      <c r="F817" s="44" t="s">
        <v>1709</v>
      </c>
      <c r="G817" s="352" t="s">
        <v>186</v>
      </c>
      <c r="H817" s="590"/>
      <c r="I817" s="352">
        <v>4</v>
      </c>
      <c r="J817" s="590">
        <v>1862.7256400000001</v>
      </c>
      <c r="K817" s="590"/>
      <c r="L817" s="380">
        <v>4</v>
      </c>
      <c r="M817" s="590">
        <v>1862.7256400000001</v>
      </c>
      <c r="N817" s="6" t="s">
        <v>1712</v>
      </c>
      <c r="O817" s="381">
        <v>45665</v>
      </c>
      <c r="P817" s="33" t="str">
        <f>HYPERLINK("https://my.zakupivli.pro/remote/dispatcher/state_purchase_view/56394826", "UA-2025-01-08-001594-a")</f>
        <v>UA-2025-01-08-001594-a</v>
      </c>
      <c r="Q817" s="352"/>
      <c r="R817" s="352">
        <v>4</v>
      </c>
      <c r="S817" s="352">
        <v>1788.7212</v>
      </c>
      <c r="T817" s="400">
        <v>45686</v>
      </c>
      <c r="U817" s="352"/>
      <c r="V817" s="352"/>
    </row>
    <row r="818" spans="1:22" ht="62.4" x14ac:dyDescent="0.3">
      <c r="A818" s="352">
        <v>812</v>
      </c>
      <c r="B818" s="383" t="s">
        <v>21</v>
      </c>
      <c r="C818" s="44" t="s">
        <v>412</v>
      </c>
      <c r="D818" s="395" t="s">
        <v>58</v>
      </c>
      <c r="E818" s="383" t="s">
        <v>20</v>
      </c>
      <c r="F818" s="44" t="s">
        <v>2189</v>
      </c>
      <c r="G818" s="352" t="s">
        <v>185</v>
      </c>
      <c r="H818" s="590">
        <v>170.83332999999999</v>
      </c>
      <c r="I818" s="352">
        <v>1</v>
      </c>
      <c r="J818" s="590">
        <v>170.83332999999999</v>
      </c>
      <c r="K818" s="590">
        <v>170.83332999999999</v>
      </c>
      <c r="L818" s="383">
        <v>1</v>
      </c>
      <c r="M818" s="590">
        <v>170.83332999999999</v>
      </c>
      <c r="N818" s="6" t="s">
        <v>1715</v>
      </c>
      <c r="O818" s="353">
        <v>45671</v>
      </c>
      <c r="P818" s="33" t="str">
        <f>HYPERLINK("https://my.zakupivli.pro/remote/dispatcher/state_purchase_view/56534913", "UA-2025-01-14-013229-a")</f>
        <v>UA-2025-01-14-013229-a</v>
      </c>
      <c r="Q818" s="352">
        <v>164.16667000000001</v>
      </c>
      <c r="R818" s="352">
        <v>1</v>
      </c>
      <c r="S818" s="422">
        <v>164.16667000000001</v>
      </c>
      <c r="T818" s="353">
        <v>45700</v>
      </c>
      <c r="U818" s="352"/>
      <c r="V818" s="352"/>
    </row>
    <row r="819" spans="1:22" ht="62.4" x14ac:dyDescent="0.3">
      <c r="A819" s="352">
        <v>813</v>
      </c>
      <c r="B819" s="383" t="s">
        <v>21</v>
      </c>
      <c r="C819" s="44" t="s">
        <v>412</v>
      </c>
      <c r="D819" s="395" t="s">
        <v>58</v>
      </c>
      <c r="E819" s="383" t="s">
        <v>75</v>
      </c>
      <c r="F819" s="44" t="s">
        <v>2180</v>
      </c>
      <c r="G819" s="352" t="s">
        <v>186</v>
      </c>
      <c r="H819" s="590"/>
      <c r="I819" s="352">
        <v>36</v>
      </c>
      <c r="J819" s="590">
        <v>14805.525</v>
      </c>
      <c r="K819" s="590"/>
      <c r="L819" s="383">
        <v>36</v>
      </c>
      <c r="M819" s="590">
        <v>14805.525</v>
      </c>
      <c r="N819" s="6" t="s">
        <v>1716</v>
      </c>
      <c r="O819" s="382">
        <v>45671</v>
      </c>
      <c r="P819" s="33" t="str">
        <f>HYPERLINK("https://my.zakupivli.pro/remote/dispatcher/state_purchase_view/56533770", "UA-2025-01-14-012680-a")</f>
        <v>UA-2025-01-14-012680-a</v>
      </c>
      <c r="Q819" s="352"/>
      <c r="R819" s="352"/>
      <c r="S819" s="352"/>
      <c r="T819" s="353"/>
      <c r="U819" s="352" t="s">
        <v>1875</v>
      </c>
      <c r="V819" s="352"/>
    </row>
    <row r="820" spans="1:22" ht="43.2" x14ac:dyDescent="0.3">
      <c r="A820" s="352">
        <v>814</v>
      </c>
      <c r="B820" s="383" t="s">
        <v>21</v>
      </c>
      <c r="C820" s="44" t="s">
        <v>2188</v>
      </c>
      <c r="D820" s="395" t="s">
        <v>58</v>
      </c>
      <c r="E820" s="383" t="s">
        <v>75</v>
      </c>
      <c r="F820" s="44" t="s">
        <v>1713</v>
      </c>
      <c r="G820" s="352" t="s">
        <v>186</v>
      </c>
      <c r="H820" s="590"/>
      <c r="I820" s="352">
        <v>39</v>
      </c>
      <c r="J820" s="590">
        <v>1758.6956700000001</v>
      </c>
      <c r="K820" s="590"/>
      <c r="L820" s="383">
        <v>39</v>
      </c>
      <c r="M820" s="590">
        <v>1758.6956700000001</v>
      </c>
      <c r="N820" s="6" t="s">
        <v>1717</v>
      </c>
      <c r="O820" s="382">
        <v>45671</v>
      </c>
      <c r="P820" s="33" t="str">
        <f>HYPERLINK("https://my.zakupivli.pro/remote/dispatcher/state_purchase_view/56516163", "UA-2025-01-14-005210-a")</f>
        <v>UA-2025-01-14-005210-a</v>
      </c>
      <c r="Q820" s="352"/>
      <c r="R820" s="352">
        <v>39</v>
      </c>
      <c r="S820" s="352">
        <v>1382.2539999999999</v>
      </c>
      <c r="T820" s="353">
        <v>45691</v>
      </c>
      <c r="U820" s="352"/>
      <c r="V820" s="352"/>
    </row>
    <row r="821" spans="1:22" ht="46.8" x14ac:dyDescent="0.3">
      <c r="A821" s="352">
        <v>815</v>
      </c>
      <c r="B821" s="446" t="s">
        <v>21</v>
      </c>
      <c r="C821" s="452" t="s">
        <v>171</v>
      </c>
      <c r="D821" s="446" t="s">
        <v>58</v>
      </c>
      <c r="E821" s="446" t="s">
        <v>75</v>
      </c>
      <c r="F821" s="452" t="s">
        <v>2187</v>
      </c>
      <c r="G821" s="352" t="s">
        <v>186</v>
      </c>
      <c r="H821" s="590"/>
      <c r="I821" s="352">
        <v>2</v>
      </c>
      <c r="J821" s="590">
        <v>790</v>
      </c>
      <c r="K821" s="590"/>
      <c r="L821" s="383">
        <v>2</v>
      </c>
      <c r="M821" s="590">
        <v>790</v>
      </c>
      <c r="N821" s="6" t="s">
        <v>1718</v>
      </c>
      <c r="O821" s="382">
        <v>45671</v>
      </c>
      <c r="P821" s="33" t="str">
        <f>HYPERLINK("https://my.zakupivli.pro/remote/dispatcher/state_purchase_view/56511166", "UA-2025-01-14-003223-a")</f>
        <v>UA-2025-01-14-003223-a</v>
      </c>
      <c r="Q821" s="352"/>
      <c r="R821" s="352">
        <v>2</v>
      </c>
      <c r="S821" s="352">
        <v>598.31700000000001</v>
      </c>
      <c r="T821" s="423">
        <v>45691</v>
      </c>
      <c r="U821" s="352"/>
      <c r="V821" s="352"/>
    </row>
    <row r="822" spans="1:22" ht="46.8" x14ac:dyDescent="0.3">
      <c r="A822" s="352">
        <v>816</v>
      </c>
      <c r="B822" s="383" t="s">
        <v>21</v>
      </c>
      <c r="C822" s="44" t="s">
        <v>2186</v>
      </c>
      <c r="D822" s="395" t="s">
        <v>58</v>
      </c>
      <c r="E822" s="383" t="s">
        <v>75</v>
      </c>
      <c r="F822" s="44" t="s">
        <v>1714</v>
      </c>
      <c r="G822" s="352" t="s">
        <v>186</v>
      </c>
      <c r="H822" s="590"/>
      <c r="I822" s="352">
        <v>32</v>
      </c>
      <c r="J822" s="590">
        <v>1000.75</v>
      </c>
      <c r="K822" s="590"/>
      <c r="L822" s="383">
        <v>32</v>
      </c>
      <c r="M822" s="590">
        <v>1000.75</v>
      </c>
      <c r="N822" s="6" t="s">
        <v>1719</v>
      </c>
      <c r="O822" s="382">
        <v>45671</v>
      </c>
      <c r="P822" s="33" t="str">
        <f>HYPERLINK("https://my.zakupivli.pro/remote/dispatcher/state_purchase_view/56511166", "UA-2025-01-14-003223-a")</f>
        <v>UA-2025-01-14-003223-a</v>
      </c>
      <c r="Q822" s="352"/>
      <c r="R822" s="352">
        <v>32</v>
      </c>
      <c r="S822" s="352">
        <v>798.7482</v>
      </c>
      <c r="T822" s="353">
        <v>45687</v>
      </c>
      <c r="U822" s="352"/>
      <c r="V822" s="352"/>
    </row>
    <row r="823" spans="1:22" ht="62.4" x14ac:dyDescent="0.3">
      <c r="A823" s="352">
        <v>817</v>
      </c>
      <c r="B823" s="384" t="s">
        <v>21</v>
      </c>
      <c r="C823" s="44" t="s">
        <v>2007</v>
      </c>
      <c r="D823" s="395" t="s">
        <v>58</v>
      </c>
      <c r="E823" s="384" t="s">
        <v>75</v>
      </c>
      <c r="F823" s="44" t="s">
        <v>1720</v>
      </c>
      <c r="G823" s="352" t="s">
        <v>186</v>
      </c>
      <c r="H823" s="590"/>
      <c r="I823" s="352">
        <v>129</v>
      </c>
      <c r="J823" s="590">
        <v>11325</v>
      </c>
      <c r="K823" s="590"/>
      <c r="L823" s="384">
        <v>129</v>
      </c>
      <c r="M823" s="590">
        <v>11325</v>
      </c>
      <c r="N823" s="6" t="s">
        <v>1724</v>
      </c>
      <c r="O823" s="353">
        <v>45673</v>
      </c>
      <c r="P823" s="120" t="str">
        <f>HYPERLINK("https://my.zakupivli.pro/remote/dispatcher/state_purchase_view/56621501", "UA-2025-01-16-015154-a")</f>
        <v>UA-2025-01-16-015154-a</v>
      </c>
      <c r="Q823" s="352"/>
      <c r="R823" s="352">
        <v>129</v>
      </c>
      <c r="S823" s="352">
        <v>10658.2377</v>
      </c>
      <c r="T823" s="353">
        <v>45694</v>
      </c>
      <c r="U823" s="352"/>
      <c r="V823" s="352"/>
    </row>
    <row r="824" spans="1:22" ht="109.2" x14ac:dyDescent="0.3">
      <c r="A824" s="352">
        <v>818</v>
      </c>
      <c r="B824" s="446" t="s">
        <v>21</v>
      </c>
      <c r="C824" s="452" t="s">
        <v>2185</v>
      </c>
      <c r="D824" s="446" t="s">
        <v>58</v>
      </c>
      <c r="E824" s="446" t="s">
        <v>75</v>
      </c>
      <c r="F824" s="452" t="s">
        <v>1721</v>
      </c>
      <c r="G824" s="352" t="s">
        <v>186</v>
      </c>
      <c r="H824" s="590"/>
      <c r="I824" s="352">
        <v>2</v>
      </c>
      <c r="J824" s="590">
        <v>191.1</v>
      </c>
      <c r="K824" s="590"/>
      <c r="L824" s="384">
        <v>2</v>
      </c>
      <c r="M824" s="590">
        <v>191.1</v>
      </c>
      <c r="N824" s="6" t="s">
        <v>1725</v>
      </c>
      <c r="O824" s="385">
        <v>45673</v>
      </c>
      <c r="P824" s="120" t="str">
        <f>HYPERLINK("https://my.zakupivli.pro/remote/dispatcher/state_purchase_view/56611663", "UA-2025-01-16-010939-a")</f>
        <v>UA-2025-01-16-010939-a</v>
      </c>
      <c r="Q824" s="352"/>
      <c r="R824" s="352"/>
      <c r="S824" s="352"/>
      <c r="T824" s="353"/>
      <c r="U824" s="352" t="s">
        <v>1793</v>
      </c>
      <c r="V824" s="352"/>
    </row>
    <row r="825" spans="1:22" ht="62.4" x14ac:dyDescent="0.3">
      <c r="A825" s="352">
        <v>819</v>
      </c>
      <c r="B825" s="384" t="s">
        <v>21</v>
      </c>
      <c r="C825" s="44" t="s">
        <v>412</v>
      </c>
      <c r="D825" s="352"/>
      <c r="E825" s="384" t="s">
        <v>20</v>
      </c>
      <c r="F825" s="44" t="s">
        <v>2184</v>
      </c>
      <c r="G825" s="352" t="s">
        <v>185</v>
      </c>
      <c r="H825" s="590">
        <v>73.75</v>
      </c>
      <c r="I825" s="352">
        <v>1</v>
      </c>
      <c r="J825" s="590">
        <v>73.75</v>
      </c>
      <c r="K825" s="590">
        <v>73.75</v>
      </c>
      <c r="L825" s="384">
        <v>1</v>
      </c>
      <c r="M825" s="590">
        <v>73.75</v>
      </c>
      <c r="N825" s="6" t="s">
        <v>1726</v>
      </c>
      <c r="O825" s="385">
        <v>45673</v>
      </c>
      <c r="P825" s="120" t="str">
        <f>HYPERLINK("https://my.zakupivli.pro/remote/dispatcher/state_purchase_view/56598991", "UA-2025-01-16-005603-a")</f>
        <v>UA-2025-01-16-005603-a</v>
      </c>
      <c r="Q825" s="117">
        <v>73.75</v>
      </c>
      <c r="R825" s="384">
        <v>1</v>
      </c>
      <c r="S825" s="117">
        <v>73.75</v>
      </c>
      <c r="T825" s="385">
        <v>45673</v>
      </c>
      <c r="U825" s="352"/>
      <c r="V825" s="384" t="s">
        <v>59</v>
      </c>
    </row>
    <row r="826" spans="1:22" ht="62.4" x14ac:dyDescent="0.3">
      <c r="A826" s="352">
        <v>820</v>
      </c>
      <c r="B826" s="384" t="s">
        <v>21</v>
      </c>
      <c r="C826" s="44" t="s">
        <v>2001</v>
      </c>
      <c r="D826" s="352"/>
      <c r="E826" s="384" t="s">
        <v>20</v>
      </c>
      <c r="F826" s="44" t="s">
        <v>1722</v>
      </c>
      <c r="G826" s="352" t="s">
        <v>185</v>
      </c>
      <c r="H826" s="590">
        <v>73.5</v>
      </c>
      <c r="I826" s="352">
        <v>1</v>
      </c>
      <c r="J826" s="590">
        <v>73.5</v>
      </c>
      <c r="K826" s="590">
        <v>73.5</v>
      </c>
      <c r="L826" s="384">
        <v>1</v>
      </c>
      <c r="M826" s="590">
        <v>73.5</v>
      </c>
      <c r="N826" s="6" t="s">
        <v>1727</v>
      </c>
      <c r="O826" s="385">
        <v>45673</v>
      </c>
      <c r="P826" s="120" t="str">
        <f>HYPERLINK("https://my.zakupivli.pro/remote/dispatcher/state_purchase_view/56598627", "UA-2025-01-16-005354-a")</f>
        <v>UA-2025-01-16-005354-a</v>
      </c>
      <c r="Q826" s="117">
        <v>73.5</v>
      </c>
      <c r="R826" s="384">
        <v>1</v>
      </c>
      <c r="S826" s="117">
        <v>73.5</v>
      </c>
      <c r="T826" s="385">
        <v>45673</v>
      </c>
      <c r="U826" s="352"/>
      <c r="V826" s="384" t="s">
        <v>59</v>
      </c>
    </row>
    <row r="827" spans="1:22" ht="78" x14ac:dyDescent="0.3">
      <c r="A827" s="352">
        <v>821</v>
      </c>
      <c r="B827" s="446" t="s">
        <v>40</v>
      </c>
      <c r="C827" s="452" t="s">
        <v>1991</v>
      </c>
      <c r="D827" s="446"/>
      <c r="E827" s="446" t="s">
        <v>20</v>
      </c>
      <c r="F827" s="452" t="s">
        <v>1728</v>
      </c>
      <c r="G827" s="352" t="s">
        <v>184</v>
      </c>
      <c r="H827" s="590">
        <v>48.730989999999998</v>
      </c>
      <c r="I827" s="352">
        <v>1</v>
      </c>
      <c r="J827" s="590">
        <v>48.730989999999998</v>
      </c>
      <c r="K827" s="590">
        <v>48.730989999999998</v>
      </c>
      <c r="L827" s="386">
        <v>1</v>
      </c>
      <c r="M827" s="590">
        <v>48.730989999999998</v>
      </c>
      <c r="N827" s="6" t="s">
        <v>1730</v>
      </c>
      <c r="O827" s="387">
        <v>45673</v>
      </c>
      <c r="P827" s="33" t="str">
        <f>HYPERLINK("https://my.zakupivli.pro/remote/dispatcher/state_purchase_view/56624862", "UA-2025-01-16-016675-a")</f>
        <v>UA-2025-01-16-016675-a</v>
      </c>
      <c r="Q827" s="386">
        <v>48.730989999999998</v>
      </c>
      <c r="R827" s="386">
        <v>1</v>
      </c>
      <c r="S827" s="386">
        <v>48.730989999999998</v>
      </c>
      <c r="T827" s="387">
        <v>45673</v>
      </c>
      <c r="U827" s="352"/>
      <c r="V827" s="386" t="s">
        <v>59</v>
      </c>
    </row>
    <row r="828" spans="1:22" ht="78" x14ac:dyDescent="0.3">
      <c r="A828" s="352">
        <v>822</v>
      </c>
      <c r="B828" s="352" t="s">
        <v>40</v>
      </c>
      <c r="C828" s="44" t="s">
        <v>1991</v>
      </c>
      <c r="D828" s="352"/>
      <c r="E828" s="386" t="s">
        <v>20</v>
      </c>
      <c r="F828" s="44" t="s">
        <v>1729</v>
      </c>
      <c r="G828" s="352" t="s">
        <v>184</v>
      </c>
      <c r="H828" s="590">
        <v>51.379710000000003</v>
      </c>
      <c r="I828" s="352">
        <v>1</v>
      </c>
      <c r="J828" s="590">
        <v>51.379710000000003</v>
      </c>
      <c r="K828" s="590">
        <v>51.379710000000003</v>
      </c>
      <c r="L828" s="386">
        <v>1</v>
      </c>
      <c r="M828" s="590">
        <v>51.379710000000003</v>
      </c>
      <c r="N828" s="6" t="s">
        <v>1731</v>
      </c>
      <c r="O828" s="387">
        <v>45673</v>
      </c>
      <c r="P828" s="33" t="str">
        <f>HYPERLINK("https://my.zakupivli.pro/remote/dispatcher/state_purchase_view/56624857", "UA-2025-01-16-016667-a")</f>
        <v>UA-2025-01-16-016667-a</v>
      </c>
      <c r="Q828" s="386">
        <v>51.379710000000003</v>
      </c>
      <c r="R828" s="386">
        <v>1</v>
      </c>
      <c r="S828" s="386">
        <v>51.379710000000003</v>
      </c>
      <c r="T828" s="387">
        <v>45673</v>
      </c>
      <c r="U828" s="352"/>
      <c r="V828" s="386" t="s">
        <v>59</v>
      </c>
    </row>
    <row r="829" spans="1:22" ht="46.8" x14ac:dyDescent="0.3">
      <c r="A829" s="352">
        <v>823</v>
      </c>
      <c r="B829" s="352" t="s">
        <v>21</v>
      </c>
      <c r="C829" s="41" t="s">
        <v>2183</v>
      </c>
      <c r="D829" s="395" t="s">
        <v>58</v>
      </c>
      <c r="E829" s="352" t="s">
        <v>75</v>
      </c>
      <c r="F829" s="44" t="s">
        <v>1732</v>
      </c>
      <c r="G829" s="352" t="s">
        <v>1158</v>
      </c>
      <c r="H829" s="590"/>
      <c r="I829" s="352">
        <v>57674</v>
      </c>
      <c r="J829" s="590">
        <v>7962.5</v>
      </c>
      <c r="K829" s="590"/>
      <c r="L829" s="388">
        <v>57674</v>
      </c>
      <c r="M829" s="590">
        <v>7962.5</v>
      </c>
      <c r="N829" s="6" t="s">
        <v>1733</v>
      </c>
      <c r="O829" s="353">
        <v>45677</v>
      </c>
      <c r="P829" s="33" t="str">
        <f>HYPERLINK("https://my.zakupivli.pro/remote/dispatcher/state_purchase_view/56709458", "UA-2025-01-20-013715-a")</f>
        <v>UA-2025-01-20-013715-a</v>
      </c>
      <c r="Q829" s="352"/>
      <c r="R829" s="352">
        <v>57674</v>
      </c>
      <c r="S829" s="352">
        <v>6413.95</v>
      </c>
      <c r="T829" s="353">
        <v>45694</v>
      </c>
      <c r="U829" s="352"/>
      <c r="V829" s="352"/>
    </row>
    <row r="830" spans="1:22" ht="93.6" x14ac:dyDescent="0.3">
      <c r="A830" s="352">
        <v>824</v>
      </c>
      <c r="B830" s="352" t="s">
        <v>1150</v>
      </c>
      <c r="C830" s="452" t="s">
        <v>2182</v>
      </c>
      <c r="D830" s="446"/>
      <c r="E830" s="446" t="s">
        <v>75</v>
      </c>
      <c r="F830" s="452" t="s">
        <v>1734</v>
      </c>
      <c r="G830" s="352" t="s">
        <v>1149</v>
      </c>
      <c r="H830" s="590">
        <v>231.69</v>
      </c>
      <c r="I830" s="352">
        <v>1</v>
      </c>
      <c r="J830" s="590">
        <v>231.69</v>
      </c>
      <c r="K830" s="590">
        <v>231.69</v>
      </c>
      <c r="L830" s="389">
        <v>1</v>
      </c>
      <c r="M830" s="590">
        <v>231.69</v>
      </c>
      <c r="N830" s="6" t="s">
        <v>1737</v>
      </c>
      <c r="O830" s="353">
        <v>45678</v>
      </c>
      <c r="P830" s="33" t="str">
        <f>HYPERLINK("https://my.zakupivli.pro/remote/dispatcher/state_purchase_view/56767709", "UA-2025-01-21-018882-a")</f>
        <v>UA-2025-01-21-018882-a</v>
      </c>
      <c r="Q830" s="389">
        <v>231.69</v>
      </c>
      <c r="R830" s="389">
        <v>1</v>
      </c>
      <c r="S830" s="389">
        <v>231.69</v>
      </c>
      <c r="T830" s="390">
        <v>45678</v>
      </c>
      <c r="U830" s="352"/>
      <c r="V830" s="389" t="s">
        <v>59</v>
      </c>
    </row>
    <row r="831" spans="1:22" ht="46.8" x14ac:dyDescent="0.3">
      <c r="A831" s="352">
        <v>825</v>
      </c>
      <c r="B831" s="389" t="s">
        <v>21</v>
      </c>
      <c r="C831" s="44" t="s">
        <v>1155</v>
      </c>
      <c r="D831" s="395" t="s">
        <v>58</v>
      </c>
      <c r="E831" s="389" t="s">
        <v>75</v>
      </c>
      <c r="F831" s="44" t="s">
        <v>2181</v>
      </c>
      <c r="G831" s="352" t="s">
        <v>186</v>
      </c>
      <c r="H831" s="590"/>
      <c r="I831" s="352">
        <v>9</v>
      </c>
      <c r="J831" s="590">
        <v>1004.16667</v>
      </c>
      <c r="K831" s="590"/>
      <c r="L831" s="389">
        <v>9</v>
      </c>
      <c r="M831" s="590">
        <v>1004.16667</v>
      </c>
      <c r="N831" s="6" t="s">
        <v>1738</v>
      </c>
      <c r="O831" s="390">
        <v>45678</v>
      </c>
      <c r="P831" s="33" t="str">
        <f>HYPERLINK("https://my.zakupivli.pro/remote/dispatcher/state_purchase_view/56767093", "UA-2025-01-21-018552-a")</f>
        <v>UA-2025-01-21-018552-a</v>
      </c>
      <c r="Q831" s="352"/>
      <c r="R831" s="352">
        <v>9</v>
      </c>
      <c r="S831" s="352">
        <v>864.39030000000002</v>
      </c>
      <c r="T831" s="353">
        <v>45694</v>
      </c>
      <c r="U831" s="352"/>
      <c r="V831" s="352"/>
    </row>
    <row r="832" spans="1:22" ht="62.4" x14ac:dyDescent="0.3">
      <c r="A832" s="352">
        <v>826</v>
      </c>
      <c r="B832" s="389" t="s">
        <v>21</v>
      </c>
      <c r="C832" s="452" t="s">
        <v>412</v>
      </c>
      <c r="D832" s="446" t="s">
        <v>58</v>
      </c>
      <c r="E832" s="446" t="s">
        <v>75</v>
      </c>
      <c r="F832" s="452" t="s">
        <v>2180</v>
      </c>
      <c r="G832" s="352" t="s">
        <v>185</v>
      </c>
      <c r="H832" s="590"/>
      <c r="I832" s="352">
        <v>175</v>
      </c>
      <c r="J832" s="590">
        <v>24858.333330000001</v>
      </c>
      <c r="K832" s="590"/>
      <c r="L832" s="389">
        <v>175</v>
      </c>
      <c r="M832" s="590">
        <v>24858.333330000001</v>
      </c>
      <c r="N832" s="6" t="s">
        <v>1739</v>
      </c>
      <c r="O832" s="390">
        <v>45678</v>
      </c>
      <c r="P832" s="33" t="str">
        <f>HYPERLINK("https://my.zakupivli.pro/remote/dispatcher/state_purchase_view/56756969", "UA-2025-01-21-014078-a")</f>
        <v>UA-2025-01-21-014078-a</v>
      </c>
      <c r="Q832" s="352"/>
      <c r="R832" s="352">
        <v>175</v>
      </c>
      <c r="S832" s="352">
        <v>22198.355</v>
      </c>
      <c r="T832" s="441">
        <v>45727</v>
      </c>
      <c r="U832" s="352"/>
      <c r="V832" s="352"/>
    </row>
    <row r="833" spans="1:22" ht="62.4" x14ac:dyDescent="0.3">
      <c r="A833" s="352">
        <v>827</v>
      </c>
      <c r="B833" s="352" t="s">
        <v>40</v>
      </c>
      <c r="C833" s="44" t="s">
        <v>1991</v>
      </c>
      <c r="D833" s="352"/>
      <c r="E833" s="352" t="s">
        <v>20</v>
      </c>
      <c r="F833" s="44" t="s">
        <v>1735</v>
      </c>
      <c r="G833" s="352" t="s">
        <v>184</v>
      </c>
      <c r="H833" s="590">
        <v>357.62355000000002</v>
      </c>
      <c r="I833" s="352">
        <v>1</v>
      </c>
      <c r="J833" s="590">
        <v>357.62355000000002</v>
      </c>
      <c r="K833" s="590">
        <v>357.62355000000002</v>
      </c>
      <c r="L833" s="389">
        <v>1</v>
      </c>
      <c r="M833" s="590">
        <v>357.62355000000002</v>
      </c>
      <c r="N833" s="6" t="s">
        <v>1740</v>
      </c>
      <c r="O833" s="390">
        <v>45678</v>
      </c>
      <c r="P833" s="33" t="str">
        <f>HYPERLINK("https://my.zakupivli.pro/remote/dispatcher/state_purchase_view/56755417", "UA-2025-01-21-013373-a")</f>
        <v>UA-2025-01-21-013373-a</v>
      </c>
      <c r="Q833" s="389">
        <v>357.62355000000002</v>
      </c>
      <c r="R833" s="389">
        <v>1</v>
      </c>
      <c r="S833" s="389">
        <v>357.62355000000002</v>
      </c>
      <c r="T833" s="390">
        <v>45678</v>
      </c>
      <c r="U833" s="352"/>
      <c r="V833" s="389" t="s">
        <v>59</v>
      </c>
    </row>
    <row r="834" spans="1:22" ht="93.6" x14ac:dyDescent="0.3">
      <c r="A834" s="352">
        <v>828</v>
      </c>
      <c r="B834" s="352" t="s">
        <v>1150</v>
      </c>
      <c r="C834" s="44" t="s">
        <v>1736</v>
      </c>
      <c r="D834" s="352"/>
      <c r="E834" s="389" t="s">
        <v>75</v>
      </c>
      <c r="F834" s="44" t="s">
        <v>2179</v>
      </c>
      <c r="G834" s="352" t="s">
        <v>1149</v>
      </c>
      <c r="H834" s="590">
        <v>82.5</v>
      </c>
      <c r="I834" s="352">
        <v>1</v>
      </c>
      <c r="J834" s="590">
        <v>82.5</v>
      </c>
      <c r="K834" s="590">
        <v>82.5</v>
      </c>
      <c r="L834" s="389">
        <v>1</v>
      </c>
      <c r="M834" s="590">
        <v>82.5</v>
      </c>
      <c r="N834" s="6" t="s">
        <v>1741</v>
      </c>
      <c r="O834" s="390">
        <v>45678</v>
      </c>
      <c r="P834" s="33" t="str">
        <f>HYPERLINK("https://my.zakupivli.pro/remote/dispatcher/state_purchase_view/56754629", "UA-2025-01-21-013032-a")</f>
        <v>UA-2025-01-21-013032-a</v>
      </c>
      <c r="Q834" s="117">
        <v>82.5</v>
      </c>
      <c r="R834" s="389">
        <v>1</v>
      </c>
      <c r="S834" s="117">
        <v>82.5</v>
      </c>
      <c r="T834" s="390">
        <v>45678</v>
      </c>
      <c r="U834" s="352"/>
      <c r="V834" s="389" t="s">
        <v>59</v>
      </c>
    </row>
    <row r="835" spans="1:22" ht="43.2" x14ac:dyDescent="0.3">
      <c r="A835" s="352">
        <v>829</v>
      </c>
      <c r="B835" s="389" t="s">
        <v>21</v>
      </c>
      <c r="C835" s="44" t="s">
        <v>30</v>
      </c>
      <c r="D835" s="395" t="s">
        <v>58</v>
      </c>
      <c r="E835" s="389" t="s">
        <v>75</v>
      </c>
      <c r="F835" s="44" t="s">
        <v>2178</v>
      </c>
      <c r="G835" s="352" t="s">
        <v>186</v>
      </c>
      <c r="H835" s="590"/>
      <c r="I835" s="352">
        <v>64</v>
      </c>
      <c r="J835" s="590">
        <v>1525</v>
      </c>
      <c r="K835" s="590"/>
      <c r="L835" s="389">
        <v>64</v>
      </c>
      <c r="M835" s="590">
        <v>1525</v>
      </c>
      <c r="N835" s="6" t="s">
        <v>1742</v>
      </c>
      <c r="O835" s="390">
        <v>45678</v>
      </c>
      <c r="P835" s="33" t="str">
        <f>HYPERLINK("https://my.zakupivli.pro/remote/dispatcher/state_purchase_view/56727364", "UA-2025-01-21-000895-a")</f>
        <v>UA-2025-01-21-000895-a</v>
      </c>
      <c r="Q835" s="352"/>
      <c r="R835" s="352">
        <v>64</v>
      </c>
      <c r="S835" s="352">
        <v>1523.3920499999999</v>
      </c>
      <c r="T835" s="353">
        <v>45694</v>
      </c>
      <c r="U835" s="352"/>
      <c r="V835" s="352"/>
    </row>
    <row r="836" spans="1:22" ht="43.2" x14ac:dyDescent="0.3">
      <c r="A836" s="352">
        <v>830</v>
      </c>
      <c r="B836" s="389" t="s">
        <v>21</v>
      </c>
      <c r="C836" s="452" t="s">
        <v>30</v>
      </c>
      <c r="D836" s="446" t="s">
        <v>58</v>
      </c>
      <c r="E836" s="446" t="s">
        <v>75</v>
      </c>
      <c r="F836" s="452" t="s">
        <v>2177</v>
      </c>
      <c r="G836" s="352" t="s">
        <v>186</v>
      </c>
      <c r="H836" s="590"/>
      <c r="I836" s="352">
        <v>5</v>
      </c>
      <c r="J836" s="590">
        <v>910.13333</v>
      </c>
      <c r="K836" s="590"/>
      <c r="L836" s="389">
        <v>5</v>
      </c>
      <c r="M836" s="590">
        <v>910.13333</v>
      </c>
      <c r="N836" s="6" t="s">
        <v>1743</v>
      </c>
      <c r="O836" s="390">
        <v>45678</v>
      </c>
      <c r="P836" s="33" t="str">
        <f>HYPERLINK("https://my.zakupivli.pro/remote/dispatcher/state_purchase_view/56727364", "UA-2025-01-21-000895-a")</f>
        <v>UA-2025-01-21-000895-a</v>
      </c>
      <c r="Q836" s="352"/>
      <c r="R836" s="352">
        <v>5</v>
      </c>
      <c r="S836" s="352">
        <v>909.18</v>
      </c>
      <c r="T836" s="423">
        <v>45694</v>
      </c>
      <c r="U836" s="352"/>
      <c r="V836" s="352"/>
    </row>
    <row r="837" spans="1:22" ht="127.8" customHeight="1" x14ac:dyDescent="0.3">
      <c r="A837" s="352">
        <v>831</v>
      </c>
      <c r="B837" s="352" t="s">
        <v>40</v>
      </c>
      <c r="C837" s="44" t="s">
        <v>2081</v>
      </c>
      <c r="D837" s="352"/>
      <c r="E837" s="391" t="s">
        <v>75</v>
      </c>
      <c r="F837" s="44" t="s">
        <v>1744</v>
      </c>
      <c r="G837" s="352" t="s">
        <v>184</v>
      </c>
      <c r="H837" s="590">
        <v>98.311459999999997</v>
      </c>
      <c r="I837" s="352">
        <v>1</v>
      </c>
      <c r="J837" s="590">
        <v>98.311459999999997</v>
      </c>
      <c r="K837" s="590">
        <v>98.311459999999997</v>
      </c>
      <c r="L837" s="391">
        <v>1</v>
      </c>
      <c r="M837" s="590">
        <v>98.311459999999997</v>
      </c>
      <c r="N837" s="6" t="s">
        <v>1746</v>
      </c>
      <c r="O837" s="353">
        <v>45679</v>
      </c>
      <c r="P837" s="120" t="str">
        <f>HYPERLINK("https://my.zakupivli.pro/remote/dispatcher/state_purchase_view/56811498", "UA-2025-01-22-016532-a")</f>
        <v>UA-2025-01-22-016532-a</v>
      </c>
      <c r="Q837" s="391">
        <v>98.311459999999997</v>
      </c>
      <c r="R837" s="391">
        <v>1</v>
      </c>
      <c r="S837" s="391">
        <v>98.311459999999997</v>
      </c>
      <c r="T837" s="392">
        <v>45679</v>
      </c>
      <c r="U837" s="352"/>
      <c r="V837" s="391" t="s">
        <v>59</v>
      </c>
    </row>
    <row r="838" spans="1:22" ht="46.8" x14ac:dyDescent="0.3">
      <c r="A838" s="352">
        <v>832</v>
      </c>
      <c r="B838" s="352" t="s">
        <v>21</v>
      </c>
      <c r="C838" s="44" t="s">
        <v>1622</v>
      </c>
      <c r="D838" s="395" t="s">
        <v>58</v>
      </c>
      <c r="E838" s="391" t="s">
        <v>75</v>
      </c>
      <c r="F838" s="44" t="s">
        <v>2009</v>
      </c>
      <c r="G838" s="352" t="s">
        <v>186</v>
      </c>
      <c r="H838" s="590"/>
      <c r="I838" s="352">
        <v>2</v>
      </c>
      <c r="J838" s="590">
        <v>524.19749999999999</v>
      </c>
      <c r="K838" s="590"/>
      <c r="L838" s="391">
        <v>2</v>
      </c>
      <c r="M838" s="590">
        <v>524.19749999999999</v>
      </c>
      <c r="N838" s="6" t="s">
        <v>1747</v>
      </c>
      <c r="O838" s="392">
        <v>45679</v>
      </c>
      <c r="P838" s="120" t="str">
        <f>HYPERLINK("https://my.zakupivli.pro/remote/dispatcher/state_purchase_view/56797832", "UA-2025-01-22-010427-a")</f>
        <v>UA-2025-01-22-010427-a</v>
      </c>
      <c r="Q838" s="352"/>
      <c r="R838" s="352">
        <v>2</v>
      </c>
      <c r="S838" s="352">
        <v>445.8</v>
      </c>
      <c r="T838" s="353">
        <v>45700</v>
      </c>
      <c r="U838" s="352"/>
      <c r="V838" s="352"/>
    </row>
    <row r="839" spans="1:22" ht="62.4" x14ac:dyDescent="0.3">
      <c r="A839" s="352">
        <v>833</v>
      </c>
      <c r="B839" s="352" t="s">
        <v>40</v>
      </c>
      <c r="C839" s="503" t="s">
        <v>1991</v>
      </c>
      <c r="D839" s="446"/>
      <c r="E839" s="446" t="s">
        <v>20</v>
      </c>
      <c r="F839" s="452" t="s">
        <v>1745</v>
      </c>
      <c r="G839" s="352" t="s">
        <v>184</v>
      </c>
      <c r="H839" s="590">
        <v>101.5132</v>
      </c>
      <c r="I839" s="352">
        <v>1</v>
      </c>
      <c r="J839" s="590">
        <v>101.5132</v>
      </c>
      <c r="K839" s="590">
        <v>101.5132</v>
      </c>
      <c r="L839" s="391">
        <v>1</v>
      </c>
      <c r="M839" s="590">
        <v>101.5132</v>
      </c>
      <c r="N839" s="6" t="s">
        <v>1748</v>
      </c>
      <c r="O839" s="392">
        <v>45679</v>
      </c>
      <c r="P839" s="120" t="str">
        <f>HYPERLINK("https://my.zakupivli.pro/remote/dispatcher/state_purchase_view/56780342", "UA-2025-01-22-002610-a")</f>
        <v>UA-2025-01-22-002610-a</v>
      </c>
      <c r="Q839" s="391">
        <v>101.5132</v>
      </c>
      <c r="R839" s="391">
        <v>1</v>
      </c>
      <c r="S839" s="391">
        <v>101.5132</v>
      </c>
      <c r="T839" s="392">
        <v>45679</v>
      </c>
      <c r="U839" s="352"/>
      <c r="V839" s="391" t="s">
        <v>59</v>
      </c>
    </row>
    <row r="840" spans="1:22" ht="62.4" x14ac:dyDescent="0.3">
      <c r="A840" s="352">
        <v>834</v>
      </c>
      <c r="B840" s="43" t="s">
        <v>40</v>
      </c>
      <c r="C840" s="44" t="s">
        <v>41</v>
      </c>
      <c r="D840" s="105"/>
      <c r="E840" s="394" t="s">
        <v>20</v>
      </c>
      <c r="F840" s="44" t="s">
        <v>2176</v>
      </c>
      <c r="G840" s="394" t="s">
        <v>184</v>
      </c>
      <c r="H840" s="590">
        <v>55.728409999999997</v>
      </c>
      <c r="I840" s="352">
        <v>1</v>
      </c>
      <c r="J840" s="590">
        <v>55.728409999999997</v>
      </c>
      <c r="K840" s="590">
        <v>55.728409999999997</v>
      </c>
      <c r="L840" s="394">
        <v>1</v>
      </c>
      <c r="M840" s="590">
        <v>55.728409999999997</v>
      </c>
      <c r="N840" s="6" t="s">
        <v>1749</v>
      </c>
      <c r="O840" s="393">
        <v>45680</v>
      </c>
      <c r="P840" s="33" t="str">
        <f>HYPERLINK("https://my.zakupivli.pro/remote/dispatcher/state_purchase_view/56857702", "UA-2025-01-23-015872-a")</f>
        <v>UA-2025-01-23-015872-a</v>
      </c>
      <c r="Q840" s="394">
        <v>55.728409999999997</v>
      </c>
      <c r="R840" s="394">
        <v>1</v>
      </c>
      <c r="S840" s="394">
        <v>55.728409999999997</v>
      </c>
      <c r="T840" s="353">
        <v>45680</v>
      </c>
      <c r="U840" s="352"/>
      <c r="V840" s="394" t="s">
        <v>59</v>
      </c>
    </row>
    <row r="841" spans="1:22" ht="43.2" x14ac:dyDescent="0.3">
      <c r="A841" s="352">
        <v>835</v>
      </c>
      <c r="B841" s="395" t="s">
        <v>21</v>
      </c>
      <c r="C841" s="44" t="s">
        <v>873</v>
      </c>
      <c r="D841" s="395" t="s">
        <v>58</v>
      </c>
      <c r="E841" s="395" t="s">
        <v>75</v>
      </c>
      <c r="F841" s="44" t="s">
        <v>2175</v>
      </c>
      <c r="G841" s="352" t="s">
        <v>186</v>
      </c>
      <c r="H841" s="590"/>
      <c r="I841" s="352">
        <v>40</v>
      </c>
      <c r="J841" s="590">
        <v>1250</v>
      </c>
      <c r="K841" s="590"/>
      <c r="L841" s="395">
        <v>40</v>
      </c>
      <c r="M841" s="590">
        <v>1250</v>
      </c>
      <c r="N841" s="6" t="s">
        <v>1751</v>
      </c>
      <c r="O841" s="353">
        <v>45684</v>
      </c>
      <c r="P841" s="33" t="str">
        <f>HYPERLINK("https://my.zakupivli.pro/remote/dispatcher/state_purchase_view/56925415", "UA-2025-01-27-005506-a")</f>
        <v>UA-2025-01-27-005506-a</v>
      </c>
      <c r="Q841" s="352"/>
      <c r="R841" s="352">
        <v>40</v>
      </c>
      <c r="S841" s="352">
        <v>880.84416999999996</v>
      </c>
      <c r="T841" s="441">
        <v>45708</v>
      </c>
      <c r="U841" s="352"/>
      <c r="V841" s="352"/>
    </row>
    <row r="842" spans="1:22" ht="62.4" x14ac:dyDescent="0.3">
      <c r="A842" s="352">
        <v>836</v>
      </c>
      <c r="B842" s="395" t="s">
        <v>21</v>
      </c>
      <c r="C842" s="44" t="s">
        <v>894</v>
      </c>
      <c r="D842" s="352"/>
      <c r="E842" s="395" t="s">
        <v>75</v>
      </c>
      <c r="F842" s="44" t="s">
        <v>2174</v>
      </c>
      <c r="G842" s="352" t="s">
        <v>185</v>
      </c>
      <c r="H842" s="590">
        <v>82.5</v>
      </c>
      <c r="I842" s="352">
        <v>5</v>
      </c>
      <c r="J842" s="590">
        <v>82.5</v>
      </c>
      <c r="K842" s="590">
        <v>82.5</v>
      </c>
      <c r="L842" s="395">
        <v>5</v>
      </c>
      <c r="M842" s="590">
        <v>82.5</v>
      </c>
      <c r="N842" s="6" t="s">
        <v>1752</v>
      </c>
      <c r="O842" s="396">
        <v>45684</v>
      </c>
      <c r="P842" s="33" t="str">
        <f>HYPERLINK("https://my.zakupivli.pro/remote/dispatcher/state_purchase_view/56922843", "UA-2025-01-27-004441-a")</f>
        <v>UA-2025-01-27-004441-a</v>
      </c>
      <c r="Q842" s="117">
        <v>82.5</v>
      </c>
      <c r="R842" s="395">
        <v>5</v>
      </c>
      <c r="S842" s="117">
        <v>82.5</v>
      </c>
      <c r="T842" s="396">
        <v>45684</v>
      </c>
      <c r="U842" s="352"/>
      <c r="V842" s="395" t="s">
        <v>59</v>
      </c>
    </row>
    <row r="843" spans="1:22" ht="62.4" x14ac:dyDescent="0.3">
      <c r="A843" s="352">
        <v>837</v>
      </c>
      <c r="B843" s="395" t="s">
        <v>21</v>
      </c>
      <c r="C843" s="452" t="s">
        <v>2167</v>
      </c>
      <c r="D843" s="446"/>
      <c r="E843" s="446" t="s">
        <v>75</v>
      </c>
      <c r="F843" s="452" t="s">
        <v>1750</v>
      </c>
      <c r="G843" s="352" t="s">
        <v>185</v>
      </c>
      <c r="H843" s="590">
        <v>83.325000000000003</v>
      </c>
      <c r="I843" s="352">
        <v>5</v>
      </c>
      <c r="J843" s="590">
        <v>83.325000000000003</v>
      </c>
      <c r="K843" s="590">
        <v>83.325000000000003</v>
      </c>
      <c r="L843" s="395">
        <v>5</v>
      </c>
      <c r="M843" s="590">
        <v>83.325000000000003</v>
      </c>
      <c r="N843" s="6" t="s">
        <v>1753</v>
      </c>
      <c r="O843" s="396">
        <v>45684</v>
      </c>
      <c r="P843" s="33" t="str">
        <f>HYPERLINK("https://my.zakupivli.pro/remote/dispatcher/state_purchase_view/56922591", "UA-2025-01-27-004273-a")</f>
        <v>UA-2025-01-27-004273-a</v>
      </c>
      <c r="Q843" s="395">
        <v>83.325000000000003</v>
      </c>
      <c r="R843" s="395">
        <v>5</v>
      </c>
      <c r="S843" s="395">
        <v>83.325000000000003</v>
      </c>
      <c r="T843" s="396">
        <v>45684</v>
      </c>
      <c r="U843" s="352"/>
      <c r="V843" s="395" t="s">
        <v>59</v>
      </c>
    </row>
    <row r="844" spans="1:22" ht="109.2" x14ac:dyDescent="0.3">
      <c r="A844" s="352">
        <v>838</v>
      </c>
      <c r="B844" s="43" t="s">
        <v>40</v>
      </c>
      <c r="C844" s="44" t="s">
        <v>2008</v>
      </c>
      <c r="D844" s="395" t="s">
        <v>58</v>
      </c>
      <c r="E844" s="395" t="s">
        <v>88</v>
      </c>
      <c r="F844" s="44" t="s">
        <v>1754</v>
      </c>
      <c r="G844" s="352" t="s">
        <v>184</v>
      </c>
      <c r="H844" s="590">
        <v>4346.2678999999998</v>
      </c>
      <c r="I844" s="352">
        <v>1</v>
      </c>
      <c r="J844" s="590">
        <v>4346.2678999999998</v>
      </c>
      <c r="K844" s="590">
        <v>4346.2678999999998</v>
      </c>
      <c r="L844" s="395">
        <v>1</v>
      </c>
      <c r="M844" s="590">
        <v>4346.2678999999998</v>
      </c>
      <c r="N844" s="6" t="s">
        <v>1757</v>
      </c>
      <c r="O844" s="396">
        <v>45684</v>
      </c>
      <c r="P844" s="33" t="str">
        <f>HYPERLINK("https://my.zakupivli.pro/remote/dispatcher/state_purchase_view/56941416", "UA-2025-01-27-012573-a")</f>
        <v>UA-2025-01-27-012573-a</v>
      </c>
      <c r="Q844" s="352"/>
      <c r="R844" s="352"/>
      <c r="S844" s="352"/>
      <c r="T844" s="353"/>
      <c r="U844" s="352"/>
      <c r="V844" s="352" t="s">
        <v>1793</v>
      </c>
    </row>
    <row r="845" spans="1:22" ht="109.2" x14ac:dyDescent="0.3">
      <c r="A845" s="352">
        <v>839</v>
      </c>
      <c r="B845" s="43" t="s">
        <v>40</v>
      </c>
      <c r="C845" s="44" t="s">
        <v>2008</v>
      </c>
      <c r="D845" s="395" t="s">
        <v>58</v>
      </c>
      <c r="E845" s="395" t="s">
        <v>88</v>
      </c>
      <c r="F845" s="44" t="s">
        <v>1755</v>
      </c>
      <c r="G845" s="395" t="s">
        <v>184</v>
      </c>
      <c r="H845" s="590">
        <v>28548.56783</v>
      </c>
      <c r="I845" s="352">
        <v>1</v>
      </c>
      <c r="J845" s="590">
        <v>28548.56783</v>
      </c>
      <c r="K845" s="590">
        <v>28548.56783</v>
      </c>
      <c r="L845" s="395">
        <v>1</v>
      </c>
      <c r="M845" s="590">
        <v>28548.56783</v>
      </c>
      <c r="N845" s="6" t="s">
        <v>1758</v>
      </c>
      <c r="O845" s="396">
        <v>45684</v>
      </c>
      <c r="P845" s="33" t="str">
        <f>HYPERLINK("https://my.zakupivli.pro/remote/dispatcher/state_purchase_view/56941334", "UA-2025-01-27-012515-a")</f>
        <v>UA-2025-01-27-012515-a</v>
      </c>
      <c r="Q845" s="117">
        <v>28548.5</v>
      </c>
      <c r="R845" s="352">
        <v>1</v>
      </c>
      <c r="S845" s="117">
        <v>28548.5</v>
      </c>
      <c r="T845" s="353">
        <v>45722</v>
      </c>
      <c r="U845" s="352"/>
      <c r="V845" s="352"/>
    </row>
    <row r="846" spans="1:22" ht="109.2" x14ac:dyDescent="0.3">
      <c r="A846" s="352">
        <v>840</v>
      </c>
      <c r="B846" s="43" t="s">
        <v>40</v>
      </c>
      <c r="C846" s="44" t="s">
        <v>2008</v>
      </c>
      <c r="D846" s="395" t="s">
        <v>58</v>
      </c>
      <c r="E846" s="395" t="s">
        <v>88</v>
      </c>
      <c r="F846" s="44" t="s">
        <v>1756</v>
      </c>
      <c r="G846" s="395" t="s">
        <v>184</v>
      </c>
      <c r="H846" s="590">
        <v>2484.1018399999998</v>
      </c>
      <c r="I846" s="352">
        <v>1</v>
      </c>
      <c r="J846" s="590">
        <v>2484.1018399999998</v>
      </c>
      <c r="K846" s="590">
        <v>2484.1018399999998</v>
      </c>
      <c r="L846" s="395">
        <v>1</v>
      </c>
      <c r="M846" s="590">
        <v>2484.1018399999998</v>
      </c>
      <c r="N846" s="6" t="s">
        <v>1759</v>
      </c>
      <c r="O846" s="396">
        <v>45684</v>
      </c>
      <c r="P846" s="33" t="str">
        <f>HYPERLINK("https://my.zakupivli.pro/remote/dispatcher/state_purchase_view/56940479", "UA-2025-01-27-012138-a")</f>
        <v>UA-2025-01-27-012138-a</v>
      </c>
      <c r="Q846" s="440">
        <v>2483.7523000000001</v>
      </c>
      <c r="R846" s="352">
        <v>1</v>
      </c>
      <c r="S846" s="352">
        <v>2483.7523000000001</v>
      </c>
      <c r="T846" s="353">
        <v>45716</v>
      </c>
      <c r="U846" s="352"/>
      <c r="V846" s="352"/>
    </row>
    <row r="847" spans="1:22" ht="156" x14ac:dyDescent="0.3">
      <c r="A847" s="352">
        <v>841</v>
      </c>
      <c r="B847" s="43" t="s">
        <v>40</v>
      </c>
      <c r="C847" s="44" t="s">
        <v>2008</v>
      </c>
      <c r="D847" s="395" t="s">
        <v>58</v>
      </c>
      <c r="E847" s="395" t="s">
        <v>88</v>
      </c>
      <c r="F847" s="44" t="s">
        <v>1760</v>
      </c>
      <c r="G847" s="395" t="s">
        <v>184</v>
      </c>
      <c r="H847" s="590">
        <v>8461.8582999999999</v>
      </c>
      <c r="I847" s="352">
        <v>1</v>
      </c>
      <c r="J847" s="590">
        <v>8461.8582999999999</v>
      </c>
      <c r="K847" s="590">
        <v>8461.8582999999999</v>
      </c>
      <c r="L847" s="395">
        <v>1</v>
      </c>
      <c r="M847" s="590">
        <v>8461.8582999999999</v>
      </c>
      <c r="N847" s="6" t="s">
        <v>1761</v>
      </c>
      <c r="O847" s="396">
        <v>45684</v>
      </c>
      <c r="P847" s="33" t="str">
        <f>HYPERLINK("https://my.zakupivli.pro/remote/dispatcher/state_purchase_view/56943093", "UA-2025-01-27-013389-a")</f>
        <v>UA-2025-01-27-013389-a</v>
      </c>
      <c r="Q847" s="446">
        <v>5461.8554999999997</v>
      </c>
      <c r="R847" s="446">
        <v>1</v>
      </c>
      <c r="S847" s="446">
        <v>5461.8554999999997</v>
      </c>
      <c r="T847" s="441">
        <v>45721</v>
      </c>
      <c r="U847" s="352"/>
      <c r="V847" s="352"/>
    </row>
    <row r="848" spans="1:22" ht="109.2" x14ac:dyDescent="0.3">
      <c r="A848" s="352">
        <v>842</v>
      </c>
      <c r="B848" s="43" t="s">
        <v>40</v>
      </c>
      <c r="C848" s="44" t="s">
        <v>41</v>
      </c>
      <c r="D848" s="395" t="s">
        <v>58</v>
      </c>
      <c r="E848" s="395" t="s">
        <v>88</v>
      </c>
      <c r="F848" s="44" t="s">
        <v>2173</v>
      </c>
      <c r="G848" s="395" t="s">
        <v>184</v>
      </c>
      <c r="H848" s="590">
        <v>1764.4071100000001</v>
      </c>
      <c r="I848" s="352">
        <v>1</v>
      </c>
      <c r="J848" s="590">
        <v>1764.4071100000001</v>
      </c>
      <c r="K848" s="590">
        <v>1764.4071100000001</v>
      </c>
      <c r="L848" s="395">
        <v>1</v>
      </c>
      <c r="M848" s="590">
        <v>1764.4071100000001</v>
      </c>
      <c r="N848" s="6" t="s">
        <v>1762</v>
      </c>
      <c r="O848" s="396">
        <v>45684</v>
      </c>
      <c r="P848" s="33" t="str">
        <f>HYPERLINK("https://my.zakupivli.pro/remote/dispatcher/state_purchase_view/56942695", "UA-2025-01-27-013156-a")</f>
        <v>UA-2025-01-27-013156-a</v>
      </c>
      <c r="Q848" s="443">
        <v>1764.2238</v>
      </c>
      <c r="R848" s="352">
        <v>1</v>
      </c>
      <c r="S848" s="352">
        <v>1764.2238</v>
      </c>
      <c r="T848" s="353">
        <v>45350</v>
      </c>
      <c r="U848" s="352"/>
      <c r="V848" s="352"/>
    </row>
    <row r="849" spans="1:22" ht="140.4" x14ac:dyDescent="0.3">
      <c r="A849" s="352">
        <v>843</v>
      </c>
      <c r="B849" s="43" t="s">
        <v>40</v>
      </c>
      <c r="C849" s="44" t="s">
        <v>1991</v>
      </c>
      <c r="D849" s="395" t="s">
        <v>58</v>
      </c>
      <c r="E849" s="395" t="s">
        <v>88</v>
      </c>
      <c r="F849" s="44" t="s">
        <v>1763</v>
      </c>
      <c r="G849" s="395" t="s">
        <v>184</v>
      </c>
      <c r="H849" s="590">
        <v>9651.1299999999992</v>
      </c>
      <c r="I849" s="352">
        <v>1</v>
      </c>
      <c r="J849" s="590">
        <v>9651.1299999999992</v>
      </c>
      <c r="K849" s="590">
        <v>9651.1299999999992</v>
      </c>
      <c r="L849" s="395">
        <v>1</v>
      </c>
      <c r="M849" s="590">
        <v>9651.1299999999992</v>
      </c>
      <c r="N849" s="6" t="s">
        <v>1765</v>
      </c>
      <c r="O849" s="396">
        <v>45684</v>
      </c>
      <c r="P849" s="33" t="str">
        <f>HYPERLINK("https://my.zakupivli.pro/remote/dispatcher/state_purchase_view/56943542", "UA-2025-01-27-013503-a")</f>
        <v>UA-2025-01-27-013503-a</v>
      </c>
      <c r="Q849" s="443">
        <v>9554.3718700000009</v>
      </c>
      <c r="R849" s="352">
        <v>1</v>
      </c>
      <c r="S849" s="352">
        <v>9554.3718700000009</v>
      </c>
      <c r="T849" s="353">
        <v>45726</v>
      </c>
      <c r="U849" s="352"/>
      <c r="V849" s="352"/>
    </row>
    <row r="850" spans="1:22" ht="109.2" x14ac:dyDescent="0.3">
      <c r="A850" s="352">
        <v>844</v>
      </c>
      <c r="B850" s="43" t="s">
        <v>40</v>
      </c>
      <c r="C850" s="44" t="s">
        <v>2008</v>
      </c>
      <c r="D850" s="395" t="s">
        <v>58</v>
      </c>
      <c r="E850" s="395" t="s">
        <v>88</v>
      </c>
      <c r="F850" s="44" t="s">
        <v>1764</v>
      </c>
      <c r="G850" s="395" t="s">
        <v>184</v>
      </c>
      <c r="H850" s="590">
        <v>1705.3318400000001</v>
      </c>
      <c r="I850" s="352">
        <v>1</v>
      </c>
      <c r="J850" s="590">
        <v>1705.3318400000001</v>
      </c>
      <c r="K850" s="590">
        <v>1705.3318400000001</v>
      </c>
      <c r="L850" s="395">
        <v>1</v>
      </c>
      <c r="M850" s="590">
        <v>1705.3318400000001</v>
      </c>
      <c r="N850" s="6" t="s">
        <v>1766</v>
      </c>
      <c r="O850" s="396">
        <v>45684</v>
      </c>
      <c r="P850" s="33" t="str">
        <f>HYPERLINK("https://my.zakupivli.pro/remote/dispatcher/state_purchase_view/56943535", "UA-2025-01-27-013497-a")</f>
        <v>UA-2025-01-27-013497-a</v>
      </c>
      <c r="Q850" s="443">
        <v>1705.33167</v>
      </c>
      <c r="R850" s="352">
        <v>1</v>
      </c>
      <c r="S850" s="352">
        <v>1705.33167</v>
      </c>
      <c r="T850" s="353">
        <v>45727</v>
      </c>
      <c r="U850" s="352"/>
      <c r="V850" s="352"/>
    </row>
    <row r="851" spans="1:22" ht="156" x14ac:dyDescent="0.3">
      <c r="A851" s="352">
        <v>845</v>
      </c>
      <c r="B851" s="43" t="s">
        <v>40</v>
      </c>
      <c r="C851" s="44" t="s">
        <v>41</v>
      </c>
      <c r="D851" s="395" t="s">
        <v>58</v>
      </c>
      <c r="E851" s="395" t="s">
        <v>88</v>
      </c>
      <c r="F851" s="44" t="s">
        <v>2172</v>
      </c>
      <c r="G851" s="395" t="s">
        <v>184</v>
      </c>
      <c r="H851" s="590">
        <v>12596.012000000001</v>
      </c>
      <c r="I851" s="352">
        <v>1</v>
      </c>
      <c r="J851" s="590">
        <v>12596.012000000001</v>
      </c>
      <c r="K851" s="590">
        <v>12596.012000000001</v>
      </c>
      <c r="L851" s="395">
        <v>1</v>
      </c>
      <c r="M851" s="590">
        <v>12596.012000000001</v>
      </c>
      <c r="N851" s="6" t="s">
        <v>1768</v>
      </c>
      <c r="O851" s="396">
        <v>45684</v>
      </c>
      <c r="P851" s="33" t="str">
        <f>HYPERLINK("https://my.zakupivli.pro/remote/dispatcher/state_purchase_view/56944556", "UA-2025-01-27-014006-a")</f>
        <v>UA-2025-01-27-014006-a</v>
      </c>
      <c r="Q851" s="352">
        <v>12576.503650000001</v>
      </c>
      <c r="R851" s="352">
        <v>1</v>
      </c>
      <c r="S851" s="443">
        <v>12576.503650000001</v>
      </c>
      <c r="T851" s="353">
        <v>45726</v>
      </c>
      <c r="U851" s="352"/>
      <c r="V851" s="352"/>
    </row>
    <row r="852" spans="1:22" ht="109.2" x14ac:dyDescent="0.3">
      <c r="A852" s="352">
        <v>846</v>
      </c>
      <c r="B852" s="43" t="s">
        <v>40</v>
      </c>
      <c r="C852" s="44" t="s">
        <v>2008</v>
      </c>
      <c r="D852" s="395" t="s">
        <v>58</v>
      </c>
      <c r="E852" s="395" t="s">
        <v>88</v>
      </c>
      <c r="F852" s="44" t="s">
        <v>1767</v>
      </c>
      <c r="G852" s="395" t="s">
        <v>184</v>
      </c>
      <c r="H852" s="590">
        <v>2505.2600000000002</v>
      </c>
      <c r="I852" s="352">
        <v>1</v>
      </c>
      <c r="J852" s="590">
        <v>2505.2600000000002</v>
      </c>
      <c r="K852" s="590">
        <v>2505.2600000000002</v>
      </c>
      <c r="L852" s="395">
        <v>1</v>
      </c>
      <c r="M852" s="590">
        <v>2505.2600000000002</v>
      </c>
      <c r="N852" s="6" t="s">
        <v>1769</v>
      </c>
      <c r="O852" s="396">
        <v>45684</v>
      </c>
      <c r="P852" s="33" t="str">
        <f>HYPERLINK("https://my.zakupivli.pro/remote/dispatcher/state_purchase_view/56944415", "UA-2025-01-27-013929-a")</f>
        <v>UA-2025-01-27-013929-a</v>
      </c>
      <c r="Q852" s="352">
        <v>2505.1131999999998</v>
      </c>
      <c r="R852" s="352">
        <v>1</v>
      </c>
      <c r="S852" s="443">
        <v>2505.1131999999998</v>
      </c>
      <c r="T852" s="353">
        <v>45716</v>
      </c>
      <c r="U852" s="352"/>
      <c r="V852" s="352"/>
    </row>
    <row r="853" spans="1:22" ht="109.2" x14ac:dyDescent="0.3">
      <c r="A853" s="395">
        <v>847</v>
      </c>
      <c r="B853" s="395" t="s">
        <v>40</v>
      </c>
      <c r="C853" s="44" t="s">
        <v>1991</v>
      </c>
      <c r="D853" s="395" t="s">
        <v>58</v>
      </c>
      <c r="E853" s="395" t="s">
        <v>88</v>
      </c>
      <c r="F853" s="44" t="s">
        <v>1770</v>
      </c>
      <c r="G853" s="395" t="s">
        <v>184</v>
      </c>
      <c r="H853" s="590">
        <v>3754.07</v>
      </c>
      <c r="I853" s="395">
        <v>1</v>
      </c>
      <c r="J853" s="590">
        <v>3754.07</v>
      </c>
      <c r="K853" s="590">
        <v>3754.07</v>
      </c>
      <c r="L853" s="395">
        <v>1</v>
      </c>
      <c r="M853" s="590">
        <v>3754.07</v>
      </c>
      <c r="N853" s="6" t="s">
        <v>1771</v>
      </c>
      <c r="O853" s="396">
        <v>45684</v>
      </c>
      <c r="P853" s="33" t="str">
        <f>HYPERLINK("https://my.zakupivli.pro/remote/dispatcher/state_purchase_view/56946083", "UA-2025-01-27-014685-a")</f>
        <v>UA-2025-01-27-014685-a</v>
      </c>
      <c r="Q853" s="395">
        <v>3716.3158699999999</v>
      </c>
      <c r="R853" s="395">
        <v>1</v>
      </c>
      <c r="S853" s="443">
        <v>3716.3158699999999</v>
      </c>
      <c r="T853" s="396">
        <v>45726</v>
      </c>
      <c r="U853" s="395"/>
      <c r="V853" s="395"/>
    </row>
    <row r="854" spans="1:22" ht="109.2" x14ac:dyDescent="0.3">
      <c r="A854" s="395">
        <v>848</v>
      </c>
      <c r="B854" s="395" t="s">
        <v>40</v>
      </c>
      <c r="C854" s="44" t="s">
        <v>41</v>
      </c>
      <c r="D854" s="395" t="s">
        <v>58</v>
      </c>
      <c r="E854" s="395" t="s">
        <v>88</v>
      </c>
      <c r="F854" s="44" t="s">
        <v>2171</v>
      </c>
      <c r="G854" s="395" t="s">
        <v>184</v>
      </c>
      <c r="H854" s="590" t="s">
        <v>1773</v>
      </c>
      <c r="I854" s="395">
        <v>1</v>
      </c>
      <c r="J854" s="590" t="s">
        <v>1773</v>
      </c>
      <c r="K854" s="590" t="s">
        <v>1773</v>
      </c>
      <c r="L854" s="395">
        <v>1</v>
      </c>
      <c r="M854" s="590" t="s">
        <v>1773</v>
      </c>
      <c r="N854" s="6" t="s">
        <v>1772</v>
      </c>
      <c r="O854" s="396">
        <v>45684</v>
      </c>
      <c r="P854" s="33" t="str">
        <f>HYPERLINK("https://my.zakupivli.pro/remote/dispatcher/state_purchase_view/56944894", "UA-2025-01-27-014227-a")</f>
        <v>UA-2025-01-27-014227-a</v>
      </c>
      <c r="Q854" s="395">
        <v>1525.7291700000001</v>
      </c>
      <c r="R854" s="395">
        <v>1</v>
      </c>
      <c r="S854" s="443">
        <v>1525.7291700000001</v>
      </c>
      <c r="T854" s="396">
        <v>45727</v>
      </c>
      <c r="U854" s="395"/>
      <c r="V854" s="395"/>
    </row>
    <row r="855" spans="1:22" ht="62.4" x14ac:dyDescent="0.3">
      <c r="A855" s="395">
        <v>849</v>
      </c>
      <c r="B855" s="395" t="s">
        <v>40</v>
      </c>
      <c r="C855" s="44" t="s">
        <v>1991</v>
      </c>
      <c r="D855" s="395"/>
      <c r="E855" s="395" t="s">
        <v>20</v>
      </c>
      <c r="F855" s="44" t="s">
        <v>1774</v>
      </c>
      <c r="G855" s="395" t="s">
        <v>184</v>
      </c>
      <c r="H855" s="590">
        <v>334.97960999999998</v>
      </c>
      <c r="I855" s="395">
        <v>1</v>
      </c>
      <c r="J855" s="590">
        <v>334.97960999999998</v>
      </c>
      <c r="K855" s="590">
        <v>334.97960999999998</v>
      </c>
      <c r="L855" s="395">
        <v>1</v>
      </c>
      <c r="M855" s="590">
        <v>334.97960999999998</v>
      </c>
      <c r="N855" s="6" t="s">
        <v>1776</v>
      </c>
      <c r="O855" s="396">
        <v>45684</v>
      </c>
      <c r="P855" s="33" t="str">
        <f>HYPERLINK("https://my.zakupivli.pro/remote/dispatcher/state_purchase_view/56947418", "UA-2025-01-27-015305-a")</f>
        <v>UA-2025-01-27-015305-a</v>
      </c>
      <c r="Q855" s="395">
        <v>334.97960999999998</v>
      </c>
      <c r="R855" s="395">
        <v>1</v>
      </c>
      <c r="S855" s="395">
        <v>334.97960999999998</v>
      </c>
      <c r="T855" s="396">
        <v>45684</v>
      </c>
      <c r="U855" s="395"/>
      <c r="V855" s="395" t="s">
        <v>59</v>
      </c>
    </row>
    <row r="856" spans="1:22" ht="140.4" x14ac:dyDescent="0.3">
      <c r="A856" s="395">
        <v>850</v>
      </c>
      <c r="B856" s="395" t="s">
        <v>40</v>
      </c>
      <c r="C856" s="44" t="s">
        <v>2008</v>
      </c>
      <c r="D856" s="395" t="s">
        <v>58</v>
      </c>
      <c r="E856" s="395" t="s">
        <v>88</v>
      </c>
      <c r="F856" s="44" t="s">
        <v>1775</v>
      </c>
      <c r="G856" s="395" t="s">
        <v>184</v>
      </c>
      <c r="H856" s="590">
        <v>12326.102199999999</v>
      </c>
      <c r="I856" s="395">
        <v>1</v>
      </c>
      <c r="J856" s="590">
        <v>12326.102199999999</v>
      </c>
      <c r="K856" s="590">
        <v>12326.102199999999</v>
      </c>
      <c r="L856" s="395">
        <v>1</v>
      </c>
      <c r="M856" s="590">
        <v>12326.102199999999</v>
      </c>
      <c r="N856" s="6" t="s">
        <v>1777</v>
      </c>
      <c r="O856" s="396">
        <v>45684</v>
      </c>
      <c r="P856" s="33" t="str">
        <f>HYPERLINK("https://my.zakupivli.pro/remote/dispatcher/state_purchase_view/56946120", "UA-2025-01-27-014719-a")</f>
        <v>UA-2025-01-27-014719-a</v>
      </c>
      <c r="Q856" s="395">
        <v>12291.666670000001</v>
      </c>
      <c r="R856" s="395">
        <v>1</v>
      </c>
      <c r="S856" s="443">
        <v>12291.666670000001</v>
      </c>
      <c r="T856" s="396">
        <v>45727</v>
      </c>
      <c r="U856" s="395"/>
      <c r="V856" s="395"/>
    </row>
    <row r="857" spans="1:22" ht="124.8" x14ac:dyDescent="0.3">
      <c r="A857" s="395">
        <v>851</v>
      </c>
      <c r="B857" s="395" t="s">
        <v>40</v>
      </c>
      <c r="C857" s="44" t="s">
        <v>2008</v>
      </c>
      <c r="D857" s="395" t="s">
        <v>58</v>
      </c>
      <c r="E857" s="395" t="s">
        <v>88</v>
      </c>
      <c r="F857" s="44" t="s">
        <v>1778</v>
      </c>
      <c r="G857" s="395" t="s">
        <v>184</v>
      </c>
      <c r="H857" s="590">
        <v>9000.2278900000001</v>
      </c>
      <c r="I857" s="395">
        <v>1</v>
      </c>
      <c r="J857" s="590">
        <v>9000.2278900000001</v>
      </c>
      <c r="K857" s="590">
        <v>9000.2278900000001</v>
      </c>
      <c r="L857" s="395">
        <v>1</v>
      </c>
      <c r="M857" s="590">
        <v>9000.2278900000001</v>
      </c>
      <c r="N857" s="6" t="s">
        <v>1780</v>
      </c>
      <c r="O857" s="396">
        <v>45684</v>
      </c>
      <c r="P857" s="33" t="str">
        <f>HYPERLINK("https://my.zakupivli.pro/remote/dispatcher/state_purchase_view/56947859", "UA-2025-01-27-015612-a")</f>
        <v>UA-2025-01-27-015612-a</v>
      </c>
      <c r="Q857" s="395">
        <v>8871.6583300000002</v>
      </c>
      <c r="R857" s="395">
        <v>1</v>
      </c>
      <c r="S857" s="443">
        <v>8871.6583300000002</v>
      </c>
      <c r="T857" s="396">
        <v>45727</v>
      </c>
      <c r="U857" s="395"/>
      <c r="V857" s="395"/>
    </row>
    <row r="858" spans="1:22" ht="109.2" x14ac:dyDescent="0.3">
      <c r="A858" s="395">
        <v>852</v>
      </c>
      <c r="B858" s="395" t="s">
        <v>40</v>
      </c>
      <c r="C858" s="44" t="s">
        <v>1991</v>
      </c>
      <c r="D858" s="395" t="s">
        <v>58</v>
      </c>
      <c r="E858" s="395" t="s">
        <v>88</v>
      </c>
      <c r="F858" s="44" t="s">
        <v>1779</v>
      </c>
      <c r="G858" s="395" t="s">
        <v>184</v>
      </c>
      <c r="H858" s="590">
        <v>2234.98</v>
      </c>
      <c r="I858" s="395">
        <v>1</v>
      </c>
      <c r="J858" s="590">
        <v>2234.98</v>
      </c>
      <c r="K858" s="590">
        <v>2234.98</v>
      </c>
      <c r="L858" s="395">
        <v>1</v>
      </c>
      <c r="M858" s="590">
        <v>2234.98</v>
      </c>
      <c r="N858" s="6" t="s">
        <v>1781</v>
      </c>
      <c r="O858" s="396">
        <v>45684</v>
      </c>
      <c r="P858" s="33" t="str">
        <f>HYPERLINK("https://my.zakupivli.pro/remote/dispatcher/state_purchase_view/56947791", "UA-2025-01-27-015561-a")</f>
        <v>UA-2025-01-27-015561-a</v>
      </c>
      <c r="Q858" s="395">
        <v>2212.82015</v>
      </c>
      <c r="R858" s="395">
        <v>1</v>
      </c>
      <c r="S858" s="443">
        <v>2212.82015</v>
      </c>
      <c r="T858" s="396">
        <v>45726</v>
      </c>
      <c r="U858" s="395"/>
      <c r="V858" s="395"/>
    </row>
    <row r="859" spans="1:22" ht="140.4" x14ac:dyDescent="0.3">
      <c r="A859" s="395">
        <v>853</v>
      </c>
      <c r="B859" s="395" t="s">
        <v>40</v>
      </c>
      <c r="C859" s="44" t="s">
        <v>41</v>
      </c>
      <c r="D859" s="395" t="s">
        <v>58</v>
      </c>
      <c r="E859" s="395" t="s">
        <v>88</v>
      </c>
      <c r="F859" s="44" t="s">
        <v>2170</v>
      </c>
      <c r="G859" s="395" t="s">
        <v>184</v>
      </c>
      <c r="H859" s="590">
        <v>14352</v>
      </c>
      <c r="I859" s="395">
        <v>1</v>
      </c>
      <c r="J859" s="590">
        <v>14352</v>
      </c>
      <c r="K859" s="590">
        <v>14352</v>
      </c>
      <c r="L859" s="395">
        <v>1</v>
      </c>
      <c r="M859" s="590">
        <v>14352</v>
      </c>
      <c r="N859" s="6" t="s">
        <v>1783</v>
      </c>
      <c r="O859" s="396">
        <v>45684</v>
      </c>
      <c r="P859" s="33" t="str">
        <f>HYPERLINK("https://my.zakupivli.pro/remote/dispatcher/state_purchase_view/56948967", "UA-2025-01-27-016031-a")</f>
        <v>UA-2025-01-27-016031-a</v>
      </c>
      <c r="Q859" s="395">
        <v>14208.07228</v>
      </c>
      <c r="R859" s="395">
        <v>1</v>
      </c>
      <c r="S859" s="443">
        <v>14208.07228</v>
      </c>
      <c r="T859" s="396">
        <v>45726</v>
      </c>
      <c r="U859" s="395"/>
      <c r="V859" s="395"/>
    </row>
    <row r="860" spans="1:22" ht="109.2" x14ac:dyDescent="0.3">
      <c r="A860" s="395">
        <v>854</v>
      </c>
      <c r="B860" s="395" t="s">
        <v>40</v>
      </c>
      <c r="C860" s="44" t="s">
        <v>2008</v>
      </c>
      <c r="D860" s="395" t="s">
        <v>58</v>
      </c>
      <c r="E860" s="395" t="s">
        <v>88</v>
      </c>
      <c r="F860" s="44" t="s">
        <v>1782</v>
      </c>
      <c r="G860" s="395" t="s">
        <v>184</v>
      </c>
      <c r="H860" s="590">
        <v>10440.961300000001</v>
      </c>
      <c r="I860" s="395">
        <v>1</v>
      </c>
      <c r="J860" s="590">
        <v>10440.961300000001</v>
      </c>
      <c r="K860" s="590">
        <v>10440.961300000001</v>
      </c>
      <c r="L860" s="395">
        <v>1</v>
      </c>
      <c r="M860" s="590">
        <v>10440.961300000001</v>
      </c>
      <c r="N860" s="6" t="s">
        <v>1784</v>
      </c>
      <c r="O860" s="396">
        <v>45684</v>
      </c>
      <c r="P860" s="33" t="str">
        <f>HYPERLINK("https://my.zakupivli.pro/remote/dispatcher/state_purchase_view/56948698", "UA-2025-01-27-016004-a")</f>
        <v>UA-2025-01-27-016004-a</v>
      </c>
      <c r="Q860" s="395">
        <v>10426.333339999999</v>
      </c>
      <c r="R860" s="395">
        <v>1</v>
      </c>
      <c r="S860" s="443">
        <v>10426.333339999999</v>
      </c>
      <c r="T860" s="396">
        <v>45727</v>
      </c>
      <c r="U860" s="395"/>
      <c r="V860" s="395"/>
    </row>
    <row r="861" spans="1:22" ht="93.6" x14ac:dyDescent="0.3">
      <c r="A861" s="395">
        <v>855</v>
      </c>
      <c r="B861" s="395" t="s">
        <v>40</v>
      </c>
      <c r="C861" s="44" t="s">
        <v>2008</v>
      </c>
      <c r="D861" s="395" t="s">
        <v>58</v>
      </c>
      <c r="E861" s="395" t="s">
        <v>88</v>
      </c>
      <c r="F861" s="44" t="s">
        <v>1785</v>
      </c>
      <c r="G861" s="395" t="s">
        <v>184</v>
      </c>
      <c r="H861" s="590">
        <v>3441.9586599999998</v>
      </c>
      <c r="I861" s="395">
        <v>1</v>
      </c>
      <c r="J861" s="590">
        <v>3441.9586599999998</v>
      </c>
      <c r="K861" s="590">
        <v>3441.9586599999998</v>
      </c>
      <c r="L861" s="395">
        <v>1</v>
      </c>
      <c r="M861" s="590">
        <v>3441.9586599999998</v>
      </c>
      <c r="N861" s="6" t="s">
        <v>1787</v>
      </c>
      <c r="O861" s="396">
        <v>45684</v>
      </c>
      <c r="P861" s="33" t="str">
        <f>HYPERLINK("https://my.zakupivli.pro/remote/dispatcher/state_purchase_view/56950592", "UA-2025-01-27-016823-a")</f>
        <v>UA-2025-01-27-016823-a</v>
      </c>
      <c r="Q861" s="395">
        <v>3416.6666700000001</v>
      </c>
      <c r="R861" s="395">
        <v>1</v>
      </c>
      <c r="S861" s="443">
        <v>3416.6666700000001</v>
      </c>
      <c r="T861" s="396">
        <v>45726</v>
      </c>
      <c r="U861" s="395"/>
      <c r="V861" s="395"/>
    </row>
    <row r="862" spans="1:22" ht="93.6" x14ac:dyDescent="0.3">
      <c r="A862" s="395">
        <v>856</v>
      </c>
      <c r="B862" s="395" t="s">
        <v>40</v>
      </c>
      <c r="C862" s="44" t="s">
        <v>2008</v>
      </c>
      <c r="D862" s="395" t="s">
        <v>58</v>
      </c>
      <c r="E862" s="395" t="s">
        <v>88</v>
      </c>
      <c r="F862" s="452" t="s">
        <v>1786</v>
      </c>
      <c r="G862" s="395" t="s">
        <v>184</v>
      </c>
      <c r="H862" s="590">
        <v>2837.1167799999998</v>
      </c>
      <c r="I862" s="395">
        <v>1</v>
      </c>
      <c r="J862" s="590">
        <v>2837.1167799999998</v>
      </c>
      <c r="K862" s="590">
        <v>2837.1167799999998</v>
      </c>
      <c r="L862" s="395">
        <v>1</v>
      </c>
      <c r="M862" s="590">
        <v>2837.1167799999998</v>
      </c>
      <c r="N862" s="6" t="s">
        <v>1788</v>
      </c>
      <c r="O862" s="396">
        <v>45684</v>
      </c>
      <c r="P862" s="33" t="str">
        <f>HYPERLINK("https://my.zakupivli.pro/remote/dispatcher/state_purchase_view/56949716", "UA-2025-01-27-016390-a")</f>
        <v>UA-2025-01-27-016390-a</v>
      </c>
      <c r="Q862" s="395">
        <v>2734.1666700000001</v>
      </c>
      <c r="R862" s="395">
        <v>1</v>
      </c>
      <c r="S862" s="443">
        <v>2734.1666700000001</v>
      </c>
      <c r="T862" s="396">
        <v>45726</v>
      </c>
      <c r="U862" s="395"/>
      <c r="V862" s="395"/>
    </row>
    <row r="863" spans="1:22" ht="43.2" x14ac:dyDescent="0.3">
      <c r="A863" s="395">
        <v>857</v>
      </c>
      <c r="B863" s="395" t="s">
        <v>21</v>
      </c>
      <c r="C863" s="44" t="s">
        <v>1789</v>
      </c>
      <c r="D863" s="397" t="s">
        <v>58</v>
      </c>
      <c r="E863" s="395" t="s">
        <v>75</v>
      </c>
      <c r="F863" s="44" t="s">
        <v>2169</v>
      </c>
      <c r="G863" s="395" t="s">
        <v>186</v>
      </c>
      <c r="H863" s="590"/>
      <c r="I863" s="395">
        <v>42</v>
      </c>
      <c r="J863" s="590">
        <v>3854.1666700000001</v>
      </c>
      <c r="K863" s="590"/>
      <c r="L863" s="397">
        <v>42</v>
      </c>
      <c r="M863" s="590">
        <v>3854.1666700000001</v>
      </c>
      <c r="N863" s="6" t="s">
        <v>1790</v>
      </c>
      <c r="O863" s="396">
        <v>45685</v>
      </c>
      <c r="P863" s="33" t="str">
        <f>HYPERLINK("https://my.zakupivli.pro/remote/dispatcher/state_purchase_view/56991092", "UA-2025-01-28-015503-a")</f>
        <v>UA-2025-01-28-015503-a</v>
      </c>
      <c r="Q863" s="395"/>
      <c r="R863" s="395">
        <v>1</v>
      </c>
      <c r="S863" s="395">
        <v>3466.3110000000001</v>
      </c>
      <c r="T863" s="398">
        <v>45707</v>
      </c>
      <c r="U863" s="395"/>
      <c r="V863" s="395"/>
    </row>
    <row r="864" spans="1:22" ht="109.2" x14ac:dyDescent="0.3">
      <c r="A864" s="395">
        <v>858</v>
      </c>
      <c r="B864" s="395" t="s">
        <v>21</v>
      </c>
      <c r="C864" s="44" t="s">
        <v>1723</v>
      </c>
      <c r="D864" s="397" t="s">
        <v>58</v>
      </c>
      <c r="E864" s="399" t="s">
        <v>75</v>
      </c>
      <c r="F864" s="502" t="s">
        <v>2168</v>
      </c>
      <c r="G864" s="395" t="s">
        <v>185</v>
      </c>
      <c r="H864" s="590"/>
      <c r="I864" s="395">
        <v>11</v>
      </c>
      <c r="J864" s="590">
        <v>191.1</v>
      </c>
      <c r="K864" s="590"/>
      <c r="L864" s="397">
        <v>11</v>
      </c>
      <c r="M864" s="590">
        <v>191.1</v>
      </c>
      <c r="N864" s="6" t="s">
        <v>1791</v>
      </c>
      <c r="O864" s="398">
        <v>45685</v>
      </c>
      <c r="P864" s="33" t="str">
        <f>HYPERLINK("https://my.zakupivli.pro/remote/dispatcher/state_purchase_view/56987956", "UA-2025-01-28-014015-a")</f>
        <v>UA-2025-01-28-014015-a</v>
      </c>
      <c r="Q864" s="395"/>
      <c r="R864" s="395">
        <v>11</v>
      </c>
      <c r="S864" s="395">
        <v>145.13</v>
      </c>
      <c r="T864" s="398">
        <v>45700</v>
      </c>
      <c r="U864" s="395"/>
      <c r="V864" s="395"/>
    </row>
    <row r="865" spans="1:22" ht="62.4" x14ac:dyDescent="0.3">
      <c r="A865" s="395">
        <v>859</v>
      </c>
      <c r="B865" s="395" t="s">
        <v>21</v>
      </c>
      <c r="C865" s="44" t="s">
        <v>2167</v>
      </c>
      <c r="D865" s="395"/>
      <c r="E865" s="399" t="s">
        <v>75</v>
      </c>
      <c r="F865" s="44" t="s">
        <v>1750</v>
      </c>
      <c r="G865" s="395" t="s">
        <v>185</v>
      </c>
      <c r="H865" s="590"/>
      <c r="I865" s="395">
        <v>4</v>
      </c>
      <c r="J865" s="590">
        <v>66.66</v>
      </c>
      <c r="K865" s="590"/>
      <c r="L865" s="397">
        <v>4</v>
      </c>
      <c r="M865" s="590">
        <v>66.66</v>
      </c>
      <c r="N865" s="6" t="s">
        <v>1792</v>
      </c>
      <c r="O865" s="398">
        <v>45685</v>
      </c>
      <c r="P865" s="33" t="str">
        <f>HYPERLINK("https://my.zakupivli.pro/remote/dispatcher/state_purchase_view/56982494", "UA-2025-01-28-011482-a")</f>
        <v>UA-2025-01-28-011482-a</v>
      </c>
      <c r="Q865" s="395"/>
      <c r="R865" s="397">
        <v>4</v>
      </c>
      <c r="S865" s="397">
        <v>66.66</v>
      </c>
      <c r="T865" s="398">
        <v>45685</v>
      </c>
      <c r="U865" s="395"/>
      <c r="V865" s="397" t="s">
        <v>59</v>
      </c>
    </row>
    <row r="866" spans="1:22" ht="43.2" x14ac:dyDescent="0.3">
      <c r="A866" s="399">
        <v>860</v>
      </c>
      <c r="B866" s="446" t="s">
        <v>21</v>
      </c>
      <c r="C866" s="452" t="s">
        <v>2167</v>
      </c>
      <c r="D866" s="446" t="s">
        <v>58</v>
      </c>
      <c r="E866" s="446" t="s">
        <v>75</v>
      </c>
      <c r="F866" s="452" t="s">
        <v>801</v>
      </c>
      <c r="G866" s="399" t="s">
        <v>185</v>
      </c>
      <c r="H866" s="590"/>
      <c r="I866" s="399">
        <v>32</v>
      </c>
      <c r="J866" s="590">
        <v>425.41665999999998</v>
      </c>
      <c r="K866" s="590"/>
      <c r="L866" s="399">
        <v>32</v>
      </c>
      <c r="M866" s="590">
        <v>425.41665999999998</v>
      </c>
      <c r="N866" s="6" t="s">
        <v>1794</v>
      </c>
      <c r="O866" s="400">
        <v>45686</v>
      </c>
      <c r="P866" s="33" t="str">
        <f>HYPERLINK("https://my.zakupivli.pro/remote/dispatcher/state_purchase_view/57010056", "UA-2025-01-29-003903-a")</f>
        <v>UA-2025-01-29-003903-a</v>
      </c>
      <c r="Q866" s="399"/>
      <c r="R866" s="399">
        <v>32</v>
      </c>
      <c r="S866" s="399">
        <v>417.82560000000001</v>
      </c>
      <c r="T866" s="400">
        <v>45712</v>
      </c>
      <c r="U866" s="399"/>
      <c r="V866" s="399"/>
    </row>
    <row r="867" spans="1:22" ht="43.2" x14ac:dyDescent="0.3">
      <c r="A867" s="399">
        <v>861</v>
      </c>
      <c r="B867" s="399" t="s">
        <v>21</v>
      </c>
      <c r="C867" s="44" t="s">
        <v>2167</v>
      </c>
      <c r="D867" s="399" t="s">
        <v>58</v>
      </c>
      <c r="E867" s="399" t="s">
        <v>75</v>
      </c>
      <c r="F867" s="44" t="s">
        <v>802</v>
      </c>
      <c r="G867" s="399" t="s">
        <v>185</v>
      </c>
      <c r="H867" s="590"/>
      <c r="I867" s="399">
        <v>259</v>
      </c>
      <c r="J867" s="590">
        <v>250.20249999999999</v>
      </c>
      <c r="K867" s="590"/>
      <c r="L867" s="399">
        <v>259</v>
      </c>
      <c r="M867" s="590">
        <v>250.20249999999999</v>
      </c>
      <c r="N867" s="6" t="s">
        <v>1795</v>
      </c>
      <c r="O867" s="400">
        <v>45686</v>
      </c>
      <c r="P867" s="33" t="str">
        <f>HYPERLINK("https://my.zakupivli.pro/remote/dispatcher/state_purchase_view/57010056", "UA-2025-01-29-003903-a")</f>
        <v>UA-2025-01-29-003903-a</v>
      </c>
      <c r="Q867" s="399"/>
      <c r="R867" s="399">
        <v>259</v>
      </c>
      <c r="S867" s="399">
        <v>160.41237000000001</v>
      </c>
      <c r="T867" s="400">
        <v>45706</v>
      </c>
      <c r="U867" s="399"/>
      <c r="V867" s="399"/>
    </row>
    <row r="868" spans="1:22" ht="43.2" x14ac:dyDescent="0.3">
      <c r="A868" s="399">
        <v>862</v>
      </c>
      <c r="B868" s="399" t="s">
        <v>21</v>
      </c>
      <c r="C868" s="44" t="s">
        <v>32</v>
      </c>
      <c r="D868" s="399" t="s">
        <v>58</v>
      </c>
      <c r="E868" s="399" t="s">
        <v>75</v>
      </c>
      <c r="F868" s="44" t="s">
        <v>2166</v>
      </c>
      <c r="G868" s="399" t="s">
        <v>186</v>
      </c>
      <c r="H868" s="590"/>
      <c r="I868" s="399">
        <v>8</v>
      </c>
      <c r="J868" s="590">
        <v>575</v>
      </c>
      <c r="K868" s="590"/>
      <c r="L868" s="399">
        <v>8</v>
      </c>
      <c r="M868" s="590">
        <v>575</v>
      </c>
      <c r="N868" s="6" t="s">
        <v>1796</v>
      </c>
      <c r="O868" s="400">
        <v>45687</v>
      </c>
      <c r="P868" s="33" t="str">
        <f>HYPERLINK("https://my.zakupivli.pro/remote/dispatcher/state_purchase_view/57062513", "UA-2025-01-30-008146-a")</f>
        <v>UA-2025-01-30-008146-a</v>
      </c>
      <c r="Q868" s="446"/>
      <c r="R868" s="446">
        <v>8</v>
      </c>
      <c r="S868" s="446">
        <v>405.4</v>
      </c>
      <c r="T868" s="441">
        <v>45712</v>
      </c>
      <c r="U868" s="399"/>
      <c r="V868" s="399"/>
    </row>
    <row r="869" spans="1:22" ht="43.2" x14ac:dyDescent="0.3">
      <c r="A869" s="399">
        <v>863</v>
      </c>
      <c r="B869" s="399" t="s">
        <v>21</v>
      </c>
      <c r="C869" s="44" t="s">
        <v>2039</v>
      </c>
      <c r="D869" s="399" t="s">
        <v>58</v>
      </c>
      <c r="E869" s="399" t="s">
        <v>75</v>
      </c>
      <c r="F869" s="44" t="s">
        <v>982</v>
      </c>
      <c r="G869" s="399" t="s">
        <v>186</v>
      </c>
      <c r="H869" s="590"/>
      <c r="I869" s="399">
        <v>19</v>
      </c>
      <c r="J869" s="590">
        <v>35537.1</v>
      </c>
      <c r="K869" s="590"/>
      <c r="L869" s="399">
        <v>19</v>
      </c>
      <c r="M869" s="590">
        <v>35537.1</v>
      </c>
      <c r="N869" s="6" t="s">
        <v>1797</v>
      </c>
      <c r="O869" s="400">
        <v>45687</v>
      </c>
      <c r="P869" s="33" t="str">
        <f>HYPERLINK("https://my.zakupivli.pro/remote/dispatcher/state_purchase_view/57062513", "UA-2025-01-30-008146-a")</f>
        <v>UA-2025-01-30-008146-a</v>
      </c>
      <c r="Q869" s="399"/>
      <c r="R869" s="399">
        <v>19</v>
      </c>
      <c r="S869" s="117">
        <v>30791</v>
      </c>
      <c r="T869" s="400">
        <v>45743</v>
      </c>
      <c r="U869" s="399"/>
      <c r="V869" s="399"/>
    </row>
    <row r="870" spans="1:22" ht="43.2" x14ac:dyDescent="0.3">
      <c r="A870" s="399">
        <v>864</v>
      </c>
      <c r="B870" s="399" t="s">
        <v>21</v>
      </c>
      <c r="C870" s="44" t="s">
        <v>2039</v>
      </c>
      <c r="D870" s="399" t="s">
        <v>58</v>
      </c>
      <c r="E870" s="399" t="s">
        <v>75</v>
      </c>
      <c r="F870" s="44" t="s">
        <v>983</v>
      </c>
      <c r="G870" s="399" t="s">
        <v>186</v>
      </c>
      <c r="H870" s="590">
        <v>1310.75</v>
      </c>
      <c r="I870" s="399">
        <v>1</v>
      </c>
      <c r="J870" s="590">
        <v>1310.75</v>
      </c>
      <c r="K870" s="590">
        <v>1310.75</v>
      </c>
      <c r="L870" s="399">
        <v>1</v>
      </c>
      <c r="M870" s="590">
        <v>1310.75</v>
      </c>
      <c r="N870" s="6" t="s">
        <v>1798</v>
      </c>
      <c r="O870" s="400">
        <v>45687</v>
      </c>
      <c r="P870" s="33" t="str">
        <f>HYPERLINK("https://my.zakupivli.pro/remote/dispatcher/state_purchase_view/57062513", "UA-2025-01-30-008146-a")</f>
        <v>UA-2025-01-30-008146-a</v>
      </c>
      <c r="Q870" s="399">
        <v>1256.3040000000001</v>
      </c>
      <c r="R870" s="399">
        <v>1</v>
      </c>
      <c r="S870" s="443">
        <v>1256.3040000000001</v>
      </c>
      <c r="T870" s="400">
        <v>45726</v>
      </c>
      <c r="U870" s="399"/>
      <c r="V870" s="399"/>
    </row>
    <row r="871" spans="1:22" ht="43.2" x14ac:dyDescent="0.3">
      <c r="A871" s="399">
        <v>865</v>
      </c>
      <c r="B871" s="399" t="s">
        <v>21</v>
      </c>
      <c r="C871" s="44" t="s">
        <v>2039</v>
      </c>
      <c r="D871" s="399" t="s">
        <v>58</v>
      </c>
      <c r="E871" s="399" t="s">
        <v>75</v>
      </c>
      <c r="F871" s="44" t="s">
        <v>984</v>
      </c>
      <c r="G871" s="399" t="s">
        <v>186</v>
      </c>
      <c r="H871" s="590"/>
      <c r="I871" s="399">
        <v>2</v>
      </c>
      <c r="J871" s="590">
        <v>21.70833</v>
      </c>
      <c r="K871" s="590"/>
      <c r="L871" s="399">
        <v>2</v>
      </c>
      <c r="M871" s="590">
        <v>21.70833</v>
      </c>
      <c r="N871" s="6" t="s">
        <v>1799</v>
      </c>
      <c r="O871" s="400">
        <v>45687</v>
      </c>
      <c r="P871" s="33" t="str">
        <f>HYPERLINK("https://my.zakupivli.pro/remote/dispatcher/state_purchase_view/57062513", "UA-2025-01-30-008146-a")</f>
        <v>UA-2025-01-30-008146-a</v>
      </c>
      <c r="Q871" s="399"/>
      <c r="R871" s="399">
        <v>2</v>
      </c>
      <c r="S871" s="399">
        <v>21.701000000000001</v>
      </c>
      <c r="T871" s="400">
        <v>45708</v>
      </c>
      <c r="U871" s="399"/>
      <c r="V871" s="399"/>
    </row>
    <row r="872" spans="1:22" ht="62.4" x14ac:dyDescent="0.3">
      <c r="A872" s="399">
        <v>866</v>
      </c>
      <c r="B872" s="446" t="s">
        <v>40</v>
      </c>
      <c r="C872" s="452" t="s">
        <v>2081</v>
      </c>
      <c r="D872" s="446"/>
      <c r="E872" s="446" t="s">
        <v>75</v>
      </c>
      <c r="F872" s="452" t="s">
        <v>1800</v>
      </c>
      <c r="G872" s="399" t="s">
        <v>184</v>
      </c>
      <c r="H872" s="590">
        <v>1213.87454</v>
      </c>
      <c r="I872" s="399">
        <v>1</v>
      </c>
      <c r="J872" s="590">
        <v>1213.87454</v>
      </c>
      <c r="K872" s="590">
        <v>1213.87454</v>
      </c>
      <c r="L872" s="401">
        <v>1</v>
      </c>
      <c r="M872" s="590">
        <v>1213.87454</v>
      </c>
      <c r="N872" s="6" t="s">
        <v>1804</v>
      </c>
      <c r="O872" s="400">
        <v>45688</v>
      </c>
      <c r="P872" s="33" t="str">
        <f>HYPERLINK("https://my.zakupivli.pro/remote/dispatcher/state_purchase_view/57102057", "UA-2025-01-31-008018-a")</f>
        <v>UA-2025-01-31-008018-a</v>
      </c>
      <c r="Q872" s="401">
        <v>1213.87454</v>
      </c>
      <c r="R872" s="401">
        <v>1</v>
      </c>
      <c r="S872" s="401">
        <v>1213.87454</v>
      </c>
      <c r="T872" s="402">
        <v>45688</v>
      </c>
      <c r="U872" s="399"/>
      <c r="V872" s="401" t="s">
        <v>59</v>
      </c>
    </row>
    <row r="873" spans="1:22" ht="62.4" x14ac:dyDescent="0.3">
      <c r="A873" s="401">
        <v>867</v>
      </c>
      <c r="B873" s="401" t="s">
        <v>40</v>
      </c>
      <c r="C873" s="44" t="s">
        <v>41</v>
      </c>
      <c r="D873" s="401"/>
      <c r="E873" s="401" t="s">
        <v>20</v>
      </c>
      <c r="F873" s="44" t="s">
        <v>2165</v>
      </c>
      <c r="G873" s="401" t="s">
        <v>184</v>
      </c>
      <c r="H873" s="590">
        <v>170.66155000000001</v>
      </c>
      <c r="I873" s="401">
        <v>1</v>
      </c>
      <c r="J873" s="590">
        <v>170.66155000000001</v>
      </c>
      <c r="K873" s="590">
        <v>170.66155000000001</v>
      </c>
      <c r="L873" s="401">
        <v>1</v>
      </c>
      <c r="M873" s="590">
        <v>170.66155000000001</v>
      </c>
      <c r="N873" s="6" t="s">
        <v>1805</v>
      </c>
      <c r="O873" s="402">
        <v>45688</v>
      </c>
      <c r="P873" s="33" t="str">
        <f>HYPERLINK("https://my.zakupivli.pro/remote/dispatcher/state_purchase_view/57100319", "UA-2025-01-31-007250-a")</f>
        <v>UA-2025-01-31-007250-a</v>
      </c>
      <c r="Q873" s="401">
        <v>170.66155000000001</v>
      </c>
      <c r="R873" s="401">
        <v>1</v>
      </c>
      <c r="S873" s="401">
        <v>170.66155000000001</v>
      </c>
      <c r="T873" s="402">
        <v>45688</v>
      </c>
      <c r="U873" s="401"/>
      <c r="V873" s="401" t="s">
        <v>59</v>
      </c>
    </row>
    <row r="874" spans="1:22" ht="62.4" x14ac:dyDescent="0.3">
      <c r="A874" s="401">
        <v>868</v>
      </c>
      <c r="B874" s="446" t="s">
        <v>40</v>
      </c>
      <c r="C874" s="452" t="s">
        <v>2081</v>
      </c>
      <c r="D874" s="446"/>
      <c r="E874" s="446" t="s">
        <v>75</v>
      </c>
      <c r="F874" s="452" t="s">
        <v>1801</v>
      </c>
      <c r="G874" s="401" t="s">
        <v>184</v>
      </c>
      <c r="H874" s="590">
        <v>1221.7584400000001</v>
      </c>
      <c r="I874" s="401">
        <v>1</v>
      </c>
      <c r="J874" s="590">
        <v>1221.7584400000001</v>
      </c>
      <c r="K874" s="590">
        <v>1221.7584400000001</v>
      </c>
      <c r="L874" s="401">
        <v>1</v>
      </c>
      <c r="M874" s="590">
        <v>1221.7584400000001</v>
      </c>
      <c r="N874" s="6" t="s">
        <v>1806</v>
      </c>
      <c r="O874" s="402">
        <v>45688</v>
      </c>
      <c r="P874" s="33" t="str">
        <f>HYPERLINK("https://my.zakupivli.pro/remote/dispatcher/state_purchase_view/57092256", "UA-2025-01-31-003646-a")</f>
        <v>UA-2025-01-31-003646-a</v>
      </c>
      <c r="Q874" s="401">
        <v>1221.7584400000001</v>
      </c>
      <c r="R874" s="401">
        <v>1</v>
      </c>
      <c r="S874" s="401">
        <v>1221.7584400000001</v>
      </c>
      <c r="T874" s="402">
        <v>45688</v>
      </c>
      <c r="U874" s="401"/>
      <c r="V874" s="401" t="s">
        <v>59</v>
      </c>
    </row>
    <row r="875" spans="1:22" ht="62.4" x14ac:dyDescent="0.3">
      <c r="A875" s="401">
        <v>869</v>
      </c>
      <c r="B875" s="401" t="s">
        <v>40</v>
      </c>
      <c r="C875" s="44" t="s">
        <v>73</v>
      </c>
      <c r="D875" s="401"/>
      <c r="E875" s="401" t="s">
        <v>75</v>
      </c>
      <c r="F875" s="44" t="s">
        <v>2164</v>
      </c>
      <c r="G875" s="401" t="s">
        <v>184</v>
      </c>
      <c r="H875" s="590">
        <v>1212.7150200000001</v>
      </c>
      <c r="I875" s="401">
        <v>1</v>
      </c>
      <c r="J875" s="590">
        <v>1212.7150200000001</v>
      </c>
      <c r="K875" s="590">
        <v>1212.7150200000001</v>
      </c>
      <c r="L875" s="401">
        <v>1</v>
      </c>
      <c r="M875" s="590">
        <v>1212.7150200000001</v>
      </c>
      <c r="N875" s="6" t="s">
        <v>1807</v>
      </c>
      <c r="O875" s="402">
        <v>45688</v>
      </c>
      <c r="P875" s="33" t="str">
        <f>HYPERLINK("https://my.zakupivli.pro/remote/dispatcher/state_purchase_view/57092017", "UA-2025-01-31-003489-a")</f>
        <v>UA-2025-01-31-003489-a</v>
      </c>
      <c r="Q875" s="401">
        <v>1212.7150200000001</v>
      </c>
      <c r="R875" s="401">
        <v>1</v>
      </c>
      <c r="S875" s="401">
        <v>1212.7150200000001</v>
      </c>
      <c r="T875" s="402">
        <v>45688</v>
      </c>
      <c r="U875" s="401"/>
      <c r="V875" s="401" t="s">
        <v>59</v>
      </c>
    </row>
    <row r="876" spans="1:22" ht="62.4" x14ac:dyDescent="0.3">
      <c r="A876" s="401">
        <v>870</v>
      </c>
      <c r="B876" s="401" t="s">
        <v>21</v>
      </c>
      <c r="C876" s="44" t="s">
        <v>2007</v>
      </c>
      <c r="D876" s="401"/>
      <c r="E876" s="446" t="s">
        <v>75</v>
      </c>
      <c r="F876" s="452" t="s">
        <v>1720</v>
      </c>
      <c r="G876" s="401" t="s">
        <v>185</v>
      </c>
      <c r="H876" s="590"/>
      <c r="I876" s="401">
        <v>6156</v>
      </c>
      <c r="J876" s="590">
        <v>4784.1333299999997</v>
      </c>
      <c r="K876" s="590"/>
      <c r="L876" s="401">
        <v>6156</v>
      </c>
      <c r="M876" s="590">
        <v>4784.1333299999997</v>
      </c>
      <c r="N876" s="6" t="s">
        <v>1808</v>
      </c>
      <c r="O876" s="402">
        <v>45688</v>
      </c>
      <c r="P876" s="33" t="str">
        <f>HYPERLINK("https://my.zakupivli.pro/remote/dispatcher/state_purchase_view/57088046", "UA-2025-01-31-001734-a")</f>
        <v>UA-2025-01-31-001734-a</v>
      </c>
      <c r="Q876" s="401"/>
      <c r="R876" s="401">
        <v>6156</v>
      </c>
      <c r="S876" s="401">
        <v>4707.7524999999996</v>
      </c>
      <c r="T876" s="402">
        <v>45707</v>
      </c>
      <c r="U876" s="401"/>
      <c r="V876" s="401"/>
    </row>
    <row r="877" spans="1:22" ht="43.2" x14ac:dyDescent="0.3">
      <c r="A877" s="401">
        <v>871</v>
      </c>
      <c r="B877" s="401" t="s">
        <v>21</v>
      </c>
      <c r="C877" s="44" t="s">
        <v>1803</v>
      </c>
      <c r="D877" s="401"/>
      <c r="E877" s="401" t="s">
        <v>75</v>
      </c>
      <c r="F877" s="44" t="s">
        <v>2163</v>
      </c>
      <c r="G877" s="401" t="s">
        <v>186</v>
      </c>
      <c r="H877" s="590"/>
      <c r="I877" s="401">
        <v>34</v>
      </c>
      <c r="J877" s="590">
        <v>534.52913000000001</v>
      </c>
      <c r="K877" s="590"/>
      <c r="L877" s="401">
        <v>34</v>
      </c>
      <c r="M877" s="590">
        <v>534.52913000000001</v>
      </c>
      <c r="N877" s="6" t="s">
        <v>1809</v>
      </c>
      <c r="O877" s="402">
        <v>45688</v>
      </c>
      <c r="P877" s="33" t="str">
        <f>HYPERLINK("https://my.zakupivli.pro/remote/dispatcher/state_purchase_view/57084914", "UA-2025-01-31-000377-a")</f>
        <v>UA-2025-01-31-000377-a</v>
      </c>
      <c r="Q877" s="401"/>
      <c r="R877" s="401">
        <v>34</v>
      </c>
      <c r="S877" s="401">
        <v>502.09455000000003</v>
      </c>
      <c r="T877" s="442">
        <v>45707</v>
      </c>
      <c r="U877" s="401"/>
      <c r="V877" s="401"/>
    </row>
    <row r="878" spans="1:22" ht="43.2" x14ac:dyDescent="0.3">
      <c r="A878" s="401">
        <v>872</v>
      </c>
      <c r="B878" s="401" t="s">
        <v>21</v>
      </c>
      <c r="C878" s="44" t="s">
        <v>2162</v>
      </c>
      <c r="D878" s="401"/>
      <c r="E878" s="401" t="s">
        <v>75</v>
      </c>
      <c r="F878" s="44" t="s">
        <v>1802</v>
      </c>
      <c r="G878" s="401" t="s">
        <v>186</v>
      </c>
      <c r="H878" s="590"/>
      <c r="I878" s="401">
        <v>3</v>
      </c>
      <c r="J878" s="590">
        <v>467.08332999999999</v>
      </c>
      <c r="K878" s="590"/>
      <c r="L878" s="401">
        <v>3</v>
      </c>
      <c r="M878" s="590">
        <v>467.08332999999999</v>
      </c>
      <c r="N878" s="6" t="s">
        <v>1810</v>
      </c>
      <c r="O878" s="402">
        <v>45688</v>
      </c>
      <c r="P878" s="42" t="str">
        <f>HYPERLINK("https://my.zakupivli.pro/remote/dispatcher/state_purchase_view/57084914", "UA-2025-01-31-000377-a")</f>
        <v>UA-2025-01-31-000377-a</v>
      </c>
      <c r="Q878" s="401"/>
      <c r="R878" s="401">
        <v>3</v>
      </c>
      <c r="S878" s="401">
        <v>461.30840000000001</v>
      </c>
      <c r="T878" s="402">
        <v>45706</v>
      </c>
      <c r="U878" s="401"/>
      <c r="V878" s="401"/>
    </row>
    <row r="879" spans="1:22" ht="62.4" x14ac:dyDescent="0.3">
      <c r="A879" s="401">
        <v>873</v>
      </c>
      <c r="B879" s="401" t="s">
        <v>40</v>
      </c>
      <c r="C879" s="44" t="s">
        <v>73</v>
      </c>
      <c r="D879" s="401"/>
      <c r="E879" s="403" t="s">
        <v>75</v>
      </c>
      <c r="F879" s="44" t="s">
        <v>2161</v>
      </c>
      <c r="G879" s="401" t="s">
        <v>184</v>
      </c>
      <c r="H879" s="590">
        <v>1249.1666600000001</v>
      </c>
      <c r="I879" s="401">
        <v>1</v>
      </c>
      <c r="J879" s="590">
        <v>1249.1666600000001</v>
      </c>
      <c r="K879" s="590">
        <v>1249.1666600000001</v>
      </c>
      <c r="L879" s="403">
        <v>1</v>
      </c>
      <c r="M879" s="590">
        <v>1249.1666600000001</v>
      </c>
      <c r="N879" s="6" t="s">
        <v>1813</v>
      </c>
      <c r="O879" s="402">
        <v>45691</v>
      </c>
      <c r="P879" s="33" t="str">
        <f>HYPERLINK("https://my.zakupivli.pro/remote/dispatcher/state_purchase_view/57145030", "UA-2025-02-03-010811-a")</f>
        <v>UA-2025-02-03-010811-a</v>
      </c>
      <c r="Q879" s="403">
        <v>1249.1666600000001</v>
      </c>
      <c r="R879" s="403">
        <v>1</v>
      </c>
      <c r="S879" s="403">
        <v>1249.1666600000001</v>
      </c>
      <c r="T879" s="404">
        <v>45691</v>
      </c>
      <c r="U879" s="401"/>
      <c r="V879" s="403" t="s">
        <v>59</v>
      </c>
    </row>
    <row r="880" spans="1:22" ht="62.4" x14ac:dyDescent="0.3">
      <c r="A880" s="403">
        <v>874</v>
      </c>
      <c r="B880" s="403" t="s">
        <v>40</v>
      </c>
      <c r="C880" s="452" t="s">
        <v>73</v>
      </c>
      <c r="D880" s="446"/>
      <c r="E880" s="446" t="s">
        <v>75</v>
      </c>
      <c r="F880" s="452" t="s">
        <v>2160</v>
      </c>
      <c r="G880" s="403" t="s">
        <v>184</v>
      </c>
      <c r="H880" s="590">
        <v>1249.1666600000001</v>
      </c>
      <c r="I880" s="403">
        <v>1</v>
      </c>
      <c r="J880" s="590">
        <v>1249.1666600000001</v>
      </c>
      <c r="K880" s="590">
        <v>1249.1666600000001</v>
      </c>
      <c r="L880" s="403">
        <v>1</v>
      </c>
      <c r="M880" s="590">
        <v>1249.1666600000001</v>
      </c>
      <c r="N880" s="6" t="s">
        <v>1814</v>
      </c>
      <c r="O880" s="404">
        <v>45691</v>
      </c>
      <c r="P880" s="33" t="str">
        <f>HYPERLINK("https://my.zakupivli.pro/remote/dispatcher/state_purchase_view/57144174", "UA-2025-02-03-010425-a")</f>
        <v>UA-2025-02-03-010425-a</v>
      </c>
      <c r="Q880" s="403">
        <v>1249.1666600000001</v>
      </c>
      <c r="R880" s="403">
        <v>1</v>
      </c>
      <c r="S880" s="403">
        <v>1249.1666600000001</v>
      </c>
      <c r="T880" s="404">
        <v>45691</v>
      </c>
      <c r="U880" s="403"/>
      <c r="V880" s="403" t="s">
        <v>59</v>
      </c>
    </row>
    <row r="881" spans="1:22" ht="62.4" x14ac:dyDescent="0.3">
      <c r="A881" s="403">
        <v>875</v>
      </c>
      <c r="B881" s="403" t="s">
        <v>40</v>
      </c>
      <c r="C881" s="44" t="s">
        <v>2081</v>
      </c>
      <c r="D881" s="403"/>
      <c r="E881" s="403" t="s">
        <v>75</v>
      </c>
      <c r="F881" s="44" t="s">
        <v>1811</v>
      </c>
      <c r="G881" s="403" t="s">
        <v>184</v>
      </c>
      <c r="H881" s="590">
        <v>1249.8669400000001</v>
      </c>
      <c r="I881" s="403">
        <v>1</v>
      </c>
      <c r="J881" s="590">
        <v>1249.8669400000001</v>
      </c>
      <c r="K881" s="590">
        <v>1249.8669400000001</v>
      </c>
      <c r="L881" s="403">
        <v>1</v>
      </c>
      <c r="M881" s="590">
        <v>1249.8669400000001</v>
      </c>
      <c r="N881" s="6" t="s">
        <v>1815</v>
      </c>
      <c r="O881" s="404">
        <v>45691</v>
      </c>
      <c r="P881" s="33" t="str">
        <f>HYPERLINK("https://my.zakupivli.pro/remote/dispatcher/state_purchase_view/57141917", "UA-2025-02-03-009439-a")</f>
        <v>UA-2025-02-03-009439-a</v>
      </c>
      <c r="Q881" s="403">
        <v>1249.8669400000001</v>
      </c>
      <c r="R881" s="403">
        <v>1</v>
      </c>
      <c r="S881" s="403">
        <v>1249.8669400000001</v>
      </c>
      <c r="T881" s="404">
        <v>45691</v>
      </c>
      <c r="U881" s="403"/>
      <c r="V881" s="403" t="s">
        <v>59</v>
      </c>
    </row>
    <row r="882" spans="1:22" ht="62.4" x14ac:dyDescent="0.3">
      <c r="A882" s="403">
        <v>876</v>
      </c>
      <c r="B882" s="403" t="s">
        <v>40</v>
      </c>
      <c r="C882" s="44" t="s">
        <v>2081</v>
      </c>
      <c r="D882" s="403"/>
      <c r="E882" s="403" t="s">
        <v>75</v>
      </c>
      <c r="F882" s="44" t="s">
        <v>1812</v>
      </c>
      <c r="G882" s="403" t="s">
        <v>184</v>
      </c>
      <c r="H882" s="590">
        <v>1249.63825</v>
      </c>
      <c r="I882" s="403">
        <v>1</v>
      </c>
      <c r="J882" s="590">
        <v>1249.63825</v>
      </c>
      <c r="K882" s="590">
        <v>1249.63825</v>
      </c>
      <c r="L882" s="403">
        <v>1</v>
      </c>
      <c r="M882" s="590">
        <v>1249.63825</v>
      </c>
      <c r="N882" s="6" t="s">
        <v>1816</v>
      </c>
      <c r="O882" s="404">
        <v>45691</v>
      </c>
      <c r="P882" s="33" t="str">
        <f>HYPERLINK("https://my.zakupivli.pro/remote/dispatcher/state_purchase_view/57141684", "UA-2025-02-03-009297-a")</f>
        <v>UA-2025-02-03-009297-a</v>
      </c>
      <c r="Q882" s="403">
        <v>1249.63825</v>
      </c>
      <c r="R882" s="403">
        <v>1</v>
      </c>
      <c r="S882" s="403">
        <v>1249.63825</v>
      </c>
      <c r="T882" s="404">
        <v>45691</v>
      </c>
      <c r="U882" s="403"/>
      <c r="V882" s="403" t="s">
        <v>59</v>
      </c>
    </row>
    <row r="883" spans="1:22" ht="62.4" x14ac:dyDescent="0.3">
      <c r="A883" s="403">
        <v>877</v>
      </c>
      <c r="B883" s="403" t="s">
        <v>40</v>
      </c>
      <c r="C883" s="44" t="s">
        <v>884</v>
      </c>
      <c r="D883" s="403"/>
      <c r="E883" s="403" t="s">
        <v>20</v>
      </c>
      <c r="F883" s="44" t="s">
        <v>2119</v>
      </c>
      <c r="G883" s="403" t="s">
        <v>184</v>
      </c>
      <c r="H883" s="590">
        <v>283.64323000000002</v>
      </c>
      <c r="I883" s="403">
        <v>1</v>
      </c>
      <c r="J883" s="590">
        <v>283.64323000000002</v>
      </c>
      <c r="K883" s="590">
        <v>283.64323000000002</v>
      </c>
      <c r="L883" s="403">
        <v>1</v>
      </c>
      <c r="M883" s="590">
        <v>283.64323000000002</v>
      </c>
      <c r="N883" s="6" t="s">
        <v>1817</v>
      </c>
      <c r="O883" s="404">
        <v>45691</v>
      </c>
      <c r="P883" s="33" t="str">
        <f>HYPERLINK("https://my.zakupivli.pro/remote/dispatcher/state_purchase_view/57122049", "UA-2025-02-03-000583-a")</f>
        <v>UA-2025-02-03-000583-a</v>
      </c>
      <c r="Q883" s="403">
        <v>283.64323000000002</v>
      </c>
      <c r="R883" s="403">
        <v>1</v>
      </c>
      <c r="S883" s="403">
        <v>283.64323000000002</v>
      </c>
      <c r="T883" s="404">
        <v>45691</v>
      </c>
      <c r="U883" s="403"/>
      <c r="V883" s="403" t="s">
        <v>59</v>
      </c>
    </row>
    <row r="884" spans="1:22" ht="62.4" x14ac:dyDescent="0.3">
      <c r="A884" s="403">
        <v>878</v>
      </c>
      <c r="B884" s="403" t="s">
        <v>40</v>
      </c>
      <c r="C884" s="44" t="s">
        <v>884</v>
      </c>
      <c r="D884" s="403"/>
      <c r="E884" s="403" t="s">
        <v>20</v>
      </c>
      <c r="F884" s="44" t="s">
        <v>2118</v>
      </c>
      <c r="G884" s="403" t="s">
        <v>184</v>
      </c>
      <c r="H884" s="590">
        <v>49.407220000000002</v>
      </c>
      <c r="I884" s="403">
        <v>1</v>
      </c>
      <c r="J884" s="590">
        <v>49.407220000000002</v>
      </c>
      <c r="K884" s="590">
        <v>49.407220000000002</v>
      </c>
      <c r="L884" s="403">
        <v>1</v>
      </c>
      <c r="M884" s="590">
        <v>49.407220000000002</v>
      </c>
      <c r="N884" s="6" t="s">
        <v>1818</v>
      </c>
      <c r="O884" s="404">
        <v>45691</v>
      </c>
      <c r="P884" s="33" t="str">
        <f>HYPERLINK("https://my.zakupivli.pro/remote/dispatcher/state_purchase_view/57121076", "UA-2025-02-03-000158-a")</f>
        <v>UA-2025-02-03-000158-a</v>
      </c>
      <c r="Q884" s="403">
        <v>49.407220000000002</v>
      </c>
      <c r="R884" s="403">
        <v>1</v>
      </c>
      <c r="S884" s="403">
        <v>49.407220000000002</v>
      </c>
      <c r="T884" s="404">
        <v>45691</v>
      </c>
      <c r="U884" s="403"/>
      <c r="V884" s="403" t="s">
        <v>59</v>
      </c>
    </row>
    <row r="885" spans="1:22" ht="93.6" x14ac:dyDescent="0.3">
      <c r="A885" s="403">
        <v>879</v>
      </c>
      <c r="B885" s="403" t="s">
        <v>1150</v>
      </c>
      <c r="C885" s="44" t="s">
        <v>2117</v>
      </c>
      <c r="D885" s="405" t="s">
        <v>58</v>
      </c>
      <c r="E885" s="403" t="s">
        <v>75</v>
      </c>
      <c r="F885" s="44" t="s">
        <v>1819</v>
      </c>
      <c r="G885" s="403" t="s">
        <v>1149</v>
      </c>
      <c r="H885" s="590">
        <v>1491.6666600000001</v>
      </c>
      <c r="I885" s="403">
        <v>1</v>
      </c>
      <c r="J885" s="590">
        <v>1491.6666600000001</v>
      </c>
      <c r="K885" s="590">
        <v>1491.6666600000001</v>
      </c>
      <c r="L885" s="405">
        <v>1</v>
      </c>
      <c r="M885" s="590">
        <v>1491.6666600000001</v>
      </c>
      <c r="N885" s="6" t="s">
        <v>1820</v>
      </c>
      <c r="O885" s="404">
        <v>45661</v>
      </c>
      <c r="P885" s="33" t="str">
        <f>HYPERLINK("https://my.zakupivli.pro/remote/dispatcher/state_purchase_view/57188673", "UA-2025-02-04-013387-a")</f>
        <v>UA-2025-02-04-013387-a</v>
      </c>
      <c r="Q885" s="403">
        <v>1491.6666600000001</v>
      </c>
      <c r="R885" s="403">
        <v>1</v>
      </c>
      <c r="S885" s="443">
        <v>1491.6666600000001</v>
      </c>
      <c r="T885" s="404">
        <v>45708</v>
      </c>
      <c r="U885" s="403"/>
      <c r="V885" s="403"/>
    </row>
    <row r="886" spans="1:22" ht="78" x14ac:dyDescent="0.3">
      <c r="A886" s="403">
        <v>880</v>
      </c>
      <c r="B886" s="403" t="s">
        <v>40</v>
      </c>
      <c r="C886" s="44" t="s">
        <v>1991</v>
      </c>
      <c r="D886" s="403"/>
      <c r="E886" s="403" t="s">
        <v>20</v>
      </c>
      <c r="F886" s="44" t="s">
        <v>1821</v>
      </c>
      <c r="G886" s="403" t="s">
        <v>184</v>
      </c>
      <c r="H886" s="590">
        <v>106.89339</v>
      </c>
      <c r="I886" s="403">
        <v>1</v>
      </c>
      <c r="J886" s="590">
        <v>106.89339</v>
      </c>
      <c r="K886" s="590">
        <v>106.89339</v>
      </c>
      <c r="L886" s="406">
        <v>1</v>
      </c>
      <c r="M886" s="590">
        <v>106.89339</v>
      </c>
      <c r="N886" s="6" t="s">
        <v>1826</v>
      </c>
      <c r="O886" s="404">
        <v>45693</v>
      </c>
      <c r="P886" s="33" t="str">
        <f>HYPERLINK("https://my.zakupivli.pro/remote/dispatcher/state_purchase_view/57231734", "UA-2025-02-05-014871-a")</f>
        <v>UA-2025-02-05-014871-a</v>
      </c>
      <c r="Q886" s="406">
        <v>106.89339</v>
      </c>
      <c r="R886" s="406">
        <v>1</v>
      </c>
      <c r="S886" s="406">
        <v>106.89339</v>
      </c>
      <c r="T886" s="407">
        <v>45693</v>
      </c>
      <c r="U886" s="403"/>
      <c r="V886" s="406" t="s">
        <v>59</v>
      </c>
    </row>
    <row r="887" spans="1:22" ht="62.4" x14ac:dyDescent="0.3">
      <c r="A887" s="406">
        <v>881</v>
      </c>
      <c r="B887" s="406" t="s">
        <v>21</v>
      </c>
      <c r="C887" s="44" t="s">
        <v>2038</v>
      </c>
      <c r="D887" s="406"/>
      <c r="E887" s="406" t="s">
        <v>75</v>
      </c>
      <c r="F887" s="44" t="s">
        <v>908</v>
      </c>
      <c r="G887" s="406" t="s">
        <v>185</v>
      </c>
      <c r="H887" s="590"/>
      <c r="I887" s="406">
        <v>24</v>
      </c>
      <c r="J887" s="590">
        <v>63.216000000000001</v>
      </c>
      <c r="K887" s="590"/>
      <c r="L887" s="406">
        <v>24</v>
      </c>
      <c r="M887" s="590">
        <v>63.216000000000001</v>
      </c>
      <c r="N887" s="6" t="s">
        <v>1827</v>
      </c>
      <c r="O887" s="407">
        <v>45693</v>
      </c>
      <c r="P887" s="33" t="str">
        <f>HYPERLINK("https://my.zakupivli.pro/remote/dispatcher/state_purchase_view/57223306", "UA-2025-02-05-010881-a")</f>
        <v>UA-2025-02-05-010881-a</v>
      </c>
      <c r="Q887" s="406"/>
      <c r="R887" s="406">
        <v>24</v>
      </c>
      <c r="S887" s="406">
        <v>63.216000000000001</v>
      </c>
      <c r="T887" s="407">
        <v>45693</v>
      </c>
      <c r="U887" s="406"/>
      <c r="V887" s="406" t="s">
        <v>59</v>
      </c>
    </row>
    <row r="888" spans="1:22" ht="78" x14ac:dyDescent="0.3">
      <c r="A888" s="406">
        <v>882</v>
      </c>
      <c r="B888" s="406" t="s">
        <v>40</v>
      </c>
      <c r="C888" s="44" t="s">
        <v>1991</v>
      </c>
      <c r="D888" s="406"/>
      <c r="E888" s="406" t="s">
        <v>20</v>
      </c>
      <c r="F888" s="44" t="s">
        <v>1822</v>
      </c>
      <c r="G888" s="406" t="s">
        <v>184</v>
      </c>
      <c r="H888" s="590">
        <v>83.528109999999998</v>
      </c>
      <c r="I888" s="406">
        <v>1</v>
      </c>
      <c r="J888" s="590">
        <v>83.528109999999998</v>
      </c>
      <c r="K888" s="590">
        <v>83.528109999999998</v>
      </c>
      <c r="L888" s="406">
        <v>1</v>
      </c>
      <c r="M888" s="590">
        <v>83.528109999999998</v>
      </c>
      <c r="N888" s="6" t="s">
        <v>1828</v>
      </c>
      <c r="O888" s="407">
        <v>45693</v>
      </c>
      <c r="P888" s="33" t="str">
        <f>HYPERLINK("https://my.zakupivli.pro/remote/dispatcher/state_purchase_view/57220856", "UA-2025-02-05-009779-a")</f>
        <v>UA-2025-02-05-009779-a</v>
      </c>
      <c r="Q888" s="406">
        <v>83.528109999999998</v>
      </c>
      <c r="R888" s="406">
        <v>1</v>
      </c>
      <c r="S888" s="406">
        <v>83.528109999999998</v>
      </c>
      <c r="T888" s="407">
        <v>45693</v>
      </c>
      <c r="U888" s="406"/>
      <c r="V888" s="406" t="s">
        <v>59</v>
      </c>
    </row>
    <row r="889" spans="1:22" ht="78" x14ac:dyDescent="0.3">
      <c r="A889" s="406">
        <v>883</v>
      </c>
      <c r="B889" s="406" t="s">
        <v>40</v>
      </c>
      <c r="C889" s="44" t="s">
        <v>1991</v>
      </c>
      <c r="D889" s="406"/>
      <c r="E889" s="406" t="s">
        <v>20</v>
      </c>
      <c r="F889" s="44" t="s">
        <v>1823</v>
      </c>
      <c r="G889" s="406" t="s">
        <v>184</v>
      </c>
      <c r="H889" s="590">
        <v>476.90512999999999</v>
      </c>
      <c r="I889" s="406">
        <v>1</v>
      </c>
      <c r="J889" s="590">
        <v>476.90512999999999</v>
      </c>
      <c r="K889" s="590">
        <v>476.90512999999999</v>
      </c>
      <c r="L889" s="406">
        <v>1</v>
      </c>
      <c r="M889" s="590">
        <v>476.90512999999999</v>
      </c>
      <c r="N889" s="6" t="s">
        <v>1829</v>
      </c>
      <c r="O889" s="407">
        <v>45693</v>
      </c>
      <c r="P889" s="33" t="str">
        <f>HYPERLINK("https://my.zakupivli.pro/remote/dispatcher/state_purchase_view/57220098", "UA-2025-02-05-009432-a")</f>
        <v>UA-2025-02-05-009432-a</v>
      </c>
      <c r="Q889" s="406">
        <v>476.90512999999999</v>
      </c>
      <c r="R889" s="406">
        <v>1</v>
      </c>
      <c r="S889" s="406">
        <v>476.90512999999999</v>
      </c>
      <c r="T889" s="407">
        <v>45693</v>
      </c>
      <c r="U889" s="406"/>
      <c r="V889" s="406" t="s">
        <v>59</v>
      </c>
    </row>
    <row r="890" spans="1:22" ht="62.4" x14ac:dyDescent="0.3">
      <c r="A890" s="406">
        <v>884</v>
      </c>
      <c r="B890" s="406" t="s">
        <v>21</v>
      </c>
      <c r="C890" s="452" t="s">
        <v>2116</v>
      </c>
      <c r="D890" s="446" t="s">
        <v>58</v>
      </c>
      <c r="E890" s="446" t="s">
        <v>75</v>
      </c>
      <c r="F890" s="452" t="s">
        <v>1824</v>
      </c>
      <c r="G890" s="406" t="s">
        <v>186</v>
      </c>
      <c r="H890" s="590"/>
      <c r="I890" s="406">
        <v>36</v>
      </c>
      <c r="J890" s="590">
        <v>733.33333000000005</v>
      </c>
      <c r="K890" s="590"/>
      <c r="L890" s="406">
        <v>36</v>
      </c>
      <c r="M890" s="590">
        <v>733.33333000000005</v>
      </c>
      <c r="N890" s="6" t="s">
        <v>1830</v>
      </c>
      <c r="O890" s="407">
        <v>45693</v>
      </c>
      <c r="P890" s="33" t="str">
        <f>HYPERLINK("https://my.zakupivli.pro/remote/dispatcher/state_purchase_view/57218765", "UA-2025-02-05-008804-a")</f>
        <v>UA-2025-02-05-008804-a</v>
      </c>
      <c r="Q890" s="406"/>
      <c r="R890" s="406">
        <v>36</v>
      </c>
      <c r="S890" s="406">
        <v>523.14535000000001</v>
      </c>
      <c r="T890" s="407">
        <v>45708</v>
      </c>
      <c r="U890" s="406"/>
      <c r="V890" s="406"/>
    </row>
    <row r="891" spans="1:22" ht="62.4" x14ac:dyDescent="0.3">
      <c r="A891" s="406">
        <v>885</v>
      </c>
      <c r="B891" s="406" t="s">
        <v>21</v>
      </c>
      <c r="C891" s="44" t="s">
        <v>1217</v>
      </c>
      <c r="D891" s="406" t="s">
        <v>58</v>
      </c>
      <c r="E891" s="406" t="s">
        <v>75</v>
      </c>
      <c r="F891" s="44" t="s">
        <v>2087</v>
      </c>
      <c r="G891" s="406" t="s">
        <v>185</v>
      </c>
      <c r="H891" s="590"/>
      <c r="I891" s="406">
        <v>357</v>
      </c>
      <c r="J891" s="590">
        <v>4154.7439999999997</v>
      </c>
      <c r="K891" s="590"/>
      <c r="L891" s="406">
        <v>357</v>
      </c>
      <c r="M891" s="590">
        <v>4154.7439999999997</v>
      </c>
      <c r="N891" s="6" t="s">
        <v>1831</v>
      </c>
      <c r="O891" s="407">
        <v>45693</v>
      </c>
      <c r="P891" s="33" t="str">
        <f>HYPERLINK("https://my.zakupivli.pro/remote/dispatcher/state_purchase_view/57218243", "UA-2025-02-05-008594-a")</f>
        <v>UA-2025-02-05-008594-a</v>
      </c>
      <c r="Q891" s="406"/>
      <c r="R891" s="406">
        <v>357</v>
      </c>
      <c r="S891" s="406">
        <v>3238.7710000000002</v>
      </c>
      <c r="T891" s="407">
        <v>45727</v>
      </c>
      <c r="U891" s="406"/>
      <c r="V891" s="406"/>
    </row>
    <row r="892" spans="1:22" ht="43.2" x14ac:dyDescent="0.3">
      <c r="A892" s="406">
        <v>886</v>
      </c>
      <c r="B892" s="406" t="s">
        <v>21</v>
      </c>
      <c r="C892" s="44" t="s">
        <v>2086</v>
      </c>
      <c r="D892" s="406" t="s">
        <v>58</v>
      </c>
      <c r="E892" s="406" t="s">
        <v>75</v>
      </c>
      <c r="F892" s="44" t="s">
        <v>1825</v>
      </c>
      <c r="G892" s="406" t="s">
        <v>186</v>
      </c>
      <c r="H892" s="590"/>
      <c r="I892" s="406">
        <v>15</v>
      </c>
      <c r="J892" s="590">
        <v>238.33332999999999</v>
      </c>
      <c r="K892" s="590"/>
      <c r="L892" s="406"/>
      <c r="M892" s="590"/>
      <c r="N892" s="6" t="s">
        <v>1832</v>
      </c>
      <c r="O892" s="407">
        <v>45693</v>
      </c>
      <c r="P892" s="33" t="str">
        <f>HYPERLINK("https://my.zakupivli.pro/remote/dispatcher/state_purchase_view/57204593", "UA-2025-02-05-002451-a")</f>
        <v>UA-2025-02-05-002451-a</v>
      </c>
      <c r="Q892" s="406"/>
      <c r="R892" s="406">
        <v>15</v>
      </c>
      <c r="S892" s="406">
        <v>214.17869999999999</v>
      </c>
      <c r="T892" s="407">
        <v>45712</v>
      </c>
      <c r="U892" s="406"/>
      <c r="V892" s="406"/>
    </row>
    <row r="893" spans="1:22" ht="43.2" x14ac:dyDescent="0.3">
      <c r="A893" s="408">
        <v>887</v>
      </c>
      <c r="B893" s="408" t="s">
        <v>21</v>
      </c>
      <c r="C893" s="452" t="s">
        <v>2085</v>
      </c>
      <c r="D893" s="446" t="s">
        <v>58</v>
      </c>
      <c r="E893" s="446" t="s">
        <v>75</v>
      </c>
      <c r="F893" s="475" t="s">
        <v>1833</v>
      </c>
      <c r="G893" s="408" t="s">
        <v>186</v>
      </c>
      <c r="H893" s="590"/>
      <c r="I893" s="408">
        <v>16</v>
      </c>
      <c r="J893" s="590">
        <v>1516.6666600000001</v>
      </c>
      <c r="K893" s="590"/>
      <c r="L893" s="408">
        <v>16</v>
      </c>
      <c r="M893" s="590">
        <v>1516.6666600000001</v>
      </c>
      <c r="N893" s="6" t="s">
        <v>1834</v>
      </c>
      <c r="O893" s="409">
        <v>45694</v>
      </c>
      <c r="P893" s="33" t="str">
        <f>HYPERLINK("https://my.zakupivli.pro/remote/dispatcher/state_purchase_view/57248238", "UA-2025-02-06-004155-a")</f>
        <v>UA-2025-02-06-004155-a</v>
      </c>
      <c r="Q893" s="446"/>
      <c r="R893" s="446">
        <v>16</v>
      </c>
      <c r="S893" s="446">
        <v>1264.9974999999999</v>
      </c>
      <c r="T893" s="441">
        <v>45713</v>
      </c>
      <c r="U893" s="408"/>
      <c r="V893" s="408"/>
    </row>
    <row r="894" spans="1:22" ht="78" x14ac:dyDescent="0.3">
      <c r="A894" s="408">
        <v>888</v>
      </c>
      <c r="B894" s="408" t="s">
        <v>21</v>
      </c>
      <c r="C894" s="44" t="s">
        <v>174</v>
      </c>
      <c r="D894" s="410" t="s">
        <v>58</v>
      </c>
      <c r="E894" s="408" t="s">
        <v>75</v>
      </c>
      <c r="F894" s="44" t="s">
        <v>2084</v>
      </c>
      <c r="G894" s="408" t="s">
        <v>186</v>
      </c>
      <c r="H894" s="590"/>
      <c r="I894" s="408">
        <v>17</v>
      </c>
      <c r="J894" s="590">
        <v>720</v>
      </c>
      <c r="K894" s="590"/>
      <c r="L894" s="410">
        <v>17</v>
      </c>
      <c r="M894" s="590">
        <v>720</v>
      </c>
      <c r="N894" s="6" t="s">
        <v>1835</v>
      </c>
      <c r="O894" s="409">
        <v>45695</v>
      </c>
      <c r="P894" s="33" t="str">
        <f>HYPERLINK("https://my.zakupivli.pro/remote/dispatcher/state_purchase_view/57301275", "UA-2025-02-07-010817-a")</f>
        <v>UA-2025-02-07-010817-a</v>
      </c>
      <c r="Q894" s="408"/>
      <c r="R894" s="408">
        <v>17</v>
      </c>
      <c r="S894" s="408">
        <v>580.73310000000004</v>
      </c>
      <c r="T894" s="409">
        <v>45715</v>
      </c>
      <c r="U894" s="408"/>
      <c r="V894" s="408"/>
    </row>
    <row r="895" spans="1:22" ht="93.6" x14ac:dyDescent="0.3">
      <c r="A895" s="408">
        <v>889</v>
      </c>
      <c r="B895" s="408" t="s">
        <v>40</v>
      </c>
      <c r="C895" s="44" t="s">
        <v>41</v>
      </c>
      <c r="D895" s="408"/>
      <c r="E895" s="408" t="s">
        <v>20</v>
      </c>
      <c r="F895" s="44" t="s">
        <v>2083</v>
      </c>
      <c r="G895" s="408" t="s">
        <v>184</v>
      </c>
      <c r="H895" s="590">
        <v>787.02700000000004</v>
      </c>
      <c r="I895" s="408">
        <v>1</v>
      </c>
      <c r="J895" s="590">
        <v>787.02700000000004</v>
      </c>
      <c r="K895" s="590">
        <v>787.02700000000004</v>
      </c>
      <c r="L895" s="410">
        <v>1</v>
      </c>
      <c r="M895" s="590">
        <v>787.02700000000004</v>
      </c>
      <c r="N895" s="6" t="s">
        <v>1836</v>
      </c>
      <c r="O895" s="411">
        <v>45695</v>
      </c>
      <c r="P895" s="33" t="str">
        <f>HYPERLINK("https://my.zakupivli.pro/remote/dispatcher/state_purchase_view/57295165", "UA-2025-02-07-007901-a")</f>
        <v>UA-2025-02-07-007901-a</v>
      </c>
      <c r="Q895" s="410">
        <v>787.02700000000004</v>
      </c>
      <c r="R895" s="410">
        <v>1</v>
      </c>
      <c r="S895" s="410">
        <v>787.02700000000004</v>
      </c>
      <c r="T895" s="411">
        <v>45695</v>
      </c>
      <c r="U895" s="408"/>
      <c r="V895" s="410" t="s">
        <v>59</v>
      </c>
    </row>
    <row r="896" spans="1:22" ht="62.4" x14ac:dyDescent="0.3">
      <c r="A896" s="408">
        <v>890</v>
      </c>
      <c r="B896" s="408" t="s">
        <v>40</v>
      </c>
      <c r="C896" s="452" t="s">
        <v>73</v>
      </c>
      <c r="D896" s="446"/>
      <c r="E896" s="446" t="s">
        <v>75</v>
      </c>
      <c r="F896" s="452" t="s">
        <v>2082</v>
      </c>
      <c r="G896" s="408" t="s">
        <v>184</v>
      </c>
      <c r="H896" s="590">
        <v>387.74173999999999</v>
      </c>
      <c r="I896" s="408">
        <v>1</v>
      </c>
      <c r="J896" s="590">
        <v>387.74173999999999</v>
      </c>
      <c r="K896" s="590">
        <v>387.74173999999999</v>
      </c>
      <c r="L896" s="410">
        <v>1</v>
      </c>
      <c r="M896" s="590">
        <v>387.74173999999999</v>
      </c>
      <c r="N896" s="6" t="s">
        <v>1837</v>
      </c>
      <c r="O896" s="411">
        <v>45695</v>
      </c>
      <c r="P896" s="33" t="str">
        <f>HYPERLINK("https://my.zakupivli.pro/remote/dispatcher/state_purchase_view/57279883", "UA-2025-02-07-001208-a")</f>
        <v>UA-2025-02-07-001208-a</v>
      </c>
      <c r="Q896" s="410">
        <v>387.74173999999999</v>
      </c>
      <c r="R896" s="410">
        <v>1</v>
      </c>
      <c r="S896" s="410">
        <v>387.74173999999999</v>
      </c>
      <c r="T896" s="411">
        <v>45695</v>
      </c>
      <c r="U896" s="408"/>
      <c r="V896" s="410" t="s">
        <v>59</v>
      </c>
    </row>
    <row r="897" spans="1:22" ht="62.4" x14ac:dyDescent="0.3">
      <c r="A897" s="412">
        <v>891</v>
      </c>
      <c r="B897" s="412" t="s">
        <v>40</v>
      </c>
      <c r="C897" s="44" t="s">
        <v>2081</v>
      </c>
      <c r="D897" s="412"/>
      <c r="E897" s="412" t="s">
        <v>75</v>
      </c>
      <c r="F897" s="44" t="s">
        <v>1838</v>
      </c>
      <c r="G897" s="412" t="s">
        <v>184</v>
      </c>
      <c r="H897" s="590">
        <v>243.83950999999999</v>
      </c>
      <c r="I897" s="412">
        <v>1</v>
      </c>
      <c r="J897" s="590">
        <v>243.83950999999999</v>
      </c>
      <c r="K897" s="590">
        <v>243.83950999999999</v>
      </c>
      <c r="L897" s="412">
        <v>1</v>
      </c>
      <c r="M897" s="590">
        <v>243.83950999999999</v>
      </c>
      <c r="N897" s="6" t="s">
        <v>1839</v>
      </c>
      <c r="O897" s="413">
        <v>45698</v>
      </c>
      <c r="P897" s="33" t="str">
        <f>HYPERLINK("https://my.zakupivli.pro/remote/dispatcher/state_purchase_view/57327334", "UA-2025-02-10-005542-a")</f>
        <v>UA-2025-02-10-005542-a</v>
      </c>
      <c r="Q897" s="412">
        <v>243.83950999999999</v>
      </c>
      <c r="R897" s="412">
        <v>1</v>
      </c>
      <c r="S897" s="412">
        <v>243.83950999999999</v>
      </c>
      <c r="T897" s="413">
        <v>45691</v>
      </c>
      <c r="U897" s="412"/>
      <c r="V897" s="412" t="s">
        <v>59</v>
      </c>
    </row>
    <row r="898" spans="1:22" ht="62.4" x14ac:dyDescent="0.3">
      <c r="A898" s="414">
        <v>892</v>
      </c>
      <c r="B898" s="414" t="s">
        <v>21</v>
      </c>
      <c r="C898" s="44" t="s">
        <v>2080</v>
      </c>
      <c r="D898" s="414" t="s">
        <v>58</v>
      </c>
      <c r="E898" s="414" t="s">
        <v>75</v>
      </c>
      <c r="F898" s="44" t="s">
        <v>1840</v>
      </c>
      <c r="G898" s="414" t="s">
        <v>185</v>
      </c>
      <c r="H898" s="590"/>
      <c r="I898" s="414">
        <v>121</v>
      </c>
      <c r="J898" s="590">
        <v>2684.5</v>
      </c>
      <c r="K898" s="590"/>
      <c r="L898" s="414">
        <v>121</v>
      </c>
      <c r="M898" s="590">
        <v>2684.5</v>
      </c>
      <c r="N898" s="6" t="s">
        <v>1844</v>
      </c>
      <c r="O898" s="415">
        <v>45699</v>
      </c>
      <c r="P898" s="33" t="str">
        <f>HYPERLINK("https://my.zakupivli.pro/remote/dispatcher/state_purchase_view/57385934", "UA-2025-02-11-014813-a")</f>
        <v>UA-2025-02-11-014813-a</v>
      </c>
      <c r="Q898" s="414"/>
      <c r="R898" s="414">
        <v>121</v>
      </c>
      <c r="S898" s="414">
        <v>2361.3530000000001</v>
      </c>
      <c r="T898" s="415">
        <v>45727</v>
      </c>
      <c r="U898" s="414"/>
      <c r="V898" s="414"/>
    </row>
    <row r="899" spans="1:22" ht="62.4" x14ac:dyDescent="0.3">
      <c r="A899" s="414">
        <v>893</v>
      </c>
      <c r="B899" s="414" t="s">
        <v>21</v>
      </c>
      <c r="C899" s="44" t="s">
        <v>405</v>
      </c>
      <c r="D899" s="414" t="s">
        <v>58</v>
      </c>
      <c r="E899" s="414" t="s">
        <v>75</v>
      </c>
      <c r="F899" s="44" t="s">
        <v>2079</v>
      </c>
      <c r="G899" s="414" t="s">
        <v>186</v>
      </c>
      <c r="H899" s="590"/>
      <c r="I899" s="414">
        <v>23</v>
      </c>
      <c r="J899" s="590">
        <v>2904.5833299999999</v>
      </c>
      <c r="K899" s="590"/>
      <c r="L899" s="414">
        <v>23</v>
      </c>
      <c r="M899" s="590">
        <v>2904.5833299999999</v>
      </c>
      <c r="N899" s="6" t="s">
        <v>1845</v>
      </c>
      <c r="O899" s="415">
        <v>45699</v>
      </c>
      <c r="P899" s="33" t="str">
        <f>HYPERLINK("https://my.zakupivli.pro/remote/dispatcher/state_purchase_view/57385694", "UA-2025-02-11-014703-a")</f>
        <v>UA-2025-02-11-014703-a</v>
      </c>
      <c r="Q899" s="414"/>
      <c r="R899" s="414">
        <v>23</v>
      </c>
      <c r="S899" s="414">
        <v>2737.4838</v>
      </c>
      <c r="T899" s="415">
        <v>45733</v>
      </c>
      <c r="U899" s="414"/>
      <c r="V899" s="414"/>
    </row>
    <row r="900" spans="1:22" ht="62.4" x14ac:dyDescent="0.3">
      <c r="A900" s="414">
        <v>894</v>
      </c>
      <c r="B900" s="414" t="s">
        <v>21</v>
      </c>
      <c r="C900" s="452" t="s">
        <v>2007</v>
      </c>
      <c r="D900" s="446" t="s">
        <v>58</v>
      </c>
      <c r="E900" s="446" t="s">
        <v>75</v>
      </c>
      <c r="F900" s="452" t="s">
        <v>1841</v>
      </c>
      <c r="G900" s="414" t="s">
        <v>186</v>
      </c>
      <c r="H900" s="590"/>
      <c r="I900" s="414">
        <v>18</v>
      </c>
      <c r="J900" s="590">
        <v>2034.8084100000001</v>
      </c>
      <c r="K900" s="590"/>
      <c r="L900" s="414">
        <v>18</v>
      </c>
      <c r="M900" s="590">
        <v>2034.8084100000001</v>
      </c>
      <c r="N900" s="6" t="s">
        <v>1846</v>
      </c>
      <c r="O900" s="415">
        <v>45699</v>
      </c>
      <c r="P900" s="33" t="str">
        <f>HYPERLINK("https://my.zakupivli.pro/remote/dispatcher/state_purchase_view/57385694", "UA-2025-02-11-014703-a")</f>
        <v>UA-2025-02-11-014703-a</v>
      </c>
      <c r="Q900" s="414"/>
      <c r="R900" s="414">
        <v>18</v>
      </c>
      <c r="S900" s="414">
        <v>1745.1990000000001</v>
      </c>
      <c r="T900" s="415">
        <v>45727</v>
      </c>
      <c r="U900" s="414"/>
      <c r="V900" s="414"/>
    </row>
    <row r="901" spans="1:22" ht="62.4" x14ac:dyDescent="0.3">
      <c r="A901" s="414">
        <v>895</v>
      </c>
      <c r="B901" s="414" t="s">
        <v>21</v>
      </c>
      <c r="C901" s="44" t="s">
        <v>2007</v>
      </c>
      <c r="D901" s="414" t="s">
        <v>58</v>
      </c>
      <c r="E901" s="414" t="s">
        <v>75</v>
      </c>
      <c r="F901" s="44" t="s">
        <v>1842</v>
      </c>
      <c r="G901" s="414" t="s">
        <v>186</v>
      </c>
      <c r="H901" s="590">
        <v>1791.6666600000001</v>
      </c>
      <c r="I901" s="414">
        <v>1</v>
      </c>
      <c r="J901" s="590">
        <v>1791.6666600000001</v>
      </c>
      <c r="K901" s="590">
        <v>1791.6666600000001</v>
      </c>
      <c r="L901" s="414">
        <v>1</v>
      </c>
      <c r="M901" s="590">
        <v>1791.6666600000001</v>
      </c>
      <c r="N901" s="6" t="s">
        <v>1847</v>
      </c>
      <c r="O901" s="415">
        <v>45699</v>
      </c>
      <c r="P901" s="33" t="str">
        <f>HYPERLINK("https://my.zakupivli.pro/remote/dispatcher/state_purchase_view/57385694", "UA-2025-02-11-014703-a")</f>
        <v>UA-2025-02-11-014703-a</v>
      </c>
      <c r="Q901" s="414">
        <v>1579.16</v>
      </c>
      <c r="R901" s="414">
        <v>1</v>
      </c>
      <c r="S901" s="443">
        <v>1579.16</v>
      </c>
      <c r="T901" s="415">
        <v>45733</v>
      </c>
      <c r="U901" s="414"/>
      <c r="V901" s="414"/>
    </row>
    <row r="902" spans="1:22" ht="62.4" x14ac:dyDescent="0.3">
      <c r="A902" s="414">
        <v>896</v>
      </c>
      <c r="B902" s="414" t="s">
        <v>21</v>
      </c>
      <c r="C902" s="44" t="s">
        <v>405</v>
      </c>
      <c r="D902" s="414" t="s">
        <v>58</v>
      </c>
      <c r="E902" s="414" t="s">
        <v>75</v>
      </c>
      <c r="F902" s="44" t="s">
        <v>2078</v>
      </c>
      <c r="G902" s="414" t="s">
        <v>186</v>
      </c>
      <c r="H902" s="590"/>
      <c r="I902" s="414">
        <v>4</v>
      </c>
      <c r="J902" s="590">
        <v>6268.7</v>
      </c>
      <c r="K902" s="590"/>
      <c r="L902" s="414">
        <v>4</v>
      </c>
      <c r="M902" s="590">
        <v>6268.7</v>
      </c>
      <c r="N902" s="6" t="s">
        <v>1848</v>
      </c>
      <c r="O902" s="415">
        <v>45699</v>
      </c>
      <c r="P902" s="33" t="str">
        <f>HYPERLINK("https://my.zakupivli.pro/remote/dispatcher/state_purchase_view/57385694", "UA-2025-02-11-014703-a")</f>
        <v>UA-2025-02-11-014703-a</v>
      </c>
      <c r="Q902" s="414"/>
      <c r="R902" s="414">
        <v>4</v>
      </c>
      <c r="S902" s="117">
        <v>6260</v>
      </c>
      <c r="T902" s="415">
        <v>45727</v>
      </c>
      <c r="U902" s="414"/>
      <c r="V902" s="414"/>
    </row>
    <row r="903" spans="1:22" ht="46.8" x14ac:dyDescent="0.3">
      <c r="A903" s="414">
        <v>897</v>
      </c>
      <c r="B903" s="414" t="s">
        <v>21</v>
      </c>
      <c r="C903" s="452" t="s">
        <v>1117</v>
      </c>
      <c r="D903" s="446" t="s">
        <v>58</v>
      </c>
      <c r="E903" s="446" t="s">
        <v>75</v>
      </c>
      <c r="F903" s="452" t="s">
        <v>2077</v>
      </c>
      <c r="G903" s="414" t="s">
        <v>186</v>
      </c>
      <c r="H903" s="590"/>
      <c r="I903" s="414">
        <v>10</v>
      </c>
      <c r="J903" s="590">
        <v>218.75</v>
      </c>
      <c r="K903" s="590"/>
      <c r="L903" s="414">
        <v>10</v>
      </c>
      <c r="M903" s="590">
        <v>218.75</v>
      </c>
      <c r="N903" s="6" t="s">
        <v>1849</v>
      </c>
      <c r="O903" s="415">
        <v>45699</v>
      </c>
      <c r="P903" s="33" t="str">
        <f>HYPERLINK("https://my.zakupivli.pro/remote/dispatcher/state_purchase_view/57380194", "UA-2025-02-11-012151-a")</f>
        <v>UA-2025-02-11-012151-a</v>
      </c>
      <c r="Q903" s="414"/>
      <c r="R903" s="414"/>
      <c r="S903" s="414"/>
      <c r="T903" s="415"/>
      <c r="U903" s="414" t="s">
        <v>1793</v>
      </c>
      <c r="V903" s="414"/>
    </row>
    <row r="904" spans="1:22" ht="62.4" x14ac:dyDescent="0.3">
      <c r="A904" s="414">
        <v>898</v>
      </c>
      <c r="B904" s="414" t="s">
        <v>21</v>
      </c>
      <c r="C904" s="44" t="s">
        <v>2011</v>
      </c>
      <c r="D904" s="414"/>
      <c r="E904" s="414" t="s">
        <v>20</v>
      </c>
      <c r="F904" s="44" t="s">
        <v>1843</v>
      </c>
      <c r="G904" s="414" t="s">
        <v>185</v>
      </c>
      <c r="H904" s="590">
        <v>47.5</v>
      </c>
      <c r="I904" s="414">
        <v>1</v>
      </c>
      <c r="J904" s="590">
        <v>47.5</v>
      </c>
      <c r="K904" s="590">
        <v>47.5</v>
      </c>
      <c r="L904" s="414">
        <v>1</v>
      </c>
      <c r="M904" s="590">
        <v>47.5</v>
      </c>
      <c r="N904" s="6" t="s">
        <v>1850</v>
      </c>
      <c r="O904" s="415">
        <v>45700</v>
      </c>
      <c r="P904" s="33" t="str">
        <f>HYPERLINK("https://my.zakupivli.pro/remote/dispatcher/state_purchase_view/57407976", "UA-2025-02-12-008425-a")</f>
        <v>UA-2025-02-12-008425-a</v>
      </c>
      <c r="Q904" s="117">
        <v>47.5</v>
      </c>
      <c r="R904" s="414">
        <v>1</v>
      </c>
      <c r="S904" s="117">
        <v>47.5</v>
      </c>
      <c r="T904" s="415">
        <v>45700</v>
      </c>
      <c r="U904" s="414"/>
      <c r="V904" s="414" t="s">
        <v>59</v>
      </c>
    </row>
    <row r="905" spans="1:22" ht="62.4" x14ac:dyDescent="0.3">
      <c r="A905" s="414">
        <v>899</v>
      </c>
      <c r="B905" s="414" t="s">
        <v>21</v>
      </c>
      <c r="C905" s="44" t="s">
        <v>2076</v>
      </c>
      <c r="D905" s="414"/>
      <c r="E905" s="414" t="s">
        <v>75</v>
      </c>
      <c r="F905" s="44" t="s">
        <v>1851</v>
      </c>
      <c r="G905" s="414" t="s">
        <v>185</v>
      </c>
      <c r="H905" s="590"/>
      <c r="I905" s="414">
        <v>600</v>
      </c>
      <c r="J905" s="590">
        <v>82.38</v>
      </c>
      <c r="K905" s="590"/>
      <c r="L905" s="417">
        <v>600</v>
      </c>
      <c r="M905" s="590">
        <v>82.38</v>
      </c>
      <c r="N905" s="6" t="s">
        <v>1854</v>
      </c>
      <c r="O905" s="415">
        <v>45701</v>
      </c>
      <c r="P905" s="33" t="str">
        <f>HYPERLINK("https://my.zakupivli.pro/remote/dispatcher/state_purchase_view/57447516", "UA-2025-02-13-010243-a")</f>
        <v>UA-2025-02-13-010243-a</v>
      </c>
      <c r="Q905" s="414"/>
      <c r="R905" s="417">
        <v>600</v>
      </c>
      <c r="S905" s="117">
        <v>82.38</v>
      </c>
      <c r="T905" s="416">
        <v>45729</v>
      </c>
      <c r="U905" s="414"/>
      <c r="V905" s="417" t="s">
        <v>59</v>
      </c>
    </row>
    <row r="906" spans="1:22" ht="62.4" x14ac:dyDescent="0.3">
      <c r="A906" s="414">
        <v>900</v>
      </c>
      <c r="B906" s="414" t="s">
        <v>21</v>
      </c>
      <c r="C906" s="452" t="s">
        <v>1853</v>
      </c>
      <c r="D906" s="446" t="s">
        <v>58</v>
      </c>
      <c r="E906" s="446" t="s">
        <v>75</v>
      </c>
      <c r="F906" s="452" t="s">
        <v>2075</v>
      </c>
      <c r="G906" s="414" t="s">
        <v>186</v>
      </c>
      <c r="H906" s="590"/>
      <c r="I906" s="414">
        <v>23</v>
      </c>
      <c r="J906" s="590">
        <v>1258.3333299999999</v>
      </c>
      <c r="K906" s="590"/>
      <c r="L906" s="417">
        <v>23</v>
      </c>
      <c r="M906" s="590">
        <v>1258.3333299999999</v>
      </c>
      <c r="N906" s="6" t="s">
        <v>1855</v>
      </c>
      <c r="O906" s="419">
        <v>45701</v>
      </c>
      <c r="P906" s="33" t="str">
        <f>HYPERLINK("https://my.zakupivli.pro/remote/dispatcher/state_purchase_view/57446387", "UA-2025-02-13-009809-a")</f>
        <v>UA-2025-02-13-009809-a</v>
      </c>
      <c r="Q906" s="414"/>
      <c r="R906" s="414">
        <v>23</v>
      </c>
      <c r="S906" s="414">
        <v>1133.4929</v>
      </c>
      <c r="T906" s="415">
        <v>45715</v>
      </c>
      <c r="U906" s="414"/>
      <c r="V906" s="414"/>
    </row>
    <row r="907" spans="1:22" ht="46.8" x14ac:dyDescent="0.3">
      <c r="A907" s="414">
        <v>901</v>
      </c>
      <c r="B907" s="414" t="s">
        <v>21</v>
      </c>
      <c r="C907" s="44" t="s">
        <v>1068</v>
      </c>
      <c r="D907" s="417" t="s">
        <v>58</v>
      </c>
      <c r="E907" s="414" t="s">
        <v>75</v>
      </c>
      <c r="F907" s="44" t="s">
        <v>2074</v>
      </c>
      <c r="G907" s="414" t="s">
        <v>185</v>
      </c>
      <c r="H907" s="590"/>
      <c r="I907" s="414">
        <v>762</v>
      </c>
      <c r="J907" s="590">
        <v>464.81247000000002</v>
      </c>
      <c r="K907" s="590"/>
      <c r="L907" s="417">
        <v>762</v>
      </c>
      <c r="M907" s="590">
        <v>464.81247000000002</v>
      </c>
      <c r="N907" s="6" t="s">
        <v>1856</v>
      </c>
      <c r="O907" s="419">
        <v>45701</v>
      </c>
      <c r="P907" s="33" t="str">
        <f>HYPERLINK("https://my.zakupivli.pro/remote/dispatcher/state_purchase_view/57445600", "UA-2025-02-13-009405-a")</f>
        <v>UA-2025-02-13-009405-a</v>
      </c>
      <c r="Q907" s="414"/>
      <c r="R907" s="414">
        <v>762</v>
      </c>
      <c r="S907" s="414">
        <v>459.81484999999998</v>
      </c>
      <c r="T907" s="415">
        <v>45716</v>
      </c>
      <c r="U907" s="414"/>
      <c r="V907" s="414"/>
    </row>
    <row r="908" spans="1:22" ht="62.4" x14ac:dyDescent="0.3">
      <c r="A908" s="414">
        <v>902</v>
      </c>
      <c r="B908" s="414" t="s">
        <v>40</v>
      </c>
      <c r="C908" s="44" t="s">
        <v>884</v>
      </c>
      <c r="D908" s="414"/>
      <c r="E908" s="414" t="s">
        <v>20</v>
      </c>
      <c r="F908" s="44" t="s">
        <v>2073</v>
      </c>
      <c r="G908" s="414" t="s">
        <v>184</v>
      </c>
      <c r="H908" s="590">
        <v>373.69754999999998</v>
      </c>
      <c r="I908" s="414">
        <v>1</v>
      </c>
      <c r="J908" s="590">
        <v>373.69754999999998</v>
      </c>
      <c r="K908" s="590">
        <v>373.69754999999998</v>
      </c>
      <c r="L908" s="417">
        <v>1</v>
      </c>
      <c r="M908" s="590">
        <v>373.69754999999998</v>
      </c>
      <c r="N908" s="6" t="s">
        <v>1857</v>
      </c>
      <c r="O908" s="419">
        <v>45701</v>
      </c>
      <c r="P908" s="33" t="str">
        <f>HYPERLINK("https://my.zakupivli.pro/remote/dispatcher/state_purchase_view/57443185", "UA-2025-02-13-008334-a")</f>
        <v>UA-2025-02-13-008334-a</v>
      </c>
      <c r="Q908" s="417">
        <v>373.69754999999998</v>
      </c>
      <c r="R908" s="417">
        <v>1</v>
      </c>
      <c r="S908" s="417">
        <v>373.69754999999998</v>
      </c>
      <c r="T908" s="419">
        <v>45701</v>
      </c>
      <c r="U908" s="414"/>
      <c r="V908" s="417" t="s">
        <v>59</v>
      </c>
    </row>
    <row r="909" spans="1:22" ht="62.4" x14ac:dyDescent="0.3">
      <c r="A909" s="414">
        <v>903</v>
      </c>
      <c r="B909" s="414" t="s">
        <v>40</v>
      </c>
      <c r="C909" s="452" t="s">
        <v>2008</v>
      </c>
      <c r="D909" s="446"/>
      <c r="E909" s="446" t="s">
        <v>20</v>
      </c>
      <c r="F909" s="452" t="s">
        <v>1852</v>
      </c>
      <c r="G909" s="414" t="s">
        <v>184</v>
      </c>
      <c r="H909" s="590">
        <v>91.886300000000006</v>
      </c>
      <c r="I909" s="414">
        <v>1</v>
      </c>
      <c r="J909" s="590">
        <v>91.886300000000006</v>
      </c>
      <c r="K909" s="590">
        <v>91.886300000000006</v>
      </c>
      <c r="L909" s="417">
        <v>1</v>
      </c>
      <c r="M909" s="590">
        <v>91.886300000000006</v>
      </c>
      <c r="N909" s="6" t="s">
        <v>1858</v>
      </c>
      <c r="O909" s="419">
        <v>45701</v>
      </c>
      <c r="P909" s="33" t="str">
        <f>HYPERLINK("https://my.zakupivli.pro/remote/dispatcher/state_purchase_view/57441860", "UA-2025-02-13-007747-a")</f>
        <v>UA-2025-02-13-007747-a</v>
      </c>
      <c r="Q909" s="417">
        <v>91.886300000000006</v>
      </c>
      <c r="R909" s="417">
        <v>1</v>
      </c>
      <c r="S909" s="417">
        <v>91.886300000000006</v>
      </c>
      <c r="T909" s="419">
        <v>45701</v>
      </c>
      <c r="U909" s="414"/>
      <c r="V909" s="417" t="s">
        <v>59</v>
      </c>
    </row>
    <row r="910" spans="1:22" ht="62.4" x14ac:dyDescent="0.3">
      <c r="A910" s="414">
        <v>904</v>
      </c>
      <c r="B910" s="414" t="s">
        <v>40</v>
      </c>
      <c r="C910" s="44" t="s">
        <v>884</v>
      </c>
      <c r="D910" s="414"/>
      <c r="E910" s="414" t="s">
        <v>20</v>
      </c>
      <c r="F910" s="44" t="s">
        <v>2072</v>
      </c>
      <c r="G910" s="414" t="s">
        <v>184</v>
      </c>
      <c r="H910" s="590">
        <v>82.772499999999994</v>
      </c>
      <c r="I910" s="414">
        <v>1</v>
      </c>
      <c r="J910" s="590">
        <v>82.772499999999994</v>
      </c>
      <c r="K910" s="590">
        <v>82.772499999999994</v>
      </c>
      <c r="L910" s="417">
        <v>1</v>
      </c>
      <c r="M910" s="590">
        <v>82.772499999999994</v>
      </c>
      <c r="N910" s="6" t="s">
        <v>1859</v>
      </c>
      <c r="O910" s="419">
        <v>45701</v>
      </c>
      <c r="P910" s="33" t="str">
        <f>HYPERLINK("https://my.zakupivli.pro/remote/dispatcher/state_purchase_view/57435375", "UA-2025-02-13-004874-a")</f>
        <v>UA-2025-02-13-004874-a</v>
      </c>
      <c r="Q910" s="417">
        <v>82.772499999999994</v>
      </c>
      <c r="R910" s="417">
        <v>1</v>
      </c>
      <c r="S910" s="417">
        <v>82.772499999999994</v>
      </c>
      <c r="T910" s="419">
        <v>45701</v>
      </c>
      <c r="U910" s="414"/>
      <c r="V910" s="417" t="s">
        <v>59</v>
      </c>
    </row>
    <row r="911" spans="1:22" ht="62.4" x14ac:dyDescent="0.3">
      <c r="A911" s="417">
        <v>905</v>
      </c>
      <c r="B911" s="418" t="s">
        <v>40</v>
      </c>
      <c r="C911" s="44" t="s">
        <v>73</v>
      </c>
      <c r="D911" s="417"/>
      <c r="E911" s="417" t="s">
        <v>75</v>
      </c>
      <c r="F911" s="44" t="s">
        <v>2071</v>
      </c>
      <c r="G911" s="417" t="s">
        <v>184</v>
      </c>
      <c r="H911" s="590">
        <v>273.72771999999998</v>
      </c>
      <c r="I911" s="417">
        <v>1</v>
      </c>
      <c r="J911" s="590">
        <v>273.72771999999998</v>
      </c>
      <c r="K911" s="590">
        <v>273.72771999999998</v>
      </c>
      <c r="L911" s="418">
        <v>1</v>
      </c>
      <c r="M911" s="590">
        <v>273.72771999999998</v>
      </c>
      <c r="N911" s="6" t="s">
        <v>1860</v>
      </c>
      <c r="O911" s="419">
        <v>45701</v>
      </c>
      <c r="P911" s="120" t="str">
        <f>HYPERLINK("https://my.zakupivli.pro/remote/dispatcher/state_purchase_view/57453868", "UA-2025-02-13-013204-a")</f>
        <v>UA-2025-02-13-013204-a</v>
      </c>
      <c r="Q911" s="418">
        <v>273.72771999999998</v>
      </c>
      <c r="R911" s="418">
        <v>1</v>
      </c>
      <c r="S911" s="418">
        <v>273.72771999999998</v>
      </c>
      <c r="T911" s="419">
        <v>45687</v>
      </c>
      <c r="U911" s="417"/>
      <c r="V911" s="418" t="s">
        <v>59</v>
      </c>
    </row>
    <row r="912" spans="1:22" ht="46.8" x14ac:dyDescent="0.3">
      <c r="A912" s="417">
        <v>906</v>
      </c>
      <c r="B912" s="417" t="s">
        <v>21</v>
      </c>
      <c r="C912" s="44" t="s">
        <v>733</v>
      </c>
      <c r="D912" s="417"/>
      <c r="E912" s="420" t="s">
        <v>75</v>
      </c>
      <c r="F912" s="44" t="s">
        <v>2070</v>
      </c>
      <c r="G912" s="417" t="s">
        <v>186</v>
      </c>
      <c r="H912" s="590"/>
      <c r="I912" s="417">
        <v>41</v>
      </c>
      <c r="J912" s="590">
        <v>541.66665999999998</v>
      </c>
      <c r="K912" s="590"/>
      <c r="L912" s="420">
        <v>41</v>
      </c>
      <c r="M912" s="590">
        <v>541.66665999999998</v>
      </c>
      <c r="N912" s="6" t="s">
        <v>1864</v>
      </c>
      <c r="O912" s="416">
        <v>45702</v>
      </c>
      <c r="P912" s="33" t="str">
        <f>HYPERLINK("https://my.zakupivli.pro/remote/dispatcher/state_purchase_view/57483469", "UA-2025-02-14-010906-a")</f>
        <v>UA-2025-02-14-010906-a</v>
      </c>
      <c r="Q912" s="417"/>
      <c r="R912" s="417">
        <v>41</v>
      </c>
      <c r="S912" s="417">
        <v>323.62799999999999</v>
      </c>
      <c r="T912" s="416">
        <v>45733</v>
      </c>
      <c r="U912" s="417"/>
      <c r="V912" s="417"/>
    </row>
    <row r="913" spans="1:22" ht="62.4" x14ac:dyDescent="0.3">
      <c r="A913" s="417">
        <v>907</v>
      </c>
      <c r="B913" s="420" t="s">
        <v>40</v>
      </c>
      <c r="C913" s="452" t="s">
        <v>2069</v>
      </c>
      <c r="D913" s="446"/>
      <c r="E913" s="446" t="s">
        <v>75</v>
      </c>
      <c r="F913" s="452" t="s">
        <v>1861</v>
      </c>
      <c r="G913" s="417" t="s">
        <v>184</v>
      </c>
      <c r="H913" s="590">
        <v>640.28858000000002</v>
      </c>
      <c r="I913" s="417">
        <v>1</v>
      </c>
      <c r="J913" s="590">
        <v>640.28858000000002</v>
      </c>
      <c r="K913" s="590">
        <v>640.28858000000002</v>
      </c>
      <c r="L913" s="420">
        <v>1</v>
      </c>
      <c r="M913" s="590">
        <v>640.28858000000002</v>
      </c>
      <c r="N913" s="6" t="s">
        <v>1865</v>
      </c>
      <c r="O913" s="421">
        <v>45702</v>
      </c>
      <c r="P913" s="33" t="str">
        <f>HYPERLINK("https://my.zakupivli.pro/remote/dispatcher/state_purchase_view/57480226", "UA-2025-02-14-009461-a")</f>
        <v>UA-2025-02-14-009461-a</v>
      </c>
      <c r="Q913" s="420">
        <v>640.28858000000002</v>
      </c>
      <c r="R913" s="420">
        <v>1</v>
      </c>
      <c r="S913" s="420">
        <v>640.28858000000002</v>
      </c>
      <c r="T913" s="421">
        <v>45702</v>
      </c>
      <c r="U913" s="417"/>
      <c r="V913" s="420" t="s">
        <v>59</v>
      </c>
    </row>
    <row r="914" spans="1:22" ht="62.4" x14ac:dyDescent="0.3">
      <c r="A914" s="417">
        <v>908</v>
      </c>
      <c r="B914" s="420" t="s">
        <v>40</v>
      </c>
      <c r="C914" s="44" t="s">
        <v>541</v>
      </c>
      <c r="D914" s="417"/>
      <c r="E914" s="420" t="s">
        <v>75</v>
      </c>
      <c r="F914" s="44" t="s">
        <v>2031</v>
      </c>
      <c r="G914" s="417" t="s">
        <v>184</v>
      </c>
      <c r="H914" s="590">
        <v>603.43341999999996</v>
      </c>
      <c r="I914" s="417">
        <v>1</v>
      </c>
      <c r="J914" s="590">
        <v>603.43341999999996</v>
      </c>
      <c r="K914" s="590">
        <v>603.43341999999996</v>
      </c>
      <c r="L914" s="420">
        <v>1</v>
      </c>
      <c r="M914" s="590">
        <v>603.43341999999996</v>
      </c>
      <c r="N914" s="6" t="s">
        <v>1866</v>
      </c>
      <c r="O914" s="421">
        <v>45702</v>
      </c>
      <c r="P914" s="33" t="str">
        <f>HYPERLINK("https://my.zakupivli.pro/remote/dispatcher/state_purchase_view/57478572", "UA-2025-02-14-008779-a")</f>
        <v>UA-2025-02-14-008779-a</v>
      </c>
      <c r="Q914" s="420">
        <v>603.43341999999996</v>
      </c>
      <c r="R914" s="420">
        <v>1</v>
      </c>
      <c r="S914" s="420">
        <v>603.43341999999996</v>
      </c>
      <c r="T914" s="421">
        <v>45702</v>
      </c>
      <c r="U914" s="417"/>
      <c r="V914" s="420" t="s">
        <v>59</v>
      </c>
    </row>
    <row r="915" spans="1:22" ht="62.4" x14ac:dyDescent="0.3">
      <c r="A915" s="417">
        <v>909</v>
      </c>
      <c r="B915" s="420" t="s">
        <v>40</v>
      </c>
      <c r="C915" s="44" t="s">
        <v>884</v>
      </c>
      <c r="D915" s="417"/>
      <c r="E915" s="417" t="s">
        <v>20</v>
      </c>
      <c r="F915" s="44" t="s">
        <v>2060</v>
      </c>
      <c r="G915" s="417" t="s">
        <v>184</v>
      </c>
      <c r="H915" s="590">
        <v>77.498519999999999</v>
      </c>
      <c r="I915" s="417">
        <v>1</v>
      </c>
      <c r="J915" s="590">
        <v>77.498519999999999</v>
      </c>
      <c r="K915" s="590">
        <v>77.498519999999999</v>
      </c>
      <c r="L915" s="420">
        <v>1</v>
      </c>
      <c r="M915" s="590">
        <v>77.498519999999999</v>
      </c>
      <c r="N915" s="6" t="s">
        <v>1867</v>
      </c>
      <c r="O915" s="421">
        <v>45702</v>
      </c>
      <c r="P915" s="33" t="str">
        <f>HYPERLINK("https://my.zakupivli.pro/remote/dispatcher/state_purchase_view/57476914", "UA-2025-02-14-008026-a")</f>
        <v>UA-2025-02-14-008026-a</v>
      </c>
      <c r="Q915" s="420">
        <v>77.498519999999999</v>
      </c>
      <c r="R915" s="420">
        <v>1</v>
      </c>
      <c r="S915" s="420">
        <v>77.498519999999999</v>
      </c>
      <c r="T915" s="421">
        <v>45702</v>
      </c>
      <c r="U915" s="417"/>
      <c r="V915" s="420" t="s">
        <v>59</v>
      </c>
    </row>
    <row r="916" spans="1:22" ht="62.4" x14ac:dyDescent="0.3">
      <c r="A916" s="420">
        <v>910</v>
      </c>
      <c r="B916" s="420" t="s">
        <v>21</v>
      </c>
      <c r="C916" s="44" t="s">
        <v>2059</v>
      </c>
      <c r="D916" s="420"/>
      <c r="E916" s="420" t="s">
        <v>75</v>
      </c>
      <c r="F916" s="44" t="s">
        <v>1862</v>
      </c>
      <c r="G916" s="420" t="s">
        <v>1158</v>
      </c>
      <c r="H916" s="590"/>
      <c r="I916" s="420">
        <v>143</v>
      </c>
      <c r="J916" s="590">
        <v>48.762999999999998</v>
      </c>
      <c r="K916" s="590"/>
      <c r="L916" s="420">
        <v>143</v>
      </c>
      <c r="M916" s="590">
        <v>48.762999999999998</v>
      </c>
      <c r="N916" s="6" t="s">
        <v>1868</v>
      </c>
      <c r="O916" s="421">
        <v>45702</v>
      </c>
      <c r="P916" s="33" t="str">
        <f>HYPERLINK("https://my.zakupivli.pro/remote/dispatcher/state_purchase_view/57476203", "UA-2025-02-14-007675-a")</f>
        <v>UA-2025-02-14-007675-a</v>
      </c>
      <c r="Q916" s="420"/>
      <c r="R916" s="420">
        <v>143</v>
      </c>
      <c r="S916" s="420">
        <v>48.762999999999998</v>
      </c>
      <c r="T916" s="421">
        <v>45702</v>
      </c>
      <c r="U916" s="420"/>
      <c r="V916" s="420" t="s">
        <v>59</v>
      </c>
    </row>
    <row r="917" spans="1:22" ht="62.4" x14ac:dyDescent="0.3">
      <c r="A917" s="420">
        <v>911</v>
      </c>
      <c r="B917" s="420" t="s">
        <v>21</v>
      </c>
      <c r="C917" s="452" t="s">
        <v>178</v>
      </c>
      <c r="D917" s="446"/>
      <c r="E917" s="446" t="s">
        <v>75</v>
      </c>
      <c r="F917" s="452" t="s">
        <v>2058</v>
      </c>
      <c r="G917" s="420" t="s">
        <v>185</v>
      </c>
      <c r="H917" s="590"/>
      <c r="I917" s="420">
        <v>10</v>
      </c>
      <c r="J917" s="590">
        <v>330</v>
      </c>
      <c r="K917" s="590"/>
      <c r="L917" s="420">
        <v>10</v>
      </c>
      <c r="M917" s="590">
        <v>330</v>
      </c>
      <c r="N917" s="6" t="s">
        <v>1869</v>
      </c>
      <c r="O917" s="421">
        <v>45702</v>
      </c>
      <c r="P917" s="33" t="str">
        <f>HYPERLINK("https://my.zakupivli.pro/remote/dispatcher/state_purchase_view/57475723", "UA-2025-02-14-007472-a")</f>
        <v>UA-2025-02-14-007472-a</v>
      </c>
      <c r="Q917" s="420"/>
      <c r="R917" s="420">
        <v>10</v>
      </c>
      <c r="S917" s="117">
        <v>310.3</v>
      </c>
      <c r="T917" s="421">
        <v>45726</v>
      </c>
      <c r="U917" s="420"/>
      <c r="V917" s="420"/>
    </row>
    <row r="918" spans="1:22" ht="62.4" x14ac:dyDescent="0.3">
      <c r="A918" s="420">
        <v>912</v>
      </c>
      <c r="B918" s="420" t="s">
        <v>21</v>
      </c>
      <c r="C918" s="44" t="s">
        <v>2038</v>
      </c>
      <c r="D918" s="420"/>
      <c r="E918" s="420" t="s">
        <v>75</v>
      </c>
      <c r="F918" s="44" t="s">
        <v>1863</v>
      </c>
      <c r="G918" s="420" t="s">
        <v>185</v>
      </c>
      <c r="H918" s="590"/>
      <c r="I918" s="420">
        <v>2</v>
      </c>
      <c r="J918" s="590">
        <v>52.1</v>
      </c>
      <c r="K918" s="590"/>
      <c r="L918" s="420">
        <v>2</v>
      </c>
      <c r="M918" s="590">
        <v>52.1</v>
      </c>
      <c r="N918" s="6" t="s">
        <v>1870</v>
      </c>
      <c r="O918" s="421">
        <v>45702</v>
      </c>
      <c r="P918" s="33" t="str">
        <f>HYPERLINK("https://my.zakupivli.pro/remote/dispatcher/state_purchase_view/57469944", "UA-2025-02-14-004784-a")</f>
        <v>UA-2025-02-14-004784-a</v>
      </c>
      <c r="Q918" s="420"/>
      <c r="R918" s="420">
        <v>2</v>
      </c>
      <c r="S918" s="117">
        <v>52.1</v>
      </c>
      <c r="T918" s="421">
        <v>45702</v>
      </c>
      <c r="U918" s="420"/>
      <c r="V918" s="420" t="s">
        <v>59</v>
      </c>
    </row>
    <row r="919" spans="1:22" ht="62.4" x14ac:dyDescent="0.3">
      <c r="A919" s="422">
        <v>913</v>
      </c>
      <c r="B919" s="422" t="s">
        <v>40</v>
      </c>
      <c r="C919" s="44" t="s">
        <v>1991</v>
      </c>
      <c r="D919" s="422"/>
      <c r="E919" s="422" t="s">
        <v>20</v>
      </c>
      <c r="F919" s="44" t="s">
        <v>1871</v>
      </c>
      <c r="G919" s="422" t="s">
        <v>184</v>
      </c>
      <c r="H919" s="590">
        <v>110.63678</v>
      </c>
      <c r="I919" s="422">
        <v>1</v>
      </c>
      <c r="J919" s="590">
        <v>110.63678</v>
      </c>
      <c r="K919" s="590">
        <v>110.63678</v>
      </c>
      <c r="L919" s="422">
        <v>1</v>
      </c>
      <c r="M919" s="590">
        <v>110.63678</v>
      </c>
      <c r="N919" s="6" t="s">
        <v>1873</v>
      </c>
      <c r="O919" s="423">
        <v>45706</v>
      </c>
      <c r="P919" s="33" t="str">
        <f>HYPERLINK("https://my.zakupivli.pro/remote/dispatcher/state_purchase_view/57524444", "UA-2025-02-18-000134-a")</f>
        <v>UA-2025-02-18-000134-a</v>
      </c>
      <c r="Q919" s="422">
        <v>110.63678</v>
      </c>
      <c r="R919" s="422">
        <v>1</v>
      </c>
      <c r="S919" s="422">
        <v>110.63678</v>
      </c>
      <c r="T919" s="423">
        <v>45705</v>
      </c>
      <c r="U919" s="422"/>
      <c r="V919" s="422" t="s">
        <v>59</v>
      </c>
    </row>
    <row r="920" spans="1:22" ht="62.4" x14ac:dyDescent="0.3">
      <c r="A920" s="422">
        <v>914</v>
      </c>
      <c r="B920" s="422" t="s">
        <v>40</v>
      </c>
      <c r="C920" s="452" t="s">
        <v>2008</v>
      </c>
      <c r="D920" s="446"/>
      <c r="E920" s="446" t="s">
        <v>20</v>
      </c>
      <c r="F920" s="452" t="s">
        <v>1872</v>
      </c>
      <c r="G920" s="422" t="s">
        <v>184</v>
      </c>
      <c r="H920" s="590">
        <v>160.78029000000001</v>
      </c>
      <c r="I920" s="422">
        <v>1</v>
      </c>
      <c r="J920" s="590">
        <v>160.78029000000001</v>
      </c>
      <c r="K920" s="590">
        <v>160.78029000000001</v>
      </c>
      <c r="L920" s="422">
        <v>1</v>
      </c>
      <c r="M920" s="590">
        <v>160.78029000000001</v>
      </c>
      <c r="N920" s="6" t="s">
        <v>1874</v>
      </c>
      <c r="O920" s="423">
        <v>45706</v>
      </c>
      <c r="P920" s="33" t="str">
        <f>HYPERLINK("https://my.zakupivli.pro/remote/dispatcher/state_purchase_view/57524423", "UA-2025-02-18-000121-a")</f>
        <v>UA-2025-02-18-000121-a</v>
      </c>
      <c r="Q920" s="422">
        <v>160.78029000000001</v>
      </c>
      <c r="R920" s="422">
        <v>1</v>
      </c>
      <c r="S920" s="422">
        <v>160.78029000000001</v>
      </c>
      <c r="T920" s="423">
        <v>45705</v>
      </c>
      <c r="U920" s="422"/>
      <c r="V920" s="422" t="s">
        <v>59</v>
      </c>
    </row>
    <row r="921" spans="1:22" ht="62.4" x14ac:dyDescent="0.3">
      <c r="A921" s="424">
        <v>915</v>
      </c>
      <c r="B921" s="424" t="s">
        <v>40</v>
      </c>
      <c r="C921" s="44" t="s">
        <v>73</v>
      </c>
      <c r="D921" s="424"/>
      <c r="E921" s="424" t="s">
        <v>75</v>
      </c>
      <c r="F921" s="44" t="s">
        <v>2040</v>
      </c>
      <c r="G921" s="424" t="s">
        <v>184</v>
      </c>
      <c r="H921" s="590">
        <v>194.39855</v>
      </c>
      <c r="I921" s="424">
        <v>1</v>
      </c>
      <c r="J921" s="590">
        <v>194.39855</v>
      </c>
      <c r="K921" s="590">
        <v>194.39855</v>
      </c>
      <c r="L921" s="424">
        <v>1</v>
      </c>
      <c r="M921" s="590">
        <v>194.39855</v>
      </c>
      <c r="N921" s="6" t="s">
        <v>1881</v>
      </c>
      <c r="O921" s="425">
        <v>45708</v>
      </c>
      <c r="P921" s="33" t="str">
        <f>HYPERLINK("https://my.zakupivli.pro/remote/dispatcher/state_purchase_view/57612514", "UA-2025-02-20-010663-a")</f>
        <v>UA-2025-02-20-010663-a</v>
      </c>
      <c r="Q921" s="424">
        <v>194.39855</v>
      </c>
      <c r="R921" s="424">
        <v>1</v>
      </c>
      <c r="S921" s="424">
        <v>194.39855</v>
      </c>
      <c r="T921" s="425">
        <v>45708</v>
      </c>
      <c r="U921" s="424"/>
      <c r="V921" s="424" t="s">
        <v>59</v>
      </c>
    </row>
    <row r="922" spans="1:22" ht="46.8" x14ac:dyDescent="0.3">
      <c r="A922" s="424">
        <v>916</v>
      </c>
      <c r="B922" s="424" t="s">
        <v>21</v>
      </c>
      <c r="C922" s="44" t="s">
        <v>2039</v>
      </c>
      <c r="D922" s="424"/>
      <c r="E922" s="424" t="s">
        <v>88</v>
      </c>
      <c r="F922" s="44" t="s">
        <v>1876</v>
      </c>
      <c r="G922" s="424" t="s">
        <v>185</v>
      </c>
      <c r="H922" s="590"/>
      <c r="I922" s="424">
        <v>147</v>
      </c>
      <c r="J922" s="590">
        <v>135.73500000000001</v>
      </c>
      <c r="K922" s="590"/>
      <c r="L922" s="424">
        <v>147</v>
      </c>
      <c r="M922" s="590">
        <v>135.73500000000001</v>
      </c>
      <c r="N922" s="6" t="s">
        <v>1882</v>
      </c>
      <c r="O922" s="425">
        <v>45708</v>
      </c>
      <c r="P922" s="33" t="str">
        <f>HYPERLINK("https://my.zakupivli.pro/remote/dispatcher/state_purchase_view/57606569", "UA-2025-02-20-008191-a")</f>
        <v>UA-2025-02-20-008191-a</v>
      </c>
      <c r="Q922" s="424"/>
      <c r="R922" s="424">
        <v>147</v>
      </c>
      <c r="S922" s="424">
        <v>124.26</v>
      </c>
      <c r="T922" s="425">
        <v>45733</v>
      </c>
      <c r="U922" s="424"/>
      <c r="V922" s="424"/>
    </row>
    <row r="923" spans="1:22" ht="62.4" x14ac:dyDescent="0.3">
      <c r="A923" s="424">
        <v>917</v>
      </c>
      <c r="B923" s="424" t="s">
        <v>21</v>
      </c>
      <c r="C923" s="44" t="s">
        <v>2038</v>
      </c>
      <c r="D923" s="424"/>
      <c r="E923" s="424" t="s">
        <v>75</v>
      </c>
      <c r="F923" s="44" t="s">
        <v>1877</v>
      </c>
      <c r="G923" s="424" t="s">
        <v>185</v>
      </c>
      <c r="H923" s="590"/>
      <c r="I923" s="424">
        <v>12</v>
      </c>
      <c r="J923" s="590">
        <v>66.396000000000001</v>
      </c>
      <c r="K923" s="590"/>
      <c r="L923" s="424">
        <v>12</v>
      </c>
      <c r="M923" s="590">
        <v>66.396000000000001</v>
      </c>
      <c r="N923" s="6" t="s">
        <v>1883</v>
      </c>
      <c r="O923" s="425">
        <v>45708</v>
      </c>
      <c r="P923" s="33" t="str">
        <f>HYPERLINK("https://my.zakupivli.pro/remote/dispatcher/state_purchase_view/57603945", "UA-2025-02-20-007017-a")</f>
        <v>UA-2025-02-20-007017-a</v>
      </c>
      <c r="Q923" s="424"/>
      <c r="R923" s="443">
        <v>12</v>
      </c>
      <c r="S923" s="443">
        <v>66.396000000000001</v>
      </c>
      <c r="T923" s="442">
        <v>45708</v>
      </c>
      <c r="U923" s="424"/>
      <c r="V923" s="443" t="s">
        <v>59</v>
      </c>
    </row>
    <row r="924" spans="1:22" ht="46.8" x14ac:dyDescent="0.3">
      <c r="A924" s="424">
        <v>918</v>
      </c>
      <c r="B924" s="424" t="s">
        <v>21</v>
      </c>
      <c r="C924" s="44" t="s">
        <v>2037</v>
      </c>
      <c r="D924" s="424"/>
      <c r="E924" s="424" t="s">
        <v>88</v>
      </c>
      <c r="F924" s="44" t="s">
        <v>1878</v>
      </c>
      <c r="G924" s="424" t="s">
        <v>186</v>
      </c>
      <c r="H924" s="590"/>
      <c r="I924" s="424">
        <v>6</v>
      </c>
      <c r="J924" s="590">
        <v>4237.9769999999999</v>
      </c>
      <c r="K924" s="590"/>
      <c r="L924" s="424">
        <v>6</v>
      </c>
      <c r="M924" s="590">
        <v>4237.9769999999999</v>
      </c>
      <c r="N924" s="6" t="s">
        <v>1884</v>
      </c>
      <c r="O924" s="425">
        <v>45708</v>
      </c>
      <c r="P924" s="33" t="str">
        <f>HYPERLINK("https://my.zakupivli.pro/remote/dispatcher/state_purchase_view/57593579", "UA-2025-02-20-002410-a")</f>
        <v>UA-2025-02-20-002410-a</v>
      </c>
      <c r="Q924" s="424"/>
      <c r="R924" s="424">
        <v>6</v>
      </c>
      <c r="S924" s="424">
        <v>4237.9279999999999</v>
      </c>
      <c r="T924" s="425">
        <v>45726</v>
      </c>
      <c r="U924" s="424"/>
      <c r="V924" s="424"/>
    </row>
    <row r="925" spans="1:22" ht="46.8" x14ac:dyDescent="0.3">
      <c r="A925" s="424">
        <v>919</v>
      </c>
      <c r="B925" s="424" t="s">
        <v>21</v>
      </c>
      <c r="C925" s="44" t="s">
        <v>2037</v>
      </c>
      <c r="D925" s="424"/>
      <c r="E925" s="424" t="s">
        <v>88</v>
      </c>
      <c r="F925" s="44" t="s">
        <v>1879</v>
      </c>
      <c r="G925" s="424" t="s">
        <v>186</v>
      </c>
      <c r="H925" s="590"/>
      <c r="I925" s="424">
        <v>2</v>
      </c>
      <c r="J925" s="590">
        <v>2549.4</v>
      </c>
      <c r="K925" s="590"/>
      <c r="L925" s="424">
        <v>2</v>
      </c>
      <c r="M925" s="590">
        <v>2549.4</v>
      </c>
      <c r="N925" s="6" t="s">
        <v>1885</v>
      </c>
      <c r="O925" s="425">
        <v>45708</v>
      </c>
      <c r="P925" s="33" t="str">
        <f>HYPERLINK("https://my.zakupivli.pro/remote/dispatcher/state_purchase_view/57593579", "UA-2025-02-20-002410-a")</f>
        <v>UA-2025-02-20-002410-a</v>
      </c>
      <c r="Q925" s="424"/>
      <c r="R925" s="424">
        <v>2</v>
      </c>
      <c r="S925" s="117">
        <v>2549.4</v>
      </c>
      <c r="T925" s="425">
        <v>45726</v>
      </c>
      <c r="U925" s="424"/>
      <c r="V925" s="424"/>
    </row>
    <row r="926" spans="1:22" ht="46.8" x14ac:dyDescent="0.3">
      <c r="A926" s="424">
        <v>920</v>
      </c>
      <c r="B926" s="424" t="s">
        <v>21</v>
      </c>
      <c r="C926" s="44" t="s">
        <v>1880</v>
      </c>
      <c r="D926" s="424"/>
      <c r="E926" s="424" t="s">
        <v>75</v>
      </c>
      <c r="F926" s="44" t="s">
        <v>2036</v>
      </c>
      <c r="G926" s="424" t="s">
        <v>186</v>
      </c>
      <c r="H926" s="590"/>
      <c r="I926" s="424">
        <v>6</v>
      </c>
      <c r="J926" s="590">
        <v>258.69400000000002</v>
      </c>
      <c r="K926" s="590"/>
      <c r="L926" s="424">
        <v>6</v>
      </c>
      <c r="M926" s="590">
        <v>258.69400000000002</v>
      </c>
      <c r="N926" s="6" t="s">
        <v>1886</v>
      </c>
      <c r="O926" s="425">
        <v>45708</v>
      </c>
      <c r="P926" s="33" t="str">
        <f>HYPERLINK("https://my.zakupivli.pro/remote/dispatcher/state_purchase_view/57590825", "UA-2025-02-20-001195-a")</f>
        <v>UA-2025-02-20-001195-a</v>
      </c>
      <c r="Q926" s="424"/>
      <c r="R926" s="424">
        <v>6</v>
      </c>
      <c r="S926" s="424">
        <v>258.69400000000002</v>
      </c>
      <c r="T926" s="425">
        <v>45727</v>
      </c>
      <c r="U926" s="424"/>
      <c r="V926" s="424"/>
    </row>
    <row r="927" spans="1:22" ht="62.4" x14ac:dyDescent="0.3">
      <c r="A927" s="424">
        <v>921</v>
      </c>
      <c r="B927" s="424" t="s">
        <v>40</v>
      </c>
      <c r="C927" s="44" t="s">
        <v>73</v>
      </c>
      <c r="D927" s="424"/>
      <c r="E927" s="424" t="s">
        <v>75</v>
      </c>
      <c r="F927" s="223" t="s">
        <v>1887</v>
      </c>
      <c r="G927" s="424" t="s">
        <v>184</v>
      </c>
      <c r="H927" s="590">
        <v>664.80475000000001</v>
      </c>
      <c r="I927" s="424">
        <v>1</v>
      </c>
      <c r="J927" s="590">
        <v>664.80475000000001</v>
      </c>
      <c r="K927" s="590">
        <v>664.80475000000001</v>
      </c>
      <c r="L927" s="424">
        <v>1</v>
      </c>
      <c r="M927" s="590">
        <v>664.80475000000001</v>
      </c>
      <c r="N927" s="6" t="s">
        <v>1890</v>
      </c>
      <c r="O927" s="425">
        <v>45708</v>
      </c>
      <c r="P927" s="33" t="str">
        <f>HYPERLINK("https://my.zakupivli.pro/remote/dispatcher/state_purchase_view/57640739", "UA-2025-02-21-009763-a")</f>
        <v>UA-2025-02-21-009763-a</v>
      </c>
      <c r="Q927" s="424">
        <v>664.80475000000001</v>
      </c>
      <c r="R927" s="424">
        <v>1</v>
      </c>
      <c r="S927" s="424">
        <v>664.80475000000001</v>
      </c>
      <c r="T927" s="442">
        <v>45708</v>
      </c>
      <c r="U927" s="424"/>
      <c r="V927" s="424" t="s">
        <v>59</v>
      </c>
    </row>
    <row r="928" spans="1:22" ht="46.8" x14ac:dyDescent="0.3">
      <c r="A928" s="424">
        <v>922</v>
      </c>
      <c r="B928" s="424" t="s">
        <v>21</v>
      </c>
      <c r="C928" s="44" t="s">
        <v>2035</v>
      </c>
      <c r="D928" s="424"/>
      <c r="E928" s="424" t="s">
        <v>75</v>
      </c>
      <c r="F928" s="44" t="s">
        <v>1888</v>
      </c>
      <c r="G928" s="424" t="s">
        <v>185</v>
      </c>
      <c r="H928" s="590"/>
      <c r="I928" s="424">
        <v>145</v>
      </c>
      <c r="J928" s="590">
        <v>792.36266000000001</v>
      </c>
      <c r="K928" s="590"/>
      <c r="L928" s="424">
        <v>145</v>
      </c>
      <c r="M928" s="590">
        <v>792.36266000000001</v>
      </c>
      <c r="N928" s="6" t="s">
        <v>1891</v>
      </c>
      <c r="O928" s="425">
        <v>45709</v>
      </c>
      <c r="P928" s="33" t="str">
        <f>HYPERLINK("https://my.zakupivli.pro/remote/dispatcher/state_purchase_view/57638292", "UA-2025-02-21-008660-a")</f>
        <v>UA-2025-02-21-008660-a</v>
      </c>
      <c r="Q928" s="424"/>
      <c r="R928" s="424">
        <v>145</v>
      </c>
      <c r="S928" s="424">
        <v>606.63800000000003</v>
      </c>
      <c r="T928" s="425">
        <v>45733</v>
      </c>
      <c r="U928" s="424"/>
      <c r="V928" s="424"/>
    </row>
    <row r="929" spans="1:22" ht="62.4" x14ac:dyDescent="0.3">
      <c r="A929" s="424">
        <v>923</v>
      </c>
      <c r="B929" s="424" t="s">
        <v>40</v>
      </c>
      <c r="C929" s="44" t="s">
        <v>73</v>
      </c>
      <c r="D929" s="424"/>
      <c r="E929" s="424" t="s">
        <v>75</v>
      </c>
      <c r="F929" s="44" t="s">
        <v>2034</v>
      </c>
      <c r="G929" s="424" t="s">
        <v>184</v>
      </c>
      <c r="H929" s="590">
        <v>450</v>
      </c>
      <c r="I929" s="424">
        <v>1</v>
      </c>
      <c r="J929" s="590">
        <v>450</v>
      </c>
      <c r="K929" s="590">
        <v>450</v>
      </c>
      <c r="L929" s="424">
        <v>1</v>
      </c>
      <c r="M929" s="590">
        <v>450</v>
      </c>
      <c r="N929" s="6" t="s">
        <v>1892</v>
      </c>
      <c r="O929" s="425">
        <v>45708</v>
      </c>
      <c r="P929" s="33" t="str">
        <f>HYPERLINK("https://my.zakupivli.pro/remote/dispatcher/state_purchase_view/57623304", "UA-2025-02-21-001879-a")</f>
        <v>UA-2025-02-21-001879-a</v>
      </c>
      <c r="Q929" s="117">
        <v>450</v>
      </c>
      <c r="R929" s="424">
        <v>1</v>
      </c>
      <c r="S929" s="117">
        <v>450</v>
      </c>
      <c r="T929" s="425">
        <v>45708</v>
      </c>
      <c r="U929" s="424"/>
      <c r="V929" s="424" t="s">
        <v>59</v>
      </c>
    </row>
    <row r="930" spans="1:22" ht="62.4" x14ac:dyDescent="0.3">
      <c r="A930" s="424">
        <v>924</v>
      </c>
      <c r="B930" s="424" t="s">
        <v>21</v>
      </c>
      <c r="C930" s="44" t="s">
        <v>2028</v>
      </c>
      <c r="D930" s="424"/>
      <c r="E930" s="424" t="s">
        <v>75</v>
      </c>
      <c r="F930" s="223" t="s">
        <v>1889</v>
      </c>
      <c r="G930" s="424" t="s">
        <v>186</v>
      </c>
      <c r="H930" s="590"/>
      <c r="I930" s="424">
        <v>32</v>
      </c>
      <c r="J930" s="590">
        <v>66.435199999999995</v>
      </c>
      <c r="K930" s="590"/>
      <c r="L930" s="424">
        <v>32</v>
      </c>
      <c r="M930" s="590">
        <v>66.435199999999995</v>
      </c>
      <c r="N930" s="6" t="s">
        <v>1893</v>
      </c>
      <c r="O930" s="425">
        <v>45708</v>
      </c>
      <c r="P930" s="33" t="str">
        <f>HYPERLINK("https://my.zakupivli.pro/remote/dispatcher/state_purchase_view/57623075", "UA-2025-02-21-001736-a")</f>
        <v>UA-2025-02-21-001736-a</v>
      </c>
      <c r="Q930" s="424"/>
      <c r="R930" s="424">
        <v>32</v>
      </c>
      <c r="S930" s="424">
        <v>66.435199999999995</v>
      </c>
      <c r="T930" s="425">
        <v>45708</v>
      </c>
      <c r="U930" s="424"/>
      <c r="V930" s="424" t="s">
        <v>59</v>
      </c>
    </row>
    <row r="931" spans="1:22" ht="93.6" x14ac:dyDescent="0.3">
      <c r="A931" s="424">
        <v>925</v>
      </c>
      <c r="B931" s="424" t="s">
        <v>21</v>
      </c>
      <c r="C931" s="44" t="s">
        <v>183</v>
      </c>
      <c r="D931" s="424"/>
      <c r="E931" s="424" t="s">
        <v>88</v>
      </c>
      <c r="F931" s="44" t="s">
        <v>2033</v>
      </c>
      <c r="G931" s="424" t="s">
        <v>186</v>
      </c>
      <c r="H931" s="590"/>
      <c r="I931" s="424">
        <v>3</v>
      </c>
      <c r="J931" s="590">
        <v>2351</v>
      </c>
      <c r="K931" s="590"/>
      <c r="L931" s="424">
        <v>3</v>
      </c>
      <c r="M931" s="590">
        <v>2351</v>
      </c>
      <c r="N931" s="6" t="s">
        <v>1895</v>
      </c>
      <c r="O931" s="425">
        <v>45713</v>
      </c>
      <c r="P931" s="33" t="str">
        <f>HYPERLINK("https://my.zakupivli.pro/remote/dispatcher/state_purchase_view/57711359", "UA-2025-02-25-013333-a")</f>
        <v>UA-2025-02-25-013333-a</v>
      </c>
      <c r="Q931" s="424"/>
      <c r="R931" s="424">
        <v>3</v>
      </c>
      <c r="S931" s="117">
        <v>2351</v>
      </c>
      <c r="T931" s="425">
        <v>45713</v>
      </c>
      <c r="U931" s="424"/>
      <c r="V931" s="424" t="s">
        <v>59</v>
      </c>
    </row>
    <row r="932" spans="1:22" ht="62.4" x14ac:dyDescent="0.3">
      <c r="A932" s="424">
        <v>926</v>
      </c>
      <c r="B932" s="424" t="s">
        <v>21</v>
      </c>
      <c r="C932" s="44" t="s">
        <v>2032</v>
      </c>
      <c r="D932" s="424"/>
      <c r="E932" s="424" t="s">
        <v>75</v>
      </c>
      <c r="F932" s="44" t="s">
        <v>1894</v>
      </c>
      <c r="G932" s="424" t="s">
        <v>185</v>
      </c>
      <c r="H932" s="590">
        <v>75</v>
      </c>
      <c r="I932" s="424">
        <v>1</v>
      </c>
      <c r="J932" s="590">
        <v>75</v>
      </c>
      <c r="K932" s="590">
        <v>75</v>
      </c>
      <c r="L932" s="424">
        <v>1</v>
      </c>
      <c r="M932" s="590">
        <v>75</v>
      </c>
      <c r="N932" s="6" t="s">
        <v>1896</v>
      </c>
      <c r="O932" s="425">
        <v>45713</v>
      </c>
      <c r="P932" s="33" t="str">
        <f>HYPERLINK("https://my.zakupivli.pro/remote/dispatcher/state_purchase_view/57700470", "UA-2025-02-25-008377-a")</f>
        <v>UA-2025-02-25-008377-a</v>
      </c>
      <c r="Q932" s="117">
        <v>75</v>
      </c>
      <c r="R932" s="424">
        <v>1</v>
      </c>
      <c r="S932" s="117">
        <v>75</v>
      </c>
      <c r="T932" s="425">
        <v>45713</v>
      </c>
      <c r="U932" s="424"/>
      <c r="V932" s="424" t="s">
        <v>59</v>
      </c>
    </row>
    <row r="933" spans="1:22" ht="62.4" x14ac:dyDescent="0.3">
      <c r="A933" s="424">
        <v>927</v>
      </c>
      <c r="B933" s="424" t="s">
        <v>40</v>
      </c>
      <c r="C933" s="44" t="s">
        <v>541</v>
      </c>
      <c r="D933" s="424"/>
      <c r="E933" s="424" t="s">
        <v>75</v>
      </c>
      <c r="F933" s="44" t="s">
        <v>1861</v>
      </c>
      <c r="G933" s="424" t="s">
        <v>184</v>
      </c>
      <c r="H933" s="590">
        <v>709.93458999999996</v>
      </c>
      <c r="I933" s="424">
        <v>1</v>
      </c>
      <c r="J933" s="590">
        <v>709.93458999999996</v>
      </c>
      <c r="K933" s="590">
        <v>709.93458999999996</v>
      </c>
      <c r="L933" s="424">
        <v>1</v>
      </c>
      <c r="M933" s="590">
        <v>709.93458999999996</v>
      </c>
      <c r="N933" s="6" t="s">
        <v>1897</v>
      </c>
      <c r="O933" s="425">
        <v>45714</v>
      </c>
      <c r="P933" s="33" t="str">
        <f>HYPERLINK("https://my.zakupivli.pro/remote/dispatcher/state_purchase_view/57741352", "UA-2025-02-26-012076-a")</f>
        <v>UA-2025-02-26-012076-a</v>
      </c>
      <c r="Q933" s="424">
        <v>709.93458999999996</v>
      </c>
      <c r="R933" s="424">
        <v>1</v>
      </c>
      <c r="S933" s="424">
        <v>709.93458999999996</v>
      </c>
      <c r="T933" s="425">
        <v>45714</v>
      </c>
      <c r="U933" s="424"/>
      <c r="V933" s="424" t="s">
        <v>59</v>
      </c>
    </row>
    <row r="934" spans="1:22" ht="62.4" x14ac:dyDescent="0.3">
      <c r="A934" s="424">
        <v>928</v>
      </c>
      <c r="B934" s="424" t="s">
        <v>40</v>
      </c>
      <c r="C934" s="44" t="s">
        <v>541</v>
      </c>
      <c r="D934" s="424"/>
      <c r="E934" s="424" t="s">
        <v>75</v>
      </c>
      <c r="F934" s="44" t="s">
        <v>2031</v>
      </c>
      <c r="G934" s="424" t="s">
        <v>184</v>
      </c>
      <c r="H934" s="590">
        <v>744.37929999999994</v>
      </c>
      <c r="I934" s="424">
        <v>1</v>
      </c>
      <c r="J934" s="590">
        <v>744.37929999999994</v>
      </c>
      <c r="K934" s="590">
        <v>744.37929999999994</v>
      </c>
      <c r="L934" s="424">
        <v>1</v>
      </c>
      <c r="M934" s="590">
        <v>744.37929999999994</v>
      </c>
      <c r="N934" s="6" t="s">
        <v>1898</v>
      </c>
      <c r="O934" s="425">
        <v>45714</v>
      </c>
      <c r="P934" s="33" t="str">
        <f>HYPERLINK("https://my.zakupivli.pro/remote/dispatcher/state_purchase_view/57739836", "UA-2025-02-26-011456-a")</f>
        <v>UA-2025-02-26-011456-a</v>
      </c>
      <c r="Q934" s="424">
        <v>744.37929999999994</v>
      </c>
      <c r="R934" s="424">
        <v>1</v>
      </c>
      <c r="S934" s="424">
        <v>744.37929999999994</v>
      </c>
      <c r="T934" s="425">
        <v>45714</v>
      </c>
      <c r="U934" s="424"/>
      <c r="V934" s="424" t="s">
        <v>59</v>
      </c>
    </row>
    <row r="935" spans="1:22" ht="62.4" x14ac:dyDescent="0.3">
      <c r="A935" s="424">
        <v>929</v>
      </c>
      <c r="B935" s="424" t="s">
        <v>40</v>
      </c>
      <c r="C935" s="44" t="s">
        <v>541</v>
      </c>
      <c r="D935" s="424"/>
      <c r="E935" s="424" t="s">
        <v>75</v>
      </c>
      <c r="F935" s="44" t="s">
        <v>2031</v>
      </c>
      <c r="G935" s="424" t="s">
        <v>184</v>
      </c>
      <c r="H935" s="590">
        <v>687.91728999999998</v>
      </c>
      <c r="I935" s="424">
        <v>1</v>
      </c>
      <c r="J935" s="590">
        <v>687.91728999999998</v>
      </c>
      <c r="K935" s="590">
        <v>687.91728999999998</v>
      </c>
      <c r="L935" s="424">
        <v>1</v>
      </c>
      <c r="M935" s="590">
        <v>687.91728999999998</v>
      </c>
      <c r="N935" s="6" t="s">
        <v>1899</v>
      </c>
      <c r="O935" s="425">
        <v>45714</v>
      </c>
      <c r="P935" s="33" t="str">
        <f>HYPERLINK("https://my.zakupivli.pro/remote/dispatcher/state_purchase_view/57738530", "UA-2025-02-26-010814-a")</f>
        <v>UA-2025-02-26-010814-a</v>
      </c>
      <c r="Q935" s="424">
        <v>687.91728999999998</v>
      </c>
      <c r="R935" s="424">
        <v>1</v>
      </c>
      <c r="S935" s="424">
        <v>687.91728999999998</v>
      </c>
      <c r="T935" s="425">
        <v>45714</v>
      </c>
      <c r="U935" s="424"/>
      <c r="V935" s="424" t="s">
        <v>59</v>
      </c>
    </row>
    <row r="936" spans="1:22" ht="62.4" x14ac:dyDescent="0.3">
      <c r="A936" s="424">
        <v>930</v>
      </c>
      <c r="B936" s="424" t="s">
        <v>40</v>
      </c>
      <c r="C936" s="44" t="s">
        <v>73</v>
      </c>
      <c r="D936" s="424"/>
      <c r="E936" s="424" t="s">
        <v>75</v>
      </c>
      <c r="F936" s="44" t="s">
        <v>1887</v>
      </c>
      <c r="G936" s="424" t="s">
        <v>184</v>
      </c>
      <c r="H936" s="590">
        <v>830.32794999999999</v>
      </c>
      <c r="I936" s="424">
        <v>1</v>
      </c>
      <c r="J936" s="590">
        <v>830.32794999999999</v>
      </c>
      <c r="K936" s="590">
        <v>830.32794999999999</v>
      </c>
      <c r="L936" s="424">
        <v>1</v>
      </c>
      <c r="M936" s="590">
        <v>830.32794999999999</v>
      </c>
      <c r="N936" s="6" t="s">
        <v>1900</v>
      </c>
      <c r="O936" s="425">
        <v>45714</v>
      </c>
      <c r="P936" s="33" t="str">
        <f>HYPERLINK("https://my.zakupivli.pro/remote/dispatcher/state_purchase_view/57734768", "UA-2025-02-26-009008-a")</f>
        <v>UA-2025-02-26-009008-a</v>
      </c>
      <c r="Q936" s="424">
        <v>830.32794999999999</v>
      </c>
      <c r="R936" s="424">
        <v>1</v>
      </c>
      <c r="S936" s="424">
        <v>830.32794999999999</v>
      </c>
      <c r="T936" s="425">
        <v>45714</v>
      </c>
      <c r="U936" s="424"/>
      <c r="V936" s="424" t="s">
        <v>59</v>
      </c>
    </row>
    <row r="937" spans="1:22" ht="62.4" x14ac:dyDescent="0.3">
      <c r="A937" s="424">
        <v>931</v>
      </c>
      <c r="B937" s="424" t="s">
        <v>40</v>
      </c>
      <c r="C937" s="44" t="s">
        <v>73</v>
      </c>
      <c r="D937" s="424"/>
      <c r="E937" s="424" t="s">
        <v>75</v>
      </c>
      <c r="F937" s="44" t="s">
        <v>2029</v>
      </c>
      <c r="G937" s="424" t="s">
        <v>184</v>
      </c>
      <c r="H937" s="590">
        <v>691.48784999999998</v>
      </c>
      <c r="I937" s="424">
        <v>1</v>
      </c>
      <c r="J937" s="590">
        <v>691.48784999999998</v>
      </c>
      <c r="K937" s="590">
        <v>691.48784999999998</v>
      </c>
      <c r="L937" s="424">
        <v>1</v>
      </c>
      <c r="M937" s="590">
        <v>691.48784999999998</v>
      </c>
      <c r="N937" s="6" t="s">
        <v>1901</v>
      </c>
      <c r="O937" s="425">
        <v>45714</v>
      </c>
      <c r="P937" s="33" t="str">
        <f>HYPERLINK("https://my.zakupivli.pro/remote/dispatcher/state_purchase_view/57734245", "UA-2025-02-26-008765-a")</f>
        <v>UA-2025-02-26-008765-a</v>
      </c>
      <c r="Q937" s="424">
        <v>691.48784999999998</v>
      </c>
      <c r="R937" s="424">
        <v>1</v>
      </c>
      <c r="S937" s="424">
        <v>691.48784999999998</v>
      </c>
      <c r="T937" s="425">
        <v>45714</v>
      </c>
      <c r="U937" s="424"/>
      <c r="V937" s="424" t="s">
        <v>59</v>
      </c>
    </row>
    <row r="938" spans="1:22" ht="62.4" x14ac:dyDescent="0.3">
      <c r="A938" s="424">
        <v>932</v>
      </c>
      <c r="B938" s="424" t="s">
        <v>40</v>
      </c>
      <c r="C938" s="428" t="s">
        <v>884</v>
      </c>
      <c r="D938" s="424"/>
      <c r="E938" s="424" t="s">
        <v>20</v>
      </c>
      <c r="F938" s="44" t="s">
        <v>2030</v>
      </c>
      <c r="G938" s="424" t="s">
        <v>184</v>
      </c>
      <c r="H938" s="590">
        <v>120.94149</v>
      </c>
      <c r="I938" s="424">
        <v>1</v>
      </c>
      <c r="J938" s="590">
        <v>120.94149</v>
      </c>
      <c r="K938" s="590">
        <v>120.94149</v>
      </c>
      <c r="L938" s="424">
        <v>1</v>
      </c>
      <c r="M938" s="590">
        <v>120.94149</v>
      </c>
      <c r="N938" s="6" t="s">
        <v>1902</v>
      </c>
      <c r="O938" s="425">
        <v>45714</v>
      </c>
      <c r="P938" s="33" t="str">
        <f>HYPERLINK("https://my.zakupivli.pro/remote/dispatcher/state_purchase_view/57729054", "UA-2025-02-26-006375-a")</f>
        <v>UA-2025-02-26-006375-a</v>
      </c>
      <c r="Q938" s="424">
        <v>120.94149</v>
      </c>
      <c r="R938" s="424">
        <v>1</v>
      </c>
      <c r="S938" s="424">
        <v>120.94149</v>
      </c>
      <c r="T938" s="425">
        <v>45714</v>
      </c>
      <c r="U938" s="424"/>
      <c r="V938" s="424" t="s">
        <v>59</v>
      </c>
    </row>
    <row r="939" spans="1:22" ht="93.6" x14ac:dyDescent="0.3">
      <c r="A939" s="424">
        <v>933</v>
      </c>
      <c r="B939" s="424" t="s">
        <v>40</v>
      </c>
      <c r="C939" s="44" t="s">
        <v>2008</v>
      </c>
      <c r="D939" s="424"/>
      <c r="E939" s="424" t="s">
        <v>88</v>
      </c>
      <c r="F939" s="44" t="s">
        <v>1903</v>
      </c>
      <c r="G939" s="424" t="s">
        <v>184</v>
      </c>
      <c r="H939" s="590">
        <v>44569.936150000001</v>
      </c>
      <c r="I939" s="424">
        <v>1</v>
      </c>
      <c r="J939" s="590">
        <v>44569.936150000001</v>
      </c>
      <c r="K939" s="590">
        <v>44569.936150000001</v>
      </c>
      <c r="L939" s="424">
        <v>1</v>
      </c>
      <c r="M939" s="590">
        <v>44569.936150000001</v>
      </c>
      <c r="N939" s="6" t="s">
        <v>1905</v>
      </c>
      <c r="O939" s="425">
        <v>45718</v>
      </c>
      <c r="P939" s="429" t="str">
        <f>HYPERLINK("https://my.zakupivli.pro/remote/dispatcher/state_purchase_view/57767467", "UA-2025-02-27-009761-a")</f>
        <v>UA-2025-02-27-009761-a</v>
      </c>
      <c r="Q939" s="464">
        <v>44563.269160000003</v>
      </c>
      <c r="R939" s="464">
        <v>1</v>
      </c>
      <c r="S939" s="464">
        <v>44563.269160000003</v>
      </c>
      <c r="T939" s="425">
        <v>45763</v>
      </c>
      <c r="U939" s="424"/>
      <c r="V939" s="424"/>
    </row>
    <row r="940" spans="1:22" ht="62.4" x14ac:dyDescent="0.3">
      <c r="A940" s="424">
        <v>934</v>
      </c>
      <c r="B940" s="424" t="s">
        <v>40</v>
      </c>
      <c r="C940" s="44" t="s">
        <v>2008</v>
      </c>
      <c r="D940" s="424"/>
      <c r="E940" s="424" t="s">
        <v>88</v>
      </c>
      <c r="F940" s="44" t="s">
        <v>1904</v>
      </c>
      <c r="G940" s="424" t="s">
        <v>184</v>
      </c>
      <c r="H940" s="590">
        <v>24737.839540000001</v>
      </c>
      <c r="I940" s="424">
        <v>1</v>
      </c>
      <c r="J940" s="590">
        <v>24737.839540000001</v>
      </c>
      <c r="K940" s="590">
        <v>24737.839540000001</v>
      </c>
      <c r="L940" s="424">
        <v>1</v>
      </c>
      <c r="M940" s="590">
        <v>24737.839540000001</v>
      </c>
      <c r="N940" s="6" t="s">
        <v>1906</v>
      </c>
      <c r="O940" s="425">
        <v>45718</v>
      </c>
      <c r="P940" s="33" t="str">
        <f>HYPERLINK("https://my.zakupivli.pro/remote/dispatcher/state_purchase_view/57746790", "UA-2025-02-27-000432-a")</f>
        <v>UA-2025-02-27-000432-a</v>
      </c>
      <c r="Q940" s="464">
        <v>24731.150079999999</v>
      </c>
      <c r="R940" s="464">
        <v>1</v>
      </c>
      <c r="S940" s="464">
        <v>24731.150079999999</v>
      </c>
      <c r="T940" s="465">
        <v>45763</v>
      </c>
      <c r="U940" s="424"/>
      <c r="V940" s="424"/>
    </row>
    <row r="941" spans="1:22" ht="62.4" x14ac:dyDescent="0.3">
      <c r="A941" s="424">
        <v>935</v>
      </c>
      <c r="B941" s="424" t="s">
        <v>40</v>
      </c>
      <c r="C941" s="44" t="s">
        <v>73</v>
      </c>
      <c r="D941" s="424"/>
      <c r="E941" s="424" t="s">
        <v>75</v>
      </c>
      <c r="F941" s="44" t="s">
        <v>2029</v>
      </c>
      <c r="G941" s="424" t="s">
        <v>184</v>
      </c>
      <c r="H941" s="590">
        <v>429.74119999999999</v>
      </c>
      <c r="I941" s="424">
        <v>1</v>
      </c>
      <c r="J941" s="590">
        <v>429.74119999999999</v>
      </c>
      <c r="K941" s="590">
        <v>429.74119999999999</v>
      </c>
      <c r="L941" s="424">
        <v>1</v>
      </c>
      <c r="M941" s="590">
        <v>429.74119999999999</v>
      </c>
      <c r="N941" s="6" t="s">
        <v>1907</v>
      </c>
      <c r="O941" s="425">
        <v>45719</v>
      </c>
      <c r="P941" s="33" t="str">
        <f>HYPERLINK("https://my.zakupivli.pro/remote/dispatcher/state_purchase_view/57827963", "UA-2025-03-03-010821-a")</f>
        <v>UA-2025-03-03-010821-a</v>
      </c>
      <c r="Q941" s="424">
        <v>429.74119999999999</v>
      </c>
      <c r="R941" s="424">
        <v>1</v>
      </c>
      <c r="S941" s="424">
        <v>429.74119999999999</v>
      </c>
      <c r="T941" s="425">
        <v>45719</v>
      </c>
      <c r="U941" s="424"/>
      <c r="V941" s="424" t="s">
        <v>59</v>
      </c>
    </row>
    <row r="942" spans="1:22" ht="62.4" x14ac:dyDescent="0.3">
      <c r="A942" s="424">
        <v>936</v>
      </c>
      <c r="B942" s="424" t="s">
        <v>40</v>
      </c>
      <c r="C942" s="44" t="s">
        <v>73</v>
      </c>
      <c r="D942" s="424"/>
      <c r="E942" s="424" t="s">
        <v>75</v>
      </c>
      <c r="F942" s="44" t="s">
        <v>1887</v>
      </c>
      <c r="G942" s="424" t="s">
        <v>184</v>
      </c>
      <c r="H942" s="590">
        <v>406.09300000000002</v>
      </c>
      <c r="I942" s="424">
        <v>1</v>
      </c>
      <c r="J942" s="590">
        <v>406.09300000000002</v>
      </c>
      <c r="K942" s="590">
        <v>406.09300000000002</v>
      </c>
      <c r="L942" s="424">
        <v>1</v>
      </c>
      <c r="M942" s="590">
        <v>406.09300000000002</v>
      </c>
      <c r="N942" s="6" t="s">
        <v>1908</v>
      </c>
      <c r="O942" s="425">
        <v>45719</v>
      </c>
      <c r="P942" s="33" t="str">
        <f>HYPERLINK("https://my.zakupivli.pro/remote/dispatcher/state_purchase_view/57827098", "UA-2025-03-03-010382-a")</f>
        <v>UA-2025-03-03-010382-a</v>
      </c>
      <c r="Q942" s="424">
        <v>406.09300000000002</v>
      </c>
      <c r="R942" s="424">
        <v>1</v>
      </c>
      <c r="S942" s="424">
        <v>406.09300000000002</v>
      </c>
      <c r="T942" s="425">
        <v>45719</v>
      </c>
      <c r="U942" s="424"/>
      <c r="V942" s="424" t="s">
        <v>59</v>
      </c>
    </row>
    <row r="943" spans="1:22" ht="62.4" x14ac:dyDescent="0.3">
      <c r="A943" s="424">
        <v>937</v>
      </c>
      <c r="B943" s="424" t="s">
        <v>40</v>
      </c>
      <c r="C943" s="44" t="s">
        <v>73</v>
      </c>
      <c r="D943" s="424"/>
      <c r="E943" s="424" t="s">
        <v>75</v>
      </c>
      <c r="F943" s="44" t="s">
        <v>1887</v>
      </c>
      <c r="G943" s="424" t="s">
        <v>184</v>
      </c>
      <c r="H943" s="590">
        <v>508.27719999999999</v>
      </c>
      <c r="I943" s="424">
        <v>1</v>
      </c>
      <c r="J943" s="590">
        <v>508.27719999999999</v>
      </c>
      <c r="K943" s="590">
        <v>508.27719999999999</v>
      </c>
      <c r="L943" s="424">
        <v>1</v>
      </c>
      <c r="M943" s="590">
        <v>508.27719999999999</v>
      </c>
      <c r="N943" s="6" t="s">
        <v>1909</v>
      </c>
      <c r="O943" s="425">
        <v>45720</v>
      </c>
      <c r="P943" s="33" t="str">
        <f>HYPERLINK("https://my.zakupivli.pro/remote/dispatcher/state_purchase_view/57859720", "UA-2025-03-04-011644-a")</f>
        <v>UA-2025-03-04-011644-a</v>
      </c>
      <c r="Q943" s="424">
        <v>508.27719999999999</v>
      </c>
      <c r="R943" s="424">
        <v>1</v>
      </c>
      <c r="S943" s="424">
        <v>508.27719999999999</v>
      </c>
      <c r="T943" s="425">
        <v>45720</v>
      </c>
      <c r="U943" s="424"/>
      <c r="V943" s="424" t="s">
        <v>59</v>
      </c>
    </row>
    <row r="944" spans="1:22" ht="46.8" x14ac:dyDescent="0.3">
      <c r="A944" s="424">
        <v>938</v>
      </c>
      <c r="B944" s="424" t="s">
        <v>21</v>
      </c>
      <c r="C944" s="44" t="s">
        <v>2028</v>
      </c>
      <c r="D944" s="424"/>
      <c r="E944" s="424" t="s">
        <v>75</v>
      </c>
      <c r="F944" s="44" t="s">
        <v>1910</v>
      </c>
      <c r="G944" s="424" t="s">
        <v>186</v>
      </c>
      <c r="H944" s="590"/>
      <c r="I944" s="424">
        <v>158</v>
      </c>
      <c r="J944" s="590">
        <v>1179.8870400000001</v>
      </c>
      <c r="K944" s="590"/>
      <c r="L944" s="424">
        <v>158</v>
      </c>
      <c r="M944" s="590">
        <v>1179.8870400000001</v>
      </c>
      <c r="N944" s="6" t="s">
        <v>1911</v>
      </c>
      <c r="O944" s="425">
        <v>45721</v>
      </c>
      <c r="P944" s="120" t="str">
        <f>HYPERLINK("https://my.zakupivli.pro/remote/dispatcher/state_purchase_view/57875267", "UA-2025-03-05-003221-a")</f>
        <v>UA-2025-03-05-003221-a</v>
      </c>
      <c r="Q944" s="424"/>
      <c r="R944" s="424">
        <v>158</v>
      </c>
      <c r="S944" s="424">
        <v>1008.40833</v>
      </c>
      <c r="T944" s="425">
        <v>45742</v>
      </c>
      <c r="U944" s="424"/>
      <c r="V944" s="424"/>
    </row>
    <row r="945" spans="1:22" ht="62.4" x14ac:dyDescent="0.3">
      <c r="A945" s="424">
        <v>939</v>
      </c>
      <c r="B945" s="424" t="s">
        <v>40</v>
      </c>
      <c r="C945" s="44" t="s">
        <v>884</v>
      </c>
      <c r="D945" s="424"/>
      <c r="E945" s="424" t="s">
        <v>20</v>
      </c>
      <c r="F945" s="44" t="s">
        <v>2027</v>
      </c>
      <c r="G945" s="424" t="s">
        <v>184</v>
      </c>
      <c r="H945" s="590">
        <v>91.733549999999994</v>
      </c>
      <c r="I945" s="424">
        <v>1</v>
      </c>
      <c r="J945" s="590">
        <v>91.733549999999994</v>
      </c>
      <c r="K945" s="590">
        <v>91.733549999999994</v>
      </c>
      <c r="L945" s="424">
        <v>1</v>
      </c>
      <c r="M945" s="590">
        <v>91.733549999999994</v>
      </c>
      <c r="N945" s="6" t="s">
        <v>1912</v>
      </c>
      <c r="O945" s="425">
        <v>45721</v>
      </c>
      <c r="P945" s="120" t="str">
        <f>HYPERLINK("https://my.zakupivli.pro/remote/dispatcher/state_purchase_view/57873346", "UA-2025-03-05-002451-a")</f>
        <v>UA-2025-03-05-002451-a</v>
      </c>
      <c r="Q945" s="424">
        <v>91.733549999999994</v>
      </c>
      <c r="R945" s="424">
        <v>1</v>
      </c>
      <c r="S945" s="424">
        <v>91.733549999999994</v>
      </c>
      <c r="T945" s="425">
        <v>45721</v>
      </c>
      <c r="U945" s="424"/>
      <c r="V945" s="424" t="s">
        <v>59</v>
      </c>
    </row>
    <row r="946" spans="1:22" ht="62.4" x14ac:dyDescent="0.3">
      <c r="A946" s="424">
        <v>940</v>
      </c>
      <c r="B946" s="424" t="s">
        <v>21</v>
      </c>
      <c r="C946" s="44" t="s">
        <v>1913</v>
      </c>
      <c r="D946" s="424"/>
      <c r="E946" s="424" t="s">
        <v>75</v>
      </c>
      <c r="F946" s="44" t="s">
        <v>2026</v>
      </c>
      <c r="G946" s="424" t="s">
        <v>185</v>
      </c>
      <c r="H946" s="590"/>
      <c r="I946" s="424">
        <v>34</v>
      </c>
      <c r="J946" s="590">
        <v>428.90600000000001</v>
      </c>
      <c r="K946" s="590"/>
      <c r="L946" s="426">
        <v>34</v>
      </c>
      <c r="M946" s="590">
        <v>428.90600000000001</v>
      </c>
      <c r="N946" s="6" t="s">
        <v>1915</v>
      </c>
      <c r="O946" s="425">
        <v>45722</v>
      </c>
      <c r="P946" s="33" t="str">
        <f>HYPERLINK("https://my.zakupivli.pro/remote/dispatcher/state_purchase_view/57931528", "UA-2025-03-06-012902-a")</f>
        <v>UA-2025-03-06-012902-a</v>
      </c>
      <c r="Q946" s="424"/>
      <c r="R946" s="424"/>
      <c r="S946" s="424"/>
      <c r="T946" s="425"/>
      <c r="U946" s="424" t="s">
        <v>1793</v>
      </c>
      <c r="V946" s="424"/>
    </row>
    <row r="947" spans="1:22" ht="62.4" x14ac:dyDescent="0.3">
      <c r="A947" s="424">
        <v>941</v>
      </c>
      <c r="B947" s="446" t="s">
        <v>21</v>
      </c>
      <c r="C947" s="452" t="s">
        <v>1914</v>
      </c>
      <c r="D947" s="446"/>
      <c r="E947" s="446" t="s">
        <v>75</v>
      </c>
      <c r="F947" s="452" t="s">
        <v>2025</v>
      </c>
      <c r="G947" s="424" t="s">
        <v>186</v>
      </c>
      <c r="H947" s="590"/>
      <c r="I947" s="424">
        <v>8</v>
      </c>
      <c r="J947" s="590">
        <v>98.179000000000002</v>
      </c>
      <c r="K947" s="590"/>
      <c r="L947" s="426">
        <v>8</v>
      </c>
      <c r="M947" s="590">
        <v>98.179000000000002</v>
      </c>
      <c r="N947" s="6" t="s">
        <v>1916</v>
      </c>
      <c r="O947" s="427">
        <v>45722</v>
      </c>
      <c r="P947" s="33" t="str">
        <f>HYPERLINK("https://my.zakupivli.pro/remote/dispatcher/state_purchase_view/57925883", "UA-2025-03-06-010281-a")</f>
        <v>UA-2025-03-06-010281-a</v>
      </c>
      <c r="Q947" s="424"/>
      <c r="R947" s="426">
        <v>8</v>
      </c>
      <c r="S947" s="426">
        <v>98.179000000000002</v>
      </c>
      <c r="T947" s="427">
        <v>45721</v>
      </c>
      <c r="U947" s="424"/>
      <c r="V947" s="426" t="s">
        <v>59</v>
      </c>
    </row>
    <row r="948" spans="1:22" ht="62.4" x14ac:dyDescent="0.3">
      <c r="A948" s="424">
        <v>942</v>
      </c>
      <c r="B948" s="424" t="s">
        <v>40</v>
      </c>
      <c r="C948" s="44" t="s">
        <v>2008</v>
      </c>
      <c r="D948" s="424"/>
      <c r="E948" s="424" t="s">
        <v>20</v>
      </c>
      <c r="F948" s="44" t="s">
        <v>1917</v>
      </c>
      <c r="G948" s="424" t="s">
        <v>184</v>
      </c>
      <c r="H948" s="590">
        <v>218.52443</v>
      </c>
      <c r="I948" s="424">
        <v>1</v>
      </c>
      <c r="J948" s="590">
        <v>218.52443</v>
      </c>
      <c r="K948" s="590">
        <v>218.52443</v>
      </c>
      <c r="L948" s="431">
        <v>1</v>
      </c>
      <c r="M948" s="590">
        <v>218.52443</v>
      </c>
      <c r="N948" s="6" t="s">
        <v>1918</v>
      </c>
      <c r="O948" s="425">
        <v>45726</v>
      </c>
      <c r="P948" s="120" t="str">
        <f>HYPERLINK("https://my.zakupivli.pro/remote/dispatcher/state_purchase_view/57971178", "UA-2025-03-10-004948-a")</f>
        <v>UA-2025-03-10-004948-a</v>
      </c>
      <c r="Q948" s="431">
        <v>218.52443</v>
      </c>
      <c r="R948" s="431">
        <v>1</v>
      </c>
      <c r="S948" s="431">
        <v>218.52443</v>
      </c>
      <c r="T948" s="430">
        <v>45726</v>
      </c>
      <c r="U948" s="424"/>
      <c r="V948" s="431" t="s">
        <v>59</v>
      </c>
    </row>
    <row r="949" spans="1:22" ht="62.4" x14ac:dyDescent="0.3">
      <c r="A949" s="446">
        <v>943</v>
      </c>
      <c r="B949" s="446" t="s">
        <v>21</v>
      </c>
      <c r="C949" s="452" t="s">
        <v>1117</v>
      </c>
      <c r="D949" s="446"/>
      <c r="E949" s="446" t="s">
        <v>75</v>
      </c>
      <c r="F949" s="452" t="s">
        <v>2024</v>
      </c>
      <c r="G949" s="424" t="s">
        <v>186</v>
      </c>
      <c r="H949" s="590"/>
      <c r="I949" s="424">
        <v>10</v>
      </c>
      <c r="J949" s="590">
        <v>204.12375</v>
      </c>
      <c r="K949" s="590"/>
      <c r="L949" s="432">
        <v>10</v>
      </c>
      <c r="M949" s="590">
        <v>204.12375</v>
      </c>
      <c r="N949" s="6" t="s">
        <v>1921</v>
      </c>
      <c r="O949" s="425">
        <v>45729</v>
      </c>
      <c r="P949" s="33" t="str">
        <f>HYPERLINK("https://my.zakupivli.pro/remote/dispatcher/state_purchase_view/58076884", "UA-2025-03-13-009703-a")</f>
        <v>UA-2025-03-13-009703-a</v>
      </c>
      <c r="Q949" s="424"/>
      <c r="R949" s="432">
        <v>10</v>
      </c>
      <c r="S949" s="432">
        <v>204.12375</v>
      </c>
      <c r="T949" s="433">
        <v>45729</v>
      </c>
      <c r="U949" s="424"/>
      <c r="V949" s="432" t="s">
        <v>59</v>
      </c>
    </row>
    <row r="950" spans="1:22" ht="62.4" x14ac:dyDescent="0.3">
      <c r="A950" s="424">
        <v>944</v>
      </c>
      <c r="B950" s="424" t="s">
        <v>21</v>
      </c>
      <c r="C950" s="44" t="s">
        <v>2000</v>
      </c>
      <c r="D950" s="424"/>
      <c r="E950" s="432" t="s">
        <v>75</v>
      </c>
      <c r="F950" s="44" t="s">
        <v>1919</v>
      </c>
      <c r="G950" s="424" t="s">
        <v>186</v>
      </c>
      <c r="H950" s="590"/>
      <c r="I950" s="424">
        <v>45</v>
      </c>
      <c r="J950" s="590">
        <v>1308.3333299999999</v>
      </c>
      <c r="K950" s="590"/>
      <c r="L950" s="432">
        <v>45</v>
      </c>
      <c r="M950" s="590">
        <v>1308.3333299999999</v>
      </c>
      <c r="N950" s="6" t="s">
        <v>1922</v>
      </c>
      <c r="O950" s="433">
        <v>45729</v>
      </c>
      <c r="P950" s="33" t="str">
        <f>HYPERLINK("https://my.zakupivli.pro/remote/dispatcher/state_purchase_view/58072937", "UA-2025-03-13-007768-a")</f>
        <v>UA-2025-03-13-007768-a</v>
      </c>
      <c r="Q950" s="424"/>
      <c r="R950" s="424">
        <v>45</v>
      </c>
      <c r="S950" s="424">
        <v>1272.60025</v>
      </c>
      <c r="T950" s="433">
        <v>45747</v>
      </c>
      <c r="U950" s="424"/>
      <c r="V950" s="432"/>
    </row>
    <row r="951" spans="1:22" ht="62.4" x14ac:dyDescent="0.3">
      <c r="A951" s="424">
        <v>945</v>
      </c>
      <c r="B951" s="424" t="s">
        <v>40</v>
      </c>
      <c r="C951" s="44" t="s">
        <v>73</v>
      </c>
      <c r="D951" s="424"/>
      <c r="E951" s="432" t="s">
        <v>75</v>
      </c>
      <c r="F951" s="44" t="s">
        <v>1999</v>
      </c>
      <c r="G951" s="424" t="s">
        <v>184</v>
      </c>
      <c r="H951" s="590"/>
      <c r="I951" s="424">
        <v>1</v>
      </c>
      <c r="J951" s="590">
        <v>211.26647</v>
      </c>
      <c r="K951" s="590"/>
      <c r="L951" s="432">
        <v>1</v>
      </c>
      <c r="M951" s="590">
        <v>211.26647</v>
      </c>
      <c r="N951" s="6" t="s">
        <v>1923</v>
      </c>
      <c r="O951" s="433">
        <v>45729</v>
      </c>
      <c r="P951" s="33" t="str">
        <f>HYPERLINK("https://my.zakupivli.pro/remote/dispatcher/state_purchase_view/58061453", "UA-2025-03-13-002322-a")</f>
        <v>UA-2025-03-13-002322-a</v>
      </c>
      <c r="Q951" s="424"/>
      <c r="R951" s="432">
        <v>1</v>
      </c>
      <c r="S951" s="432">
        <v>211.26647</v>
      </c>
      <c r="T951" s="433">
        <v>45729</v>
      </c>
      <c r="U951" s="424"/>
      <c r="V951" s="432" t="s">
        <v>59</v>
      </c>
    </row>
    <row r="952" spans="1:22" ht="62.4" x14ac:dyDescent="0.3">
      <c r="A952" s="424">
        <v>946</v>
      </c>
      <c r="B952" s="424" t="s">
        <v>40</v>
      </c>
      <c r="C952" s="44" t="s">
        <v>73</v>
      </c>
      <c r="D952" s="424"/>
      <c r="E952" s="432" t="s">
        <v>75</v>
      </c>
      <c r="F952" s="44" t="s">
        <v>1998</v>
      </c>
      <c r="G952" s="424" t="s">
        <v>184</v>
      </c>
      <c r="H952" s="590"/>
      <c r="I952" s="424">
        <v>1</v>
      </c>
      <c r="J952" s="590">
        <v>440.26853999999997</v>
      </c>
      <c r="K952" s="590"/>
      <c r="L952" s="432">
        <v>1</v>
      </c>
      <c r="M952" s="590">
        <v>440.26853999999997</v>
      </c>
      <c r="N952" s="6" t="s">
        <v>1924</v>
      </c>
      <c r="O952" s="433">
        <v>45729</v>
      </c>
      <c r="P952" s="33" t="str">
        <f>HYPERLINK("https://my.zakupivli.pro/remote/dispatcher/state_purchase_view/58060906", "UA-2025-03-13-002113-a")</f>
        <v>UA-2025-03-13-002113-a</v>
      </c>
      <c r="Q952" s="424"/>
      <c r="R952" s="432">
        <v>1</v>
      </c>
      <c r="S952" s="432">
        <v>440.26853999999997</v>
      </c>
      <c r="T952" s="433">
        <v>45729</v>
      </c>
      <c r="U952" s="424"/>
      <c r="V952" s="432" t="s">
        <v>59</v>
      </c>
    </row>
    <row r="953" spans="1:22" ht="78" x14ac:dyDescent="0.3">
      <c r="A953" s="432">
        <v>947</v>
      </c>
      <c r="B953" s="432" t="s">
        <v>40</v>
      </c>
      <c r="C953" s="44" t="s">
        <v>1991</v>
      </c>
      <c r="D953" s="432"/>
      <c r="E953" s="432" t="s">
        <v>75</v>
      </c>
      <c r="F953" s="44" t="s">
        <v>1920</v>
      </c>
      <c r="G953" s="432" t="s">
        <v>184</v>
      </c>
      <c r="H953" s="590"/>
      <c r="I953" s="432">
        <v>1</v>
      </c>
      <c r="J953" s="590">
        <v>143.95327</v>
      </c>
      <c r="K953" s="590"/>
      <c r="L953" s="432">
        <v>1</v>
      </c>
      <c r="M953" s="590">
        <v>143.95327</v>
      </c>
      <c r="N953" s="6" t="s">
        <v>1925</v>
      </c>
      <c r="O953" s="433">
        <v>45729</v>
      </c>
      <c r="P953" s="33" t="str">
        <f>HYPERLINK("https://my.zakupivli.pro/remote/dispatcher/state_purchase_view/58056297", "UA-2025-03-13-000096-a")</f>
        <v>UA-2025-03-13-000096-a</v>
      </c>
      <c r="Q953" s="432"/>
      <c r="R953" s="432">
        <v>1</v>
      </c>
      <c r="S953" s="432">
        <v>143.95327</v>
      </c>
      <c r="T953" s="433">
        <v>45729</v>
      </c>
      <c r="U953" s="432"/>
      <c r="V953" s="432" t="s">
        <v>59</v>
      </c>
    </row>
    <row r="954" spans="1:22" ht="43.2" x14ac:dyDescent="0.3">
      <c r="A954" s="432">
        <v>948</v>
      </c>
      <c r="B954" s="432" t="s">
        <v>21</v>
      </c>
      <c r="C954" s="44" t="s">
        <v>30</v>
      </c>
      <c r="D954" s="432"/>
      <c r="E954" s="432" t="s">
        <v>75</v>
      </c>
      <c r="F954" s="44" t="s">
        <v>1997</v>
      </c>
      <c r="G954" s="432" t="s">
        <v>185</v>
      </c>
      <c r="H954" s="590"/>
      <c r="I954" s="432">
        <v>160</v>
      </c>
      <c r="J954" s="590">
        <v>433.33332999999999</v>
      </c>
      <c r="K954" s="590"/>
      <c r="L954" s="432">
        <v>160</v>
      </c>
      <c r="M954" s="590">
        <v>433.33332999999999</v>
      </c>
      <c r="N954" s="6" t="s">
        <v>1928</v>
      </c>
      <c r="O954" s="433">
        <v>45730</v>
      </c>
      <c r="P954" s="33" t="str">
        <f>HYPERLINK("https://my.zakupivli.pro/remote/dispatcher/state_purchase_view/58109414", "UA-2025-03-14-009710-a")</f>
        <v>UA-2025-03-14-009710-a</v>
      </c>
      <c r="Q954" s="432"/>
      <c r="R954" s="432">
        <v>160</v>
      </c>
      <c r="S954" s="432">
        <v>333.25069999999999</v>
      </c>
      <c r="T954" s="433">
        <v>45750</v>
      </c>
      <c r="U954" s="432"/>
      <c r="V954" s="432"/>
    </row>
    <row r="955" spans="1:22" ht="62.4" x14ac:dyDescent="0.3">
      <c r="A955" s="432">
        <v>949</v>
      </c>
      <c r="B955" s="432" t="s">
        <v>21</v>
      </c>
      <c r="C955" s="44" t="s">
        <v>1996</v>
      </c>
      <c r="D955" s="432"/>
      <c r="E955" s="432" t="s">
        <v>75</v>
      </c>
      <c r="F955" s="44" t="s">
        <v>1926</v>
      </c>
      <c r="G955" s="432" t="s">
        <v>186</v>
      </c>
      <c r="H955" s="590"/>
      <c r="I955" s="432">
        <v>3</v>
      </c>
      <c r="J955" s="590">
        <v>60.97</v>
      </c>
      <c r="K955" s="590"/>
      <c r="L955" s="432">
        <v>3</v>
      </c>
      <c r="M955" s="590">
        <v>60.97</v>
      </c>
      <c r="N955" s="6" t="s">
        <v>1929</v>
      </c>
      <c r="O955" s="433">
        <v>45730</v>
      </c>
      <c r="P955" s="33" t="str">
        <f>HYPERLINK("https://my.zakupivli.pro/remote/dispatcher/state_purchase_view/58096222", "UA-2025-03-14-003738-a")</f>
        <v>UA-2025-03-14-003738-a</v>
      </c>
      <c r="Q955" s="432"/>
      <c r="R955" s="432">
        <v>3</v>
      </c>
      <c r="S955" s="432">
        <v>60.97</v>
      </c>
      <c r="T955" s="433">
        <v>45730</v>
      </c>
      <c r="U955" s="432"/>
      <c r="V955" s="432" t="s">
        <v>59</v>
      </c>
    </row>
    <row r="956" spans="1:22" ht="62.4" x14ac:dyDescent="0.3">
      <c r="A956" s="432">
        <v>950</v>
      </c>
      <c r="B956" s="432" t="s">
        <v>1150</v>
      </c>
      <c r="C956" s="44" t="s">
        <v>1995</v>
      </c>
      <c r="D956" s="432"/>
      <c r="E956" s="432" t="s">
        <v>75</v>
      </c>
      <c r="F956" s="44" t="s">
        <v>1927</v>
      </c>
      <c r="G956" s="432" t="s">
        <v>1149</v>
      </c>
      <c r="H956" s="590"/>
      <c r="I956" s="432">
        <v>1</v>
      </c>
      <c r="J956" s="590">
        <v>81</v>
      </c>
      <c r="K956" s="590"/>
      <c r="L956" s="432">
        <v>1</v>
      </c>
      <c r="M956" s="590">
        <v>81</v>
      </c>
      <c r="N956" s="6" t="s">
        <v>1930</v>
      </c>
      <c r="O956" s="433">
        <v>45730</v>
      </c>
      <c r="P956" s="33" t="str">
        <f>HYPERLINK("https://my.zakupivli.pro/remote/dispatcher/state_purchase_view/58089610", "UA-2025-03-14-000631-a")</f>
        <v>UA-2025-03-14-000631-a</v>
      </c>
      <c r="Q956" s="432"/>
      <c r="R956" s="432">
        <v>1</v>
      </c>
      <c r="S956" s="117">
        <v>81</v>
      </c>
      <c r="T956" s="433">
        <v>45730</v>
      </c>
      <c r="U956" s="432"/>
      <c r="V956" s="432" t="s">
        <v>59</v>
      </c>
    </row>
    <row r="957" spans="1:22" ht="62.4" x14ac:dyDescent="0.3">
      <c r="A957" s="432">
        <v>951</v>
      </c>
      <c r="B957" s="432" t="s">
        <v>40</v>
      </c>
      <c r="C957" s="44" t="s">
        <v>1991</v>
      </c>
      <c r="D957" s="432"/>
      <c r="E957" s="432" t="s">
        <v>20</v>
      </c>
      <c r="F957" s="44" t="s">
        <v>1931</v>
      </c>
      <c r="G957" s="432" t="s">
        <v>184</v>
      </c>
      <c r="H957" s="590">
        <v>219.46376000000001</v>
      </c>
      <c r="I957" s="432">
        <v>1</v>
      </c>
      <c r="J957" s="590">
        <v>219.46376000000001</v>
      </c>
      <c r="K957" s="590">
        <v>219.46376000000001</v>
      </c>
      <c r="L957" s="434">
        <v>1</v>
      </c>
      <c r="M957" s="590">
        <v>219.46376000000001</v>
      </c>
      <c r="N957" s="6" t="s">
        <v>1933</v>
      </c>
      <c r="O957" s="433">
        <v>45735</v>
      </c>
      <c r="P957" s="33" t="str">
        <f>HYPERLINK("https://my.zakupivli.pro/remote/dispatcher/state_purchase_view/58211662", "UA-2025-03-19-012837-a")</f>
        <v>UA-2025-03-19-012837-a</v>
      </c>
      <c r="Q957" s="434">
        <v>219.46376000000001</v>
      </c>
      <c r="R957" s="434">
        <v>1</v>
      </c>
      <c r="S957" s="434">
        <v>219.46376000000001</v>
      </c>
      <c r="T957" s="435">
        <v>45735</v>
      </c>
      <c r="U957" s="432"/>
      <c r="V957" s="434" t="s">
        <v>59</v>
      </c>
    </row>
    <row r="958" spans="1:22" ht="62.4" x14ac:dyDescent="0.3">
      <c r="A958" s="432">
        <v>952</v>
      </c>
      <c r="B958" s="432" t="s">
        <v>40</v>
      </c>
      <c r="C958" s="44" t="s">
        <v>1991</v>
      </c>
      <c r="D958" s="432"/>
      <c r="E958" s="432" t="s">
        <v>20</v>
      </c>
      <c r="F958" s="44" t="s">
        <v>1932</v>
      </c>
      <c r="G958" s="432" t="s">
        <v>184</v>
      </c>
      <c r="H958" s="590">
        <v>72.275949999999995</v>
      </c>
      <c r="I958" s="432">
        <v>1</v>
      </c>
      <c r="J958" s="590">
        <v>72.275949999999995</v>
      </c>
      <c r="K958" s="590">
        <v>72.275949999999995</v>
      </c>
      <c r="L958" s="434">
        <v>1</v>
      </c>
      <c r="M958" s="590">
        <v>72.275949999999995</v>
      </c>
      <c r="N958" s="6" t="s">
        <v>1934</v>
      </c>
      <c r="O958" s="435">
        <v>45735</v>
      </c>
      <c r="P958" s="33" t="str">
        <f>HYPERLINK("https://my.zakupivli.pro/remote/dispatcher/state_purchase_view/58211601", "UA-2025-03-19-012800-a")</f>
        <v>UA-2025-03-19-012800-a</v>
      </c>
      <c r="Q958" s="434">
        <v>72.275949999999995</v>
      </c>
      <c r="R958" s="434">
        <v>1</v>
      </c>
      <c r="S958" s="434">
        <v>72.275949999999995</v>
      </c>
      <c r="T958" s="435">
        <v>45735</v>
      </c>
      <c r="U958" s="432"/>
      <c r="V958" s="434" t="s">
        <v>59</v>
      </c>
    </row>
    <row r="959" spans="1:22" ht="62.4" x14ac:dyDescent="0.3">
      <c r="A959" s="432">
        <v>953</v>
      </c>
      <c r="B959" s="432" t="s">
        <v>21</v>
      </c>
      <c r="C959" s="44" t="s">
        <v>1913</v>
      </c>
      <c r="D959" s="432"/>
      <c r="E959" s="432" t="s">
        <v>75</v>
      </c>
      <c r="F959" s="44" t="s">
        <v>1994</v>
      </c>
      <c r="G959" s="432" t="s">
        <v>185</v>
      </c>
      <c r="H959" s="590"/>
      <c r="I959" s="432">
        <v>34</v>
      </c>
      <c r="J959" s="590">
        <v>428.90600000000001</v>
      </c>
      <c r="K959" s="590"/>
      <c r="L959" s="434">
        <v>34</v>
      </c>
      <c r="M959" s="590">
        <v>428.90600000000001</v>
      </c>
      <c r="N959" s="6" t="s">
        <v>1935</v>
      </c>
      <c r="O959" s="435">
        <v>45735</v>
      </c>
      <c r="P959" s="33" t="str">
        <f>HYPERLINK("https://my.zakupivli.pro/remote/dispatcher/state_purchase_view/58199921", "UA-2025-03-19-007714-a")</f>
        <v>UA-2025-03-19-007714-a</v>
      </c>
      <c r="Q959" s="432"/>
      <c r="R959" s="432">
        <v>34</v>
      </c>
      <c r="S959" s="432">
        <v>377.911</v>
      </c>
      <c r="T959" s="433">
        <v>45750</v>
      </c>
      <c r="U959" s="432"/>
      <c r="V959" s="432"/>
    </row>
    <row r="960" spans="1:22" ht="78" x14ac:dyDescent="0.3">
      <c r="A960" s="432">
        <v>954</v>
      </c>
      <c r="B960" s="432" t="s">
        <v>40</v>
      </c>
      <c r="C960" s="44" t="s">
        <v>1991</v>
      </c>
      <c r="D960" s="432"/>
      <c r="E960" s="432" t="s">
        <v>20</v>
      </c>
      <c r="F960" s="44" t="s">
        <v>1936</v>
      </c>
      <c r="G960" s="432" t="s">
        <v>184</v>
      </c>
      <c r="H960" s="590">
        <v>1006.59651</v>
      </c>
      <c r="I960" s="432">
        <v>1</v>
      </c>
      <c r="J960" s="590">
        <v>1006.59651</v>
      </c>
      <c r="K960" s="590">
        <v>1006.59651</v>
      </c>
      <c r="L960" s="434">
        <v>1</v>
      </c>
      <c r="M960" s="590">
        <v>1006.59651</v>
      </c>
      <c r="N960" s="6" t="s">
        <v>1937</v>
      </c>
      <c r="O960" s="433">
        <v>45736</v>
      </c>
      <c r="P960" s="33" t="str">
        <f>HYPERLINK("https://my.zakupivli.pro/remote/dispatcher/state_purchase_view/58221122", "UA-2025-03-20-002481-a")</f>
        <v>UA-2025-03-20-002481-a</v>
      </c>
      <c r="Q960" s="434">
        <v>1006.59651</v>
      </c>
      <c r="R960" s="434">
        <v>1</v>
      </c>
      <c r="S960" s="434">
        <v>1006.59651</v>
      </c>
      <c r="T960" s="435">
        <v>45736</v>
      </c>
      <c r="U960" s="432"/>
      <c r="V960" s="434" t="s">
        <v>59</v>
      </c>
    </row>
    <row r="961" spans="1:22" ht="62.4" x14ac:dyDescent="0.3">
      <c r="A961" s="432">
        <v>955</v>
      </c>
      <c r="B961" s="432" t="s">
        <v>40</v>
      </c>
      <c r="C961" s="41" t="s">
        <v>395</v>
      </c>
      <c r="D961" s="432"/>
      <c r="E961" s="432" t="s">
        <v>75</v>
      </c>
      <c r="F961" s="44" t="s">
        <v>1993</v>
      </c>
      <c r="G961" s="432" t="s">
        <v>184</v>
      </c>
      <c r="H961" s="590" t="s">
        <v>1938</v>
      </c>
      <c r="I961" s="432">
        <v>1</v>
      </c>
      <c r="J961" s="590" t="s">
        <v>1938</v>
      </c>
      <c r="K961" s="590" t="s">
        <v>1938</v>
      </c>
      <c r="L961" s="434">
        <v>1</v>
      </c>
      <c r="M961" s="590" t="s">
        <v>1938</v>
      </c>
      <c r="N961" s="6" t="s">
        <v>1939</v>
      </c>
      <c r="O961" s="433">
        <v>45737</v>
      </c>
      <c r="P961" s="33" t="str">
        <f>HYPERLINK("https://my.zakupivli.pro/remote/dispatcher/state_purchase_view/58273102", "UA-2025-03-21-011182-a")</f>
        <v>UA-2025-03-21-011182-a</v>
      </c>
      <c r="Q961" s="434" t="s">
        <v>1938</v>
      </c>
      <c r="R961" s="434">
        <v>1</v>
      </c>
      <c r="S961" s="434" t="s">
        <v>1938</v>
      </c>
      <c r="T961" s="433">
        <v>45737</v>
      </c>
      <c r="U961" s="432"/>
      <c r="V961" s="434" t="s">
        <v>59</v>
      </c>
    </row>
    <row r="962" spans="1:22" ht="62.4" x14ac:dyDescent="0.3">
      <c r="A962" s="432">
        <v>956</v>
      </c>
      <c r="B962" s="432" t="s">
        <v>21</v>
      </c>
      <c r="C962" s="44" t="s">
        <v>1992</v>
      </c>
      <c r="D962" s="432"/>
      <c r="E962" s="432" t="s">
        <v>75</v>
      </c>
      <c r="F962" s="44" t="s">
        <v>1940</v>
      </c>
      <c r="G962" s="432" t="s">
        <v>1943</v>
      </c>
      <c r="H962" s="590"/>
      <c r="I962" s="432">
        <v>328</v>
      </c>
      <c r="J962" s="590">
        <v>78.048000000000002</v>
      </c>
      <c r="K962" s="590"/>
      <c r="L962" s="434">
        <v>328</v>
      </c>
      <c r="M962" s="590">
        <v>78.048000000000002</v>
      </c>
      <c r="N962" s="6" t="s">
        <v>1942</v>
      </c>
      <c r="O962" s="435">
        <v>45740</v>
      </c>
      <c r="P962" s="33" t="str">
        <f>HYPERLINK("https://my.zakupivli.pro/remote/dispatcher/state_purchase_view/58282530", "UA-2025-03-24-001110-a")</f>
        <v>UA-2025-03-24-001110-a</v>
      </c>
      <c r="Q962" s="432"/>
      <c r="R962" s="434">
        <v>328</v>
      </c>
      <c r="S962" s="434">
        <v>78.048000000000002</v>
      </c>
      <c r="T962" s="433">
        <v>45740</v>
      </c>
      <c r="U962" s="432"/>
      <c r="V962" s="434" t="s">
        <v>59</v>
      </c>
    </row>
    <row r="963" spans="1:22" ht="62.4" x14ac:dyDescent="0.3">
      <c r="A963" s="432">
        <v>957</v>
      </c>
      <c r="B963" s="432" t="s">
        <v>40</v>
      </c>
      <c r="C963" s="44" t="s">
        <v>1991</v>
      </c>
      <c r="D963" s="432"/>
      <c r="E963" s="432" t="s">
        <v>20</v>
      </c>
      <c r="F963" s="44" t="s">
        <v>1941</v>
      </c>
      <c r="G963" s="432" t="s">
        <v>184</v>
      </c>
      <c r="H963" s="590"/>
      <c r="I963" s="432">
        <v>1</v>
      </c>
      <c r="J963" s="590">
        <v>151.13647</v>
      </c>
      <c r="K963" s="590"/>
      <c r="L963" s="434">
        <v>1</v>
      </c>
      <c r="M963" s="590">
        <v>151.13647</v>
      </c>
      <c r="N963" s="6" t="s">
        <v>1944</v>
      </c>
      <c r="O963" s="435">
        <v>45740</v>
      </c>
      <c r="P963" s="33" t="str">
        <f>HYPERLINK("https://my.zakupivli.pro/remote/dispatcher/state_purchase_view/58282446", "UA-2025-03-24-001051-a")</f>
        <v>UA-2025-03-24-001051-a</v>
      </c>
      <c r="Q963" s="432"/>
      <c r="R963" s="434">
        <v>1</v>
      </c>
      <c r="S963" s="434">
        <v>151.13647</v>
      </c>
      <c r="T963" s="433">
        <v>45737</v>
      </c>
      <c r="U963" s="432"/>
      <c r="V963" s="434" t="s">
        <v>59</v>
      </c>
    </row>
    <row r="964" spans="1:22" ht="62.4" x14ac:dyDescent="0.3">
      <c r="A964" s="434">
        <v>958</v>
      </c>
      <c r="B964" s="434" t="s">
        <v>40</v>
      </c>
      <c r="C964" s="44" t="s">
        <v>884</v>
      </c>
      <c r="D964" s="434"/>
      <c r="E964" s="434" t="s">
        <v>20</v>
      </c>
      <c r="F964" s="44" t="s">
        <v>1990</v>
      </c>
      <c r="G964" s="434" t="s">
        <v>184</v>
      </c>
      <c r="H964" s="590"/>
      <c r="I964" s="434">
        <v>1</v>
      </c>
      <c r="J964" s="590">
        <v>289.51231999999999</v>
      </c>
      <c r="K964" s="590"/>
      <c r="L964" s="434">
        <v>1</v>
      </c>
      <c r="M964" s="590">
        <v>289.51231999999999</v>
      </c>
      <c r="N964" s="6" t="s">
        <v>1945</v>
      </c>
      <c r="O964" s="435">
        <v>45740</v>
      </c>
      <c r="P964" s="33" t="str">
        <f>HYPERLINK("https://my.zakupivli.pro/remote/dispatcher/state_purchase_view/58282171", "UA-2025-03-24-000961-a")</f>
        <v>UA-2025-03-24-000961-a</v>
      </c>
      <c r="Q964" s="434"/>
      <c r="R964" s="434">
        <v>1</v>
      </c>
      <c r="S964" s="434">
        <v>289.51231999999999</v>
      </c>
      <c r="T964" s="435">
        <v>45737</v>
      </c>
      <c r="U964" s="434"/>
      <c r="V964" s="434" t="s">
        <v>59</v>
      </c>
    </row>
    <row r="965" spans="1:22" ht="62.4" x14ac:dyDescent="0.3">
      <c r="A965" s="434">
        <v>959</v>
      </c>
      <c r="B965" s="434" t="s">
        <v>40</v>
      </c>
      <c r="C965" s="44" t="s">
        <v>884</v>
      </c>
      <c r="D965" s="434"/>
      <c r="E965" s="434" t="s">
        <v>20</v>
      </c>
      <c r="F965" s="44" t="s">
        <v>1989</v>
      </c>
      <c r="G965" s="434" t="s">
        <v>184</v>
      </c>
      <c r="H965" s="590"/>
      <c r="I965" s="434">
        <v>1</v>
      </c>
      <c r="J965" s="590">
        <v>48.222900000000003</v>
      </c>
      <c r="K965" s="590"/>
      <c r="L965" s="434">
        <v>1</v>
      </c>
      <c r="M965" s="590">
        <v>48.222900000000003</v>
      </c>
      <c r="N965" s="6" t="s">
        <v>1946</v>
      </c>
      <c r="O965" s="435">
        <v>45740</v>
      </c>
      <c r="P965" s="438" t="str">
        <f>HYPERLINK("https://my.zakupivli.pro/remote/dispatcher/state_purchase_view/58281188", "UA-2025-03-24-000505-a")</f>
        <v>UA-2025-03-24-000505-a</v>
      </c>
      <c r="Q965" s="434"/>
      <c r="R965" s="434">
        <v>1</v>
      </c>
      <c r="S965" s="434">
        <v>48.222900000000003</v>
      </c>
      <c r="T965" s="435" t="s">
        <v>1947</v>
      </c>
      <c r="U965" s="434"/>
      <c r="V965" s="434" t="s">
        <v>59</v>
      </c>
    </row>
    <row r="966" spans="1:22" ht="43.2" x14ac:dyDescent="0.3">
      <c r="A966" s="434">
        <v>960</v>
      </c>
      <c r="B966" s="434" t="s">
        <v>21</v>
      </c>
      <c r="C966" s="439" t="s">
        <v>1988</v>
      </c>
      <c r="D966" s="434"/>
      <c r="E966" s="434" t="s">
        <v>75</v>
      </c>
      <c r="F966" s="234" t="s">
        <v>1948</v>
      </c>
      <c r="G966" s="434" t="s">
        <v>186</v>
      </c>
      <c r="H966" s="590"/>
      <c r="I966" s="434">
        <v>44</v>
      </c>
      <c r="J966" s="590">
        <v>1580.9042199999999</v>
      </c>
      <c r="K966" s="590"/>
      <c r="L966" s="434">
        <v>44</v>
      </c>
      <c r="M966" s="590">
        <v>1580.9042199999999</v>
      </c>
      <c r="N966" s="6" t="s">
        <v>1949</v>
      </c>
      <c r="O966" s="435">
        <v>45740</v>
      </c>
      <c r="P966" s="97" t="s">
        <v>1950</v>
      </c>
      <c r="Q966" s="464"/>
      <c r="R966" s="464"/>
      <c r="S966" s="464"/>
      <c r="T966" s="465"/>
      <c r="U966" s="434" t="s">
        <v>1793</v>
      </c>
      <c r="V966" s="434"/>
    </row>
    <row r="967" spans="1:22" ht="62.4" x14ac:dyDescent="0.3">
      <c r="A967" s="434">
        <v>961</v>
      </c>
      <c r="B967" s="434" t="s">
        <v>40</v>
      </c>
      <c r="C967" s="44" t="s">
        <v>884</v>
      </c>
      <c r="D967" s="434"/>
      <c r="E967" s="434" t="s">
        <v>20</v>
      </c>
      <c r="F967" s="44" t="s">
        <v>1987</v>
      </c>
      <c r="G967" s="434" t="s">
        <v>184</v>
      </c>
      <c r="H967" s="590">
        <v>401.91501</v>
      </c>
      <c r="I967" s="434">
        <v>1</v>
      </c>
      <c r="J967" s="590">
        <v>401.91501</v>
      </c>
      <c r="K967" s="590">
        <v>401.91501</v>
      </c>
      <c r="L967" s="436">
        <v>1</v>
      </c>
      <c r="M967" s="590">
        <v>401.91501</v>
      </c>
      <c r="N967" s="6" t="s">
        <v>1955</v>
      </c>
      <c r="O967" s="435">
        <v>45747</v>
      </c>
      <c r="P967" s="33" t="str">
        <f>HYPERLINK("https://my.zakupivli.pro/remote/dispatcher/state_purchase_view/58434804", "UA-2025-03-31-003187-a")</f>
        <v>UA-2025-03-31-003187-a</v>
      </c>
      <c r="Q967" s="436">
        <v>401.91501</v>
      </c>
      <c r="R967" s="436">
        <v>1</v>
      </c>
      <c r="S967" s="436">
        <v>401.91501</v>
      </c>
      <c r="T967" s="437">
        <v>45747</v>
      </c>
      <c r="U967" s="434"/>
      <c r="V967" s="436" t="s">
        <v>59</v>
      </c>
    </row>
    <row r="968" spans="1:22" ht="109.2" x14ac:dyDescent="0.3">
      <c r="A968" s="434">
        <v>962</v>
      </c>
      <c r="B968" s="434" t="s">
        <v>40</v>
      </c>
      <c r="C968" s="44" t="s">
        <v>1986</v>
      </c>
      <c r="D968" s="434"/>
      <c r="E968" s="434" t="s">
        <v>20</v>
      </c>
      <c r="F968" s="44" t="s">
        <v>1951</v>
      </c>
      <c r="G968" s="434" t="s">
        <v>184</v>
      </c>
      <c r="H968" s="590">
        <v>748.34308999999996</v>
      </c>
      <c r="I968" s="434">
        <v>1</v>
      </c>
      <c r="J968" s="590">
        <v>748.34308999999996</v>
      </c>
      <c r="K968" s="590">
        <v>748.34308999999996</v>
      </c>
      <c r="L968" s="436">
        <v>1</v>
      </c>
      <c r="M968" s="590">
        <v>748.34308999999996</v>
      </c>
      <c r="N968" s="6" t="s">
        <v>1956</v>
      </c>
      <c r="O968" s="437">
        <v>45743</v>
      </c>
      <c r="P968" s="33" t="str">
        <f>HYPERLINK("https://my.zakupivli.pro/remote/dispatcher/state_purchase_view/58402308", "UA-2025-03-28-000686-a")</f>
        <v>UA-2025-03-28-000686-a</v>
      </c>
      <c r="Q968" s="436">
        <v>748.34308999999996</v>
      </c>
      <c r="R968" s="436">
        <v>1</v>
      </c>
      <c r="S968" s="436">
        <v>748.34308999999996</v>
      </c>
      <c r="T968" s="435">
        <v>45743</v>
      </c>
      <c r="U968" s="434"/>
      <c r="V968" s="436" t="s">
        <v>59</v>
      </c>
    </row>
    <row r="969" spans="1:22" ht="46.8" x14ac:dyDescent="0.3">
      <c r="A969" s="434">
        <v>963</v>
      </c>
      <c r="B969" s="434" t="s">
        <v>21</v>
      </c>
      <c r="C969" s="44" t="s">
        <v>1985</v>
      </c>
      <c r="D969" s="434"/>
      <c r="E969" s="434" t="s">
        <v>75</v>
      </c>
      <c r="F969" s="44" t="s">
        <v>1952</v>
      </c>
      <c r="G969" s="434" t="s">
        <v>185</v>
      </c>
      <c r="H969" s="590"/>
      <c r="I969" s="434">
        <v>56</v>
      </c>
      <c r="J969" s="590">
        <v>627.5</v>
      </c>
      <c r="K969" s="590"/>
      <c r="L969" s="436">
        <v>56</v>
      </c>
      <c r="M969" s="590">
        <v>627.5</v>
      </c>
      <c r="N969" s="6" t="s">
        <v>1957</v>
      </c>
      <c r="O969" s="437">
        <v>45743</v>
      </c>
      <c r="P969" s="33" t="str">
        <f>HYPERLINK("https://my.zakupivli.pro/remote/dispatcher/state_purchase_view/58391456", "UA-2025-03-27-007442-a")</f>
        <v>UA-2025-03-27-007442-a</v>
      </c>
      <c r="Q969" s="464"/>
      <c r="R969" s="464">
        <v>56</v>
      </c>
      <c r="S969" s="117">
        <v>627.20000000000005</v>
      </c>
      <c r="T969" s="465">
        <v>45761</v>
      </c>
      <c r="U969" s="434"/>
      <c r="V969" s="434"/>
    </row>
    <row r="970" spans="1:22" ht="82.8" customHeight="1" x14ac:dyDescent="0.3">
      <c r="A970" s="434">
        <v>964</v>
      </c>
      <c r="B970" s="434" t="s">
        <v>40</v>
      </c>
      <c r="C970" s="44" t="s">
        <v>1984</v>
      </c>
      <c r="D970" s="434"/>
      <c r="E970" s="434" t="s">
        <v>20</v>
      </c>
      <c r="F970" s="44" t="s">
        <v>1953</v>
      </c>
      <c r="G970" s="434" t="s">
        <v>184</v>
      </c>
      <c r="H970" s="590">
        <v>86.047290000000004</v>
      </c>
      <c r="I970" s="434">
        <v>1</v>
      </c>
      <c r="J970" s="590">
        <v>86.047290000000004</v>
      </c>
      <c r="K970" s="590">
        <v>86.047290000000004</v>
      </c>
      <c r="L970" s="436">
        <v>1</v>
      </c>
      <c r="M970" s="590">
        <v>86.047290000000004</v>
      </c>
      <c r="N970" s="6" t="s">
        <v>1958</v>
      </c>
      <c r="O970" s="437">
        <v>45743</v>
      </c>
      <c r="P970" s="33" t="str">
        <f>HYPERLINK("https://my.zakupivli.pro/remote/dispatcher/state_purchase_view/58383433", "UA-2025-03-27-003821-a")</f>
        <v>UA-2025-03-27-003821-a</v>
      </c>
      <c r="Q970" s="436">
        <v>86.047290000000004</v>
      </c>
      <c r="R970" s="436">
        <v>1</v>
      </c>
      <c r="S970" s="436">
        <v>86.047290000000004</v>
      </c>
      <c r="T970" s="437">
        <v>45743</v>
      </c>
      <c r="U970" s="434"/>
      <c r="V970" s="436" t="s">
        <v>59</v>
      </c>
    </row>
    <row r="971" spans="1:22" ht="109.2" x14ac:dyDescent="0.3">
      <c r="A971" s="434">
        <v>965</v>
      </c>
      <c r="B971" s="434" t="s">
        <v>40</v>
      </c>
      <c r="C971" s="44" t="s">
        <v>41</v>
      </c>
      <c r="D971" s="434"/>
      <c r="E971" s="434" t="s">
        <v>88</v>
      </c>
      <c r="F971" s="44" t="s">
        <v>1754</v>
      </c>
      <c r="G971" s="434" t="s">
        <v>184</v>
      </c>
      <c r="H971" s="590">
        <v>4346.2678999999998</v>
      </c>
      <c r="I971" s="434">
        <v>1</v>
      </c>
      <c r="J971" s="590">
        <v>4346.2678999999998</v>
      </c>
      <c r="K971" s="590">
        <v>4346.2678999999998</v>
      </c>
      <c r="L971" s="436">
        <v>1</v>
      </c>
      <c r="M971" s="590">
        <v>4346.2678999999998</v>
      </c>
      <c r="N971" s="6" t="s">
        <v>1959</v>
      </c>
      <c r="O971" s="435">
        <v>45741</v>
      </c>
      <c r="P971" s="33" t="str">
        <f>HYPERLINK("https://my.zakupivli.pro/remote/dispatcher/state_purchase_view/58330065", "UA-2025-03-25-007819-a")</f>
        <v>UA-2025-03-25-007819-a</v>
      </c>
      <c r="Q971" s="464">
        <v>4346.2420000000002</v>
      </c>
      <c r="R971" s="464">
        <v>1</v>
      </c>
      <c r="S971" s="464">
        <v>4346.2420000000002</v>
      </c>
      <c r="T971" s="465">
        <v>45771</v>
      </c>
      <c r="U971" s="434"/>
      <c r="V971" s="436"/>
    </row>
    <row r="972" spans="1:22" ht="301.2" customHeight="1" x14ac:dyDescent="0.3">
      <c r="A972" s="434">
        <v>966</v>
      </c>
      <c r="B972" s="434" t="s">
        <v>40</v>
      </c>
      <c r="C972" s="44" t="s">
        <v>41</v>
      </c>
      <c r="D972" s="434"/>
      <c r="E972" s="434" t="s">
        <v>88</v>
      </c>
      <c r="F972" s="44" t="s">
        <v>1970</v>
      </c>
      <c r="G972" s="434" t="s">
        <v>184</v>
      </c>
      <c r="H972" s="590">
        <v>665.31628000000001</v>
      </c>
      <c r="I972" s="434">
        <v>1</v>
      </c>
      <c r="J972" s="590">
        <v>665.31628000000001</v>
      </c>
      <c r="K972" s="590">
        <v>665.31628000000001</v>
      </c>
      <c r="L972" s="436">
        <v>1</v>
      </c>
      <c r="M972" s="590">
        <v>665.31628000000001</v>
      </c>
      <c r="N972" s="6" t="s">
        <v>1960</v>
      </c>
      <c r="O972" s="437">
        <v>45741</v>
      </c>
      <c r="P972" s="33" t="str">
        <f>HYPERLINK("https://my.zakupivli.pro/remote/dispatcher/state_purchase_view/58319979", "UA-2025-03-25-003266-a")</f>
        <v>UA-2025-03-25-003266-a</v>
      </c>
      <c r="Q972" s="464"/>
      <c r="R972" s="464"/>
      <c r="S972" s="464"/>
      <c r="T972" s="465"/>
      <c r="U972" s="434" t="s">
        <v>1793</v>
      </c>
      <c r="V972" s="436"/>
    </row>
    <row r="973" spans="1:22" ht="144" customHeight="1" x14ac:dyDescent="0.3">
      <c r="A973" s="434">
        <v>967</v>
      </c>
      <c r="B973" s="434" t="s">
        <v>40</v>
      </c>
      <c r="C973" s="44" t="s">
        <v>41</v>
      </c>
      <c r="D973" s="434"/>
      <c r="E973" s="434" t="s">
        <v>88</v>
      </c>
      <c r="F973" s="44" t="s">
        <v>1954</v>
      </c>
      <c r="G973" s="434" t="s">
        <v>184</v>
      </c>
      <c r="H973" s="590">
        <v>850.11284999999998</v>
      </c>
      <c r="I973" s="434">
        <v>1</v>
      </c>
      <c r="J973" s="590">
        <v>850.11284999999998</v>
      </c>
      <c r="K973" s="590">
        <v>850.11284999999998</v>
      </c>
      <c r="L973" s="436">
        <v>1</v>
      </c>
      <c r="M973" s="590">
        <v>850.11284999999998</v>
      </c>
      <c r="N973" s="6" t="s">
        <v>1961</v>
      </c>
      <c r="O973" s="437">
        <v>45741</v>
      </c>
      <c r="P973" s="33" t="str">
        <f>HYPERLINK("https://my.zakupivli.pro/remote/dispatcher/state_purchase_view/58318606", "UA-2025-03-25-002632-a")</f>
        <v>UA-2025-03-25-002632-a</v>
      </c>
      <c r="Q973" s="464"/>
      <c r="R973" s="464"/>
      <c r="S973" s="464"/>
      <c r="T973" s="465"/>
      <c r="U973" s="434" t="s">
        <v>1793</v>
      </c>
      <c r="V973" s="436"/>
    </row>
    <row r="974" spans="1:22" ht="62.4" x14ac:dyDescent="0.3">
      <c r="A974" s="434">
        <v>968</v>
      </c>
      <c r="B974" s="434" t="s">
        <v>40</v>
      </c>
      <c r="C974" s="44" t="s">
        <v>73</v>
      </c>
      <c r="D974" s="434"/>
      <c r="E974" s="434" t="s">
        <v>75</v>
      </c>
      <c r="F974" s="44" t="s">
        <v>1962</v>
      </c>
      <c r="G974" s="434" t="s">
        <v>184</v>
      </c>
      <c r="H974" s="590">
        <v>368.30545999999998</v>
      </c>
      <c r="I974" s="434">
        <v>1</v>
      </c>
      <c r="J974" s="590">
        <v>368.30545999999998</v>
      </c>
      <c r="K974" s="590">
        <v>368.30545999999998</v>
      </c>
      <c r="L974" s="443">
        <v>1</v>
      </c>
      <c r="M974" s="590">
        <v>368.30545999999998</v>
      </c>
      <c r="N974" s="6" t="s">
        <v>1966</v>
      </c>
      <c r="O974" s="435">
        <v>45750</v>
      </c>
      <c r="P974" s="33" t="str">
        <f>HYPERLINK("https://my.zakupivli.pro/remote/dispatcher/state_purchase_view/58524451", "UA-2025-04-03-005470-a")</f>
        <v>UA-2025-04-03-005470-a</v>
      </c>
      <c r="Q974" s="443">
        <v>368.30545999999998</v>
      </c>
      <c r="R974" s="443">
        <v>1</v>
      </c>
      <c r="S974" s="443">
        <v>368.30545999999998</v>
      </c>
      <c r="T974" s="442">
        <v>45750</v>
      </c>
      <c r="U974" s="434"/>
      <c r="V974" s="443" t="s">
        <v>59</v>
      </c>
    </row>
    <row r="975" spans="1:22" ht="62.4" x14ac:dyDescent="0.3">
      <c r="A975" s="434">
        <v>969</v>
      </c>
      <c r="B975" s="434" t="s">
        <v>40</v>
      </c>
      <c r="C975" s="44" t="s">
        <v>73</v>
      </c>
      <c r="D975" s="434"/>
      <c r="E975" s="434" t="s">
        <v>75</v>
      </c>
      <c r="F975" s="44" t="s">
        <v>1963</v>
      </c>
      <c r="G975" s="434" t="s">
        <v>184</v>
      </c>
      <c r="H975" s="590">
        <v>58.57676</v>
      </c>
      <c r="I975" s="434">
        <v>1</v>
      </c>
      <c r="J975" s="590">
        <v>58.57676</v>
      </c>
      <c r="K975" s="590">
        <v>58.57676</v>
      </c>
      <c r="L975" s="443">
        <v>1</v>
      </c>
      <c r="M975" s="590">
        <v>58.57676</v>
      </c>
      <c r="N975" s="6" t="s">
        <v>1967</v>
      </c>
      <c r="O975" s="442">
        <v>45750</v>
      </c>
      <c r="P975" s="33" t="str">
        <f>HYPERLINK("https://my.zakupivli.pro/remote/dispatcher/state_purchase_view/58523820", "UA-2025-04-03-005195-a")</f>
        <v>UA-2025-04-03-005195-a</v>
      </c>
      <c r="Q975" s="443">
        <v>58.57676</v>
      </c>
      <c r="R975" s="443">
        <v>1</v>
      </c>
      <c r="S975" s="443">
        <v>58.57676</v>
      </c>
      <c r="T975" s="442">
        <v>45750</v>
      </c>
      <c r="U975" s="434"/>
      <c r="V975" s="443" t="s">
        <v>59</v>
      </c>
    </row>
    <row r="976" spans="1:22" ht="109.2" x14ac:dyDescent="0.3">
      <c r="A976" s="434">
        <v>970</v>
      </c>
      <c r="B976" s="434" t="s">
        <v>40</v>
      </c>
      <c r="C976" s="44" t="s">
        <v>41</v>
      </c>
      <c r="D976" s="434"/>
      <c r="E976" s="434" t="s">
        <v>20</v>
      </c>
      <c r="F976" s="44" t="s">
        <v>1964</v>
      </c>
      <c r="G976" s="434" t="s">
        <v>184</v>
      </c>
      <c r="H976" s="590">
        <v>681.86911999999995</v>
      </c>
      <c r="I976" s="434">
        <v>1</v>
      </c>
      <c r="J976" s="590">
        <v>681.86911999999995</v>
      </c>
      <c r="K976" s="590">
        <v>681.86911999999995</v>
      </c>
      <c r="L976" s="443">
        <v>1</v>
      </c>
      <c r="M976" s="590">
        <v>681.86911999999995</v>
      </c>
      <c r="N976" s="6" t="s">
        <v>1968</v>
      </c>
      <c r="O976" s="435">
        <v>45749</v>
      </c>
      <c r="P976" s="33" t="str">
        <f>HYPERLINK("https://my.zakupivli.pro/remote/dispatcher/state_purchase_view/58513389", "UA-2025-04-03-000378-a")</f>
        <v>UA-2025-04-03-000378-a</v>
      </c>
      <c r="Q976" s="443">
        <v>681.86911999999995</v>
      </c>
      <c r="R976" s="443">
        <v>1</v>
      </c>
      <c r="S976" s="443">
        <v>681.86911999999995</v>
      </c>
      <c r="T976" s="442">
        <v>45749</v>
      </c>
      <c r="U976" s="434"/>
      <c r="V976" s="443" t="s">
        <v>59</v>
      </c>
    </row>
    <row r="977" spans="1:22" ht="202.8" x14ac:dyDescent="0.3">
      <c r="A977" s="434">
        <v>971</v>
      </c>
      <c r="B977" s="434" t="s">
        <v>40</v>
      </c>
      <c r="C977" s="44" t="s">
        <v>884</v>
      </c>
      <c r="D977" s="434"/>
      <c r="E977" s="434" t="s">
        <v>20</v>
      </c>
      <c r="F977" s="44" t="s">
        <v>1965</v>
      </c>
      <c r="G977" s="434" t="s">
        <v>184</v>
      </c>
      <c r="H977" s="590">
        <v>1775</v>
      </c>
      <c r="I977" s="434">
        <v>1</v>
      </c>
      <c r="J977" s="590">
        <v>1775</v>
      </c>
      <c r="K977" s="590">
        <v>1775</v>
      </c>
      <c r="L977" s="443">
        <v>1</v>
      </c>
      <c r="M977" s="590">
        <v>1775</v>
      </c>
      <c r="N977" s="6" t="s">
        <v>1969</v>
      </c>
      <c r="O977" s="442">
        <v>45748</v>
      </c>
      <c r="P977" s="33" t="str">
        <f>HYPERLINK("https://my.zakupivli.pro/remote/dispatcher/state_purchase_view/58476155", "UA-2025-04-01-011215-a")</f>
        <v>UA-2025-04-01-011215-a</v>
      </c>
      <c r="Q977" s="464">
        <v>1774.8041800000001</v>
      </c>
      <c r="R977" s="464">
        <v>1</v>
      </c>
      <c r="S977" s="464">
        <v>1774.8041800000001</v>
      </c>
      <c r="T977" s="465">
        <v>45771</v>
      </c>
      <c r="U977" s="434"/>
      <c r="V977" s="443"/>
    </row>
    <row r="978" spans="1:22" ht="62.4" x14ac:dyDescent="0.3">
      <c r="A978" s="434">
        <v>972</v>
      </c>
      <c r="B978" s="444" t="s">
        <v>40</v>
      </c>
      <c r="C978" s="44" t="s">
        <v>41</v>
      </c>
      <c r="D978" s="434"/>
      <c r="E978" s="444" t="s">
        <v>20</v>
      </c>
      <c r="F978" s="44" t="s">
        <v>1971</v>
      </c>
      <c r="G978" s="444" t="s">
        <v>184</v>
      </c>
      <c r="H978" s="590">
        <v>540.92614000000003</v>
      </c>
      <c r="I978" s="434">
        <v>1</v>
      </c>
      <c r="J978" s="590">
        <v>540.92614000000003</v>
      </c>
      <c r="K978" s="590">
        <v>540.92614000000003</v>
      </c>
      <c r="L978" s="444">
        <v>1</v>
      </c>
      <c r="M978" s="590">
        <v>540.92614000000003</v>
      </c>
      <c r="N978" s="6" t="s">
        <v>1977</v>
      </c>
      <c r="O978" s="435">
        <v>45754</v>
      </c>
      <c r="P978" s="33" t="str">
        <f>HYPERLINK("https://my.zakupivli.pro/remote/dispatcher/state_purchase_view/58600113", "UA-2025-04-07-011371-a")</f>
        <v>UA-2025-04-07-011371-a</v>
      </c>
      <c r="Q978" s="444">
        <v>540.92614000000003</v>
      </c>
      <c r="R978" s="444">
        <v>1</v>
      </c>
      <c r="S978" s="444">
        <v>540.92614000000003</v>
      </c>
      <c r="T978" s="445">
        <v>45754</v>
      </c>
      <c r="U978" s="434"/>
      <c r="V978" s="444" t="s">
        <v>59</v>
      </c>
    </row>
    <row r="979" spans="1:22" ht="62.4" x14ac:dyDescent="0.3">
      <c r="A979" s="434">
        <v>973</v>
      </c>
      <c r="B979" s="444" t="s">
        <v>40</v>
      </c>
      <c r="C979" s="44" t="s">
        <v>41</v>
      </c>
      <c r="D979" s="434"/>
      <c r="E979" s="444" t="s">
        <v>20</v>
      </c>
      <c r="F979" s="44" t="s">
        <v>1972</v>
      </c>
      <c r="G979" s="444" t="s">
        <v>184</v>
      </c>
      <c r="H979" s="590">
        <v>72216.95</v>
      </c>
      <c r="I979" s="434">
        <v>1</v>
      </c>
      <c r="J979" s="590">
        <v>72216.95</v>
      </c>
      <c r="K979" s="590">
        <v>72216.95</v>
      </c>
      <c r="L979" s="444">
        <v>1</v>
      </c>
      <c r="M979" s="590">
        <v>72216.95</v>
      </c>
      <c r="N979" s="6" t="s">
        <v>1978</v>
      </c>
      <c r="O979" s="445">
        <v>45754</v>
      </c>
      <c r="P979" s="33" t="str">
        <f>HYPERLINK("https://my.zakupivli.pro/remote/dispatcher/state_purchase_view/58599837", "UA-2025-04-07-011210-a")</f>
        <v>UA-2025-04-07-011210-a</v>
      </c>
      <c r="Q979" s="444">
        <v>72216.95</v>
      </c>
      <c r="R979" s="444">
        <v>1</v>
      </c>
      <c r="S979" s="444">
        <v>72216.95</v>
      </c>
      <c r="T979" s="445">
        <v>45754</v>
      </c>
      <c r="U979" s="434"/>
      <c r="V979" s="444" t="s">
        <v>59</v>
      </c>
    </row>
    <row r="980" spans="1:22" ht="93.6" x14ac:dyDescent="0.3">
      <c r="A980" s="434">
        <v>974</v>
      </c>
      <c r="B980" s="444" t="s">
        <v>40</v>
      </c>
      <c r="C980" s="44" t="s">
        <v>41</v>
      </c>
      <c r="D980" s="434"/>
      <c r="E980" s="444" t="s">
        <v>20</v>
      </c>
      <c r="F980" s="44" t="s">
        <v>1973</v>
      </c>
      <c r="G980" s="444" t="s">
        <v>184</v>
      </c>
      <c r="H980" s="590">
        <v>237.53351000000001</v>
      </c>
      <c r="I980" s="434">
        <v>1</v>
      </c>
      <c r="J980" s="590">
        <v>237.53351000000001</v>
      </c>
      <c r="K980" s="590">
        <v>237.53351000000001</v>
      </c>
      <c r="L980" s="444">
        <v>1</v>
      </c>
      <c r="M980" s="590">
        <v>237.53351000000001</v>
      </c>
      <c r="N980" s="6" t="s">
        <v>1979</v>
      </c>
      <c r="O980" s="445">
        <v>45754</v>
      </c>
      <c r="P980" s="33" t="str">
        <f>HYPERLINK("https://my.zakupivli.pro/remote/dispatcher/state_purchase_view/58599401", "UA-2025-04-07-011056-a")</f>
        <v>UA-2025-04-07-011056-a</v>
      </c>
      <c r="Q980" s="444">
        <v>237.53351000000001</v>
      </c>
      <c r="R980" s="444">
        <v>1</v>
      </c>
      <c r="S980" s="444">
        <v>237.53351000000001</v>
      </c>
      <c r="T980" s="445">
        <v>45754</v>
      </c>
      <c r="U980" s="434"/>
      <c r="V980" s="444" t="s">
        <v>59</v>
      </c>
    </row>
    <row r="981" spans="1:22" ht="93.6" x14ac:dyDescent="0.3">
      <c r="A981" s="434">
        <v>975</v>
      </c>
      <c r="B981" s="444" t="s">
        <v>40</v>
      </c>
      <c r="C981" s="44" t="s">
        <v>41</v>
      </c>
      <c r="D981" s="434"/>
      <c r="E981" s="444" t="s">
        <v>20</v>
      </c>
      <c r="F981" s="44" t="s">
        <v>1974</v>
      </c>
      <c r="G981" s="444" t="s">
        <v>184</v>
      </c>
      <c r="H981" s="590">
        <v>263.96899999999999</v>
      </c>
      <c r="I981" s="434">
        <v>1</v>
      </c>
      <c r="J981" s="590">
        <v>263.96899999999999</v>
      </c>
      <c r="K981" s="590">
        <v>263.96899999999999</v>
      </c>
      <c r="L981" s="444">
        <v>1</v>
      </c>
      <c r="M981" s="590">
        <v>263.96899999999999</v>
      </c>
      <c r="N981" s="6" t="s">
        <v>1980</v>
      </c>
      <c r="O981" s="445">
        <v>45754</v>
      </c>
      <c r="P981" s="33" t="str">
        <f>HYPERLINK("https://my.zakupivli.pro/remote/dispatcher/state_purchase_view/58599183", "UA-2025-04-07-010912-a")</f>
        <v>UA-2025-04-07-010912-a</v>
      </c>
      <c r="Q981" s="444">
        <v>263.96899999999999</v>
      </c>
      <c r="R981" s="444">
        <v>1</v>
      </c>
      <c r="S981" s="444">
        <v>263.96899999999999</v>
      </c>
      <c r="T981" s="445">
        <v>45754</v>
      </c>
      <c r="U981" s="434"/>
      <c r="V981" s="444" t="s">
        <v>59</v>
      </c>
    </row>
    <row r="982" spans="1:22" ht="62.4" x14ac:dyDescent="0.3">
      <c r="A982" s="434">
        <v>976</v>
      </c>
      <c r="B982" s="444" t="s">
        <v>40</v>
      </c>
      <c r="C982" s="44" t="s">
        <v>884</v>
      </c>
      <c r="D982" s="434"/>
      <c r="E982" s="444" t="s">
        <v>20</v>
      </c>
      <c r="F982" s="44" t="s">
        <v>1975</v>
      </c>
      <c r="G982" s="444" t="s">
        <v>184</v>
      </c>
      <c r="H982" s="590">
        <v>188.37469999999999</v>
      </c>
      <c r="I982" s="434">
        <v>1</v>
      </c>
      <c r="J982" s="590">
        <v>188.37469999999999</v>
      </c>
      <c r="K982" s="590">
        <v>188.37469999999999</v>
      </c>
      <c r="L982" s="444">
        <v>1</v>
      </c>
      <c r="M982" s="590">
        <v>188.37469999999999</v>
      </c>
      <c r="N982" s="6" t="s">
        <v>1981</v>
      </c>
      <c r="O982" s="445">
        <v>45754</v>
      </c>
      <c r="P982" s="33" t="str">
        <f>HYPERLINK("https://my.zakupivli.pro/remote/dispatcher/state_purchase_view/58589905", "UA-2025-04-07-006839-a")</f>
        <v>UA-2025-04-07-006839-a</v>
      </c>
      <c r="Q982" s="444">
        <v>188.37469999999999</v>
      </c>
      <c r="R982" s="444">
        <v>1</v>
      </c>
      <c r="S982" s="444">
        <v>188.37469999999999</v>
      </c>
      <c r="T982" s="445">
        <v>45754</v>
      </c>
      <c r="U982" s="434"/>
      <c r="V982" s="444" t="s">
        <v>59</v>
      </c>
    </row>
    <row r="983" spans="1:22" ht="78" x14ac:dyDescent="0.3">
      <c r="A983" s="434">
        <v>977</v>
      </c>
      <c r="B983" s="444" t="s">
        <v>40</v>
      </c>
      <c r="C983" s="44" t="s">
        <v>41</v>
      </c>
      <c r="D983" s="434"/>
      <c r="E983" s="444" t="s">
        <v>20</v>
      </c>
      <c r="F983" s="44" t="s">
        <v>1596</v>
      </c>
      <c r="G983" s="444" t="s">
        <v>184</v>
      </c>
      <c r="H983" s="590">
        <v>72.577250000000006</v>
      </c>
      <c r="I983" s="434">
        <v>1</v>
      </c>
      <c r="J983" s="590">
        <v>72.577250000000006</v>
      </c>
      <c r="K983" s="590">
        <v>72.577250000000006</v>
      </c>
      <c r="L983" s="444">
        <v>1</v>
      </c>
      <c r="M983" s="590">
        <v>72.577250000000006</v>
      </c>
      <c r="N983" s="6" t="s">
        <v>1982</v>
      </c>
      <c r="O983" s="445">
        <v>45754</v>
      </c>
      <c r="P983" s="33" t="str">
        <f>HYPERLINK("https://my.zakupivli.pro/remote/dispatcher/state_purchase_view/58589458", "UA-2025-04-07-006636-a")</f>
        <v>UA-2025-04-07-006636-a</v>
      </c>
      <c r="Q983" s="444">
        <v>72.577250000000006</v>
      </c>
      <c r="R983" s="444">
        <v>1</v>
      </c>
      <c r="S983" s="444">
        <v>72.577250000000006</v>
      </c>
      <c r="T983" s="445">
        <v>45754</v>
      </c>
      <c r="U983" s="434"/>
      <c r="V983" s="444" t="s">
        <v>59</v>
      </c>
    </row>
    <row r="984" spans="1:22" ht="109.2" x14ac:dyDescent="0.3">
      <c r="A984" s="434">
        <v>978</v>
      </c>
      <c r="B984" s="444" t="s">
        <v>40</v>
      </c>
      <c r="C984" s="44" t="s">
        <v>41</v>
      </c>
      <c r="D984" s="434"/>
      <c r="E984" s="444" t="s">
        <v>20</v>
      </c>
      <c r="F984" s="44" t="s">
        <v>1976</v>
      </c>
      <c r="G984" s="444" t="s">
        <v>184</v>
      </c>
      <c r="H984" s="590">
        <v>621.60866999999996</v>
      </c>
      <c r="I984" s="434">
        <v>1</v>
      </c>
      <c r="J984" s="590">
        <v>621.60866999999996</v>
      </c>
      <c r="K984" s="590">
        <v>621.60866999999996</v>
      </c>
      <c r="L984" s="444">
        <v>1</v>
      </c>
      <c r="M984" s="590">
        <v>621.60866999999996</v>
      </c>
      <c r="N984" s="6" t="s">
        <v>1983</v>
      </c>
      <c r="O984" s="445">
        <v>45754</v>
      </c>
      <c r="P984" s="33" t="str">
        <f>HYPERLINK("https://my.zakupivli.pro/remote/dispatcher/state_purchase_view/58575307", "UA-2025-04-07-000293-a")</f>
        <v>UA-2025-04-07-000293-a</v>
      </c>
      <c r="Q984" s="444">
        <v>621.60866999999996</v>
      </c>
      <c r="R984" s="444">
        <v>1</v>
      </c>
      <c r="S984" s="444">
        <v>621.60866999999996</v>
      </c>
      <c r="T984" s="445">
        <v>45751</v>
      </c>
      <c r="U984" s="434"/>
      <c r="V984" s="444" t="s">
        <v>59</v>
      </c>
    </row>
    <row r="985" spans="1:22" ht="62.4" x14ac:dyDescent="0.3">
      <c r="A985" s="434">
        <v>979</v>
      </c>
      <c r="B985" s="434" t="s">
        <v>21</v>
      </c>
      <c r="C985" s="44" t="s">
        <v>969</v>
      </c>
      <c r="D985" s="434"/>
      <c r="E985" s="434" t="s">
        <v>75</v>
      </c>
      <c r="F985" s="223" t="s">
        <v>2012</v>
      </c>
      <c r="G985" s="434" t="s">
        <v>185</v>
      </c>
      <c r="H985" s="590">
        <v>78.594999999999999</v>
      </c>
      <c r="I985" s="434">
        <v>25</v>
      </c>
      <c r="J985" s="590">
        <v>78.594999999999999</v>
      </c>
      <c r="K985" s="590">
        <v>78.594999999999999</v>
      </c>
      <c r="L985" s="447">
        <v>25</v>
      </c>
      <c r="M985" s="590">
        <v>78.594999999999999</v>
      </c>
      <c r="N985" s="6" t="s">
        <v>2013</v>
      </c>
      <c r="O985" s="435">
        <v>45755</v>
      </c>
      <c r="P985" s="33" t="str">
        <f>HYPERLINK("https://my.zakupivli.pro/remote/dispatcher/state_purchase_view/58613538", "UA-2025-04-08-003191-a")</f>
        <v>UA-2025-04-08-003191-a</v>
      </c>
      <c r="Q985" s="447">
        <v>78.594999999999999</v>
      </c>
      <c r="R985" s="447">
        <v>25</v>
      </c>
      <c r="S985" s="447">
        <v>78.594999999999999</v>
      </c>
      <c r="T985" s="448">
        <v>45755</v>
      </c>
      <c r="U985" s="434"/>
      <c r="V985" s="447" t="s">
        <v>59</v>
      </c>
    </row>
    <row r="986" spans="1:22" ht="109.2" x14ac:dyDescent="0.3">
      <c r="A986" s="434">
        <v>980</v>
      </c>
      <c r="B986" s="434" t="s">
        <v>40</v>
      </c>
      <c r="C986" s="44" t="s">
        <v>884</v>
      </c>
      <c r="D986" s="434"/>
      <c r="E986" s="434" t="s">
        <v>20</v>
      </c>
      <c r="F986" s="44" t="s">
        <v>2014</v>
      </c>
      <c r="G986" s="434" t="s">
        <v>184</v>
      </c>
      <c r="H986" s="590">
        <v>353.7296</v>
      </c>
      <c r="I986" s="434">
        <v>1</v>
      </c>
      <c r="J986" s="590">
        <v>353.7296</v>
      </c>
      <c r="K986" s="590">
        <v>353.7296</v>
      </c>
      <c r="L986" s="447">
        <v>1</v>
      </c>
      <c r="M986" s="590">
        <v>353.7296</v>
      </c>
      <c r="N986" s="6" t="s">
        <v>2018</v>
      </c>
      <c r="O986" s="435">
        <v>45756</v>
      </c>
      <c r="P986" s="33" t="str">
        <f>HYPERLINK("https://my.zakupivli.pro/remote/dispatcher/state_purchase_view/58657540", "UA-2025-04-09-008129-a")</f>
        <v>UA-2025-04-09-008129-a</v>
      </c>
      <c r="Q986" s="447">
        <v>353.7296</v>
      </c>
      <c r="R986" s="447">
        <v>1</v>
      </c>
      <c r="S986" s="447">
        <v>353.7296</v>
      </c>
      <c r="T986" s="448">
        <v>45755</v>
      </c>
      <c r="U986" s="434"/>
      <c r="V986" s="447" t="s">
        <v>59</v>
      </c>
    </row>
    <row r="987" spans="1:22" ht="124.8" x14ac:dyDescent="0.3">
      <c r="A987" s="434">
        <v>981</v>
      </c>
      <c r="B987" s="434" t="s">
        <v>40</v>
      </c>
      <c r="C987" s="44" t="s">
        <v>884</v>
      </c>
      <c r="D987" s="434"/>
      <c r="E987" s="434" t="s">
        <v>20</v>
      </c>
      <c r="F987" s="44" t="s">
        <v>2015</v>
      </c>
      <c r="G987" s="447" t="s">
        <v>184</v>
      </c>
      <c r="H987" s="590">
        <v>82.641300000000001</v>
      </c>
      <c r="I987" s="434">
        <v>1</v>
      </c>
      <c r="J987" s="590">
        <v>82.641300000000001</v>
      </c>
      <c r="K987" s="590">
        <v>82.641300000000001</v>
      </c>
      <c r="L987" s="447">
        <v>1</v>
      </c>
      <c r="M987" s="590">
        <v>82.641300000000001</v>
      </c>
      <c r="N987" s="6" t="s">
        <v>2019</v>
      </c>
      <c r="O987" s="448">
        <v>45756</v>
      </c>
      <c r="P987" s="33" t="str">
        <f>HYPERLINK("https://my.zakupivli.pro/remote/dispatcher/state_purchase_view/58656841", "UA-2025-04-09-007809-a")</f>
        <v>UA-2025-04-09-007809-a</v>
      </c>
      <c r="Q987" s="447">
        <v>82.641300000000001</v>
      </c>
      <c r="R987" s="447">
        <v>1</v>
      </c>
      <c r="S987" s="447">
        <v>82.641300000000001</v>
      </c>
      <c r="T987" s="448">
        <v>45755</v>
      </c>
      <c r="U987" s="434"/>
      <c r="V987" s="447" t="s">
        <v>59</v>
      </c>
    </row>
    <row r="988" spans="1:22" ht="109.2" x14ac:dyDescent="0.3">
      <c r="A988" s="434">
        <v>982</v>
      </c>
      <c r="B988" s="434" t="s">
        <v>40</v>
      </c>
      <c r="C988" s="44" t="s">
        <v>41</v>
      </c>
      <c r="D988" s="434"/>
      <c r="E988" s="434" t="s">
        <v>20</v>
      </c>
      <c r="F988" s="44" t="s">
        <v>2016</v>
      </c>
      <c r="G988" s="447" t="s">
        <v>184</v>
      </c>
      <c r="H988" s="590">
        <v>293.67608999999999</v>
      </c>
      <c r="I988" s="434">
        <v>1</v>
      </c>
      <c r="J988" s="590">
        <v>293.67608999999999</v>
      </c>
      <c r="K988" s="590">
        <v>293.67608999999999</v>
      </c>
      <c r="L988" s="447">
        <v>1</v>
      </c>
      <c r="M988" s="590">
        <v>293.67608999999999</v>
      </c>
      <c r="N988" s="6" t="s">
        <v>2020</v>
      </c>
      <c r="O988" s="448">
        <v>45756</v>
      </c>
      <c r="P988" s="33" t="str">
        <f>HYPERLINK("https://my.zakupivli.pro/remote/dispatcher/state_purchase_view/58656209", "UA-2025-04-09-007528-a")</f>
        <v>UA-2025-04-09-007528-a</v>
      </c>
      <c r="Q988" s="447">
        <v>293.67608999999999</v>
      </c>
      <c r="R988" s="447">
        <v>1</v>
      </c>
      <c r="S988" s="447">
        <v>293.67608999999999</v>
      </c>
      <c r="T988" s="448">
        <v>45755</v>
      </c>
      <c r="U988" s="434"/>
      <c r="V988" s="447" t="s">
        <v>59</v>
      </c>
    </row>
    <row r="989" spans="1:22" ht="124.8" customHeight="1" x14ac:dyDescent="0.3">
      <c r="A989" s="434">
        <v>983</v>
      </c>
      <c r="B989" s="434" t="s">
        <v>40</v>
      </c>
      <c r="C989" s="44" t="s">
        <v>41</v>
      </c>
      <c r="D989" s="434"/>
      <c r="E989" s="434" t="s">
        <v>20</v>
      </c>
      <c r="F989" s="44" t="s">
        <v>2017</v>
      </c>
      <c r="G989" s="447" t="s">
        <v>184</v>
      </c>
      <c r="H989" s="590">
        <v>99.468768999999995</v>
      </c>
      <c r="I989" s="434">
        <v>1</v>
      </c>
      <c r="J989" s="590">
        <v>99.468768999999995</v>
      </c>
      <c r="K989" s="590">
        <v>99.468768999999995</v>
      </c>
      <c r="L989" s="447">
        <v>1</v>
      </c>
      <c r="M989" s="590">
        <v>99.468768999999995</v>
      </c>
      <c r="N989" s="6" t="s">
        <v>2021</v>
      </c>
      <c r="O989" s="448">
        <v>45756</v>
      </c>
      <c r="P989" s="33" t="str">
        <f>HYPERLINK("https://my.zakupivli.pro/remote/dispatcher/state_purchase_view/58651905", "UA-2025-04-09-005554-a")</f>
        <v>UA-2025-04-09-005554-a</v>
      </c>
      <c r="Q989" s="447">
        <v>99.468768999999995</v>
      </c>
      <c r="R989" s="447">
        <v>1</v>
      </c>
      <c r="S989" s="447">
        <v>99.468768999999995</v>
      </c>
      <c r="T989" s="448">
        <v>45755</v>
      </c>
      <c r="U989" s="434"/>
      <c r="V989" s="447" t="s">
        <v>59</v>
      </c>
    </row>
    <row r="990" spans="1:22" ht="43.2" x14ac:dyDescent="0.3">
      <c r="A990" s="434">
        <v>984</v>
      </c>
      <c r="B990" s="434" t="s">
        <v>21</v>
      </c>
      <c r="C990" s="41" t="s">
        <v>173</v>
      </c>
      <c r="D990" s="434"/>
      <c r="E990" s="434" t="s">
        <v>75</v>
      </c>
      <c r="F990" s="83" t="s">
        <v>2022</v>
      </c>
      <c r="G990" s="434" t="s">
        <v>186</v>
      </c>
      <c r="H990" s="590"/>
      <c r="I990" s="434">
        <v>43</v>
      </c>
      <c r="J990" s="590">
        <v>1654.9045799999999</v>
      </c>
      <c r="K990" s="590"/>
      <c r="L990" s="450">
        <v>43</v>
      </c>
      <c r="M990" s="590">
        <v>1654.9045799999999</v>
      </c>
      <c r="N990" s="6" t="s">
        <v>2023</v>
      </c>
      <c r="O990" s="435">
        <v>45757</v>
      </c>
      <c r="P990" s="33" t="str">
        <f>HYPERLINK("https://my.zakupivli.pro/remote/dispatcher/state_purchase_view/58679096", "UA-2025-04-10-002695-a")</f>
        <v>UA-2025-04-10-002695-a</v>
      </c>
      <c r="Q990" s="446"/>
      <c r="R990" s="446">
        <v>43</v>
      </c>
      <c r="S990" s="446">
        <v>1652.11</v>
      </c>
      <c r="T990" s="441">
        <v>45782</v>
      </c>
      <c r="U990" s="434"/>
      <c r="V990" s="434"/>
    </row>
    <row r="991" spans="1:22" ht="62.4" x14ac:dyDescent="0.3">
      <c r="A991" s="434">
        <v>985</v>
      </c>
      <c r="B991" s="434" t="s">
        <v>21</v>
      </c>
      <c r="C991" s="44" t="s">
        <v>1515</v>
      </c>
      <c r="D991" s="434"/>
      <c r="E991" s="454" t="s">
        <v>75</v>
      </c>
      <c r="F991" s="44" t="s">
        <v>2041</v>
      </c>
      <c r="G991" s="434" t="s">
        <v>185</v>
      </c>
      <c r="H991" s="590"/>
      <c r="I991" s="434">
        <v>11</v>
      </c>
      <c r="J991" s="590">
        <v>55.299190000000003</v>
      </c>
      <c r="K991" s="590"/>
      <c r="L991" s="454">
        <v>11</v>
      </c>
      <c r="M991" s="590">
        <v>55.299190000000003</v>
      </c>
      <c r="N991" s="6" t="s">
        <v>2042</v>
      </c>
      <c r="O991" s="435">
        <v>45761</v>
      </c>
      <c r="P991" s="457" t="str">
        <f>HYPERLINK("https://my.zakupivli.pro/remote/dispatcher/state_purchase_view/58741981", "UA-2025-04-14-002092-a")</f>
        <v>UA-2025-04-14-002092-a</v>
      </c>
      <c r="Q991" s="434"/>
      <c r="R991" s="454">
        <v>11</v>
      </c>
      <c r="S991" s="454">
        <v>55.299190000000003</v>
      </c>
      <c r="T991" s="453">
        <v>45761</v>
      </c>
      <c r="U991" s="434"/>
      <c r="V991" s="454" t="s">
        <v>59</v>
      </c>
    </row>
    <row r="992" spans="1:22" ht="62.4" x14ac:dyDescent="0.3">
      <c r="A992" s="434">
        <v>986</v>
      </c>
      <c r="B992" s="434" t="s">
        <v>21</v>
      </c>
      <c r="C992" s="44" t="s">
        <v>405</v>
      </c>
      <c r="D992" s="434"/>
      <c r="E992" s="434" t="s">
        <v>2045</v>
      </c>
      <c r="F992" s="44" t="s">
        <v>2043</v>
      </c>
      <c r="G992" s="434" t="s">
        <v>185</v>
      </c>
      <c r="H992" s="590"/>
      <c r="I992" s="434">
        <v>670</v>
      </c>
      <c r="J992" s="590">
        <v>1077.7565</v>
      </c>
      <c r="K992" s="590"/>
      <c r="L992" s="455">
        <v>670</v>
      </c>
      <c r="M992" s="590">
        <v>1077.7565</v>
      </c>
      <c r="N992" s="6" t="s">
        <v>2046</v>
      </c>
      <c r="O992" s="435">
        <v>45762</v>
      </c>
      <c r="P992" s="33" t="str">
        <f>HYPERLINK("https://my.zakupivli.pro/remote/dispatcher/state_purchase_view/58797476", "UA-2025-04-15-012874-a")</f>
        <v>UA-2025-04-15-012874-a</v>
      </c>
      <c r="Q992" s="446"/>
      <c r="R992" s="446">
        <v>670</v>
      </c>
      <c r="S992" s="446">
        <v>1077.7565</v>
      </c>
      <c r="T992" s="441">
        <v>45783</v>
      </c>
      <c r="U992" s="434"/>
      <c r="V992" s="434"/>
    </row>
    <row r="993" spans="1:22" ht="140.4" customHeight="1" x14ac:dyDescent="0.3">
      <c r="A993" s="455">
        <v>987</v>
      </c>
      <c r="B993" s="455" t="s">
        <v>40</v>
      </c>
      <c r="C993" s="44" t="s">
        <v>41</v>
      </c>
      <c r="D993" s="455"/>
      <c r="E993" s="455" t="s">
        <v>88</v>
      </c>
      <c r="F993" s="44" t="s">
        <v>2044</v>
      </c>
      <c r="G993" s="455" t="s">
        <v>184</v>
      </c>
      <c r="H993" s="590">
        <v>60008.99267</v>
      </c>
      <c r="I993" s="455">
        <v>1</v>
      </c>
      <c r="J993" s="590">
        <v>60008.99267</v>
      </c>
      <c r="K993" s="590">
        <v>60008.99267</v>
      </c>
      <c r="L993" s="455">
        <v>1</v>
      </c>
      <c r="M993" s="590">
        <v>60008.99267</v>
      </c>
      <c r="N993" s="6" t="s">
        <v>2047</v>
      </c>
      <c r="O993" s="456">
        <v>45762</v>
      </c>
      <c r="P993" s="33" t="str">
        <f>HYPERLINK("https://my.zakupivli.pro/remote/dispatcher/state_purchase_view/58796029", "UA-2025-04-15-012229-a")</f>
        <v>UA-2025-04-15-012229-a</v>
      </c>
      <c r="Q993" s="446">
        <v>60001.892</v>
      </c>
      <c r="R993" s="446">
        <v>1</v>
      </c>
      <c r="S993" s="446">
        <v>60001.892</v>
      </c>
      <c r="T993" s="441">
        <v>45798</v>
      </c>
      <c r="U993" s="455"/>
      <c r="V993" s="455"/>
    </row>
    <row r="994" spans="1:22" ht="62.4" x14ac:dyDescent="0.3">
      <c r="A994" s="455">
        <v>988</v>
      </c>
      <c r="B994" s="455" t="s">
        <v>40</v>
      </c>
      <c r="C994" s="44" t="s">
        <v>541</v>
      </c>
      <c r="D994" s="455"/>
      <c r="E994" s="455" t="s">
        <v>75</v>
      </c>
      <c r="F994" s="44" t="s">
        <v>1861</v>
      </c>
      <c r="G994" s="455" t="s">
        <v>184</v>
      </c>
      <c r="H994" s="590">
        <v>408.31729000000001</v>
      </c>
      <c r="I994" s="455">
        <v>1</v>
      </c>
      <c r="J994" s="590">
        <v>408.31729000000001</v>
      </c>
      <c r="K994" s="590">
        <v>408.31729000000001</v>
      </c>
      <c r="L994" s="455">
        <v>1</v>
      </c>
      <c r="M994" s="590">
        <v>408.31729000000001</v>
      </c>
      <c r="N994" s="6" t="s">
        <v>2048</v>
      </c>
      <c r="O994" s="456">
        <v>45762</v>
      </c>
      <c r="P994" s="33" t="str">
        <f>HYPERLINK("https://my.zakupivli.pro/remote/dispatcher/state_purchase_view/58774811", "UA-2025-04-15-002650-a")</f>
        <v>UA-2025-04-15-002650-a</v>
      </c>
      <c r="Q994" s="455">
        <v>408.31729000000001</v>
      </c>
      <c r="R994" s="455">
        <v>1</v>
      </c>
      <c r="S994" s="455">
        <v>408.31729000000001</v>
      </c>
      <c r="T994" s="456">
        <v>45761</v>
      </c>
      <c r="U994" s="455"/>
      <c r="V994" s="455" t="s">
        <v>59</v>
      </c>
    </row>
    <row r="995" spans="1:22" ht="156" x14ac:dyDescent="0.3">
      <c r="A995" s="455">
        <v>989</v>
      </c>
      <c r="B995" s="455" t="s">
        <v>40</v>
      </c>
      <c r="C995" s="44" t="s">
        <v>884</v>
      </c>
      <c r="D995" s="455"/>
      <c r="E995" s="455" t="s">
        <v>20</v>
      </c>
      <c r="F995" s="44" t="s">
        <v>2049</v>
      </c>
      <c r="G995" s="455" t="s">
        <v>184</v>
      </c>
      <c r="H995" s="590">
        <v>2087.75</v>
      </c>
      <c r="I995" s="455">
        <v>1</v>
      </c>
      <c r="J995" s="590">
        <v>2087.75</v>
      </c>
      <c r="K995" s="590">
        <v>2087.75</v>
      </c>
      <c r="L995" s="458">
        <v>1</v>
      </c>
      <c r="M995" s="590">
        <v>2087.75</v>
      </c>
      <c r="N995" s="6" t="s">
        <v>2050</v>
      </c>
      <c r="O995" s="456">
        <v>45764</v>
      </c>
      <c r="P995" s="33" t="str">
        <f>HYPERLINK("https://my.zakupivli.pro/remote/dispatcher/state_purchase_view/58831849", "UA-2025-04-17-000408-a")</f>
        <v>UA-2025-04-17-000408-a</v>
      </c>
      <c r="Q995" s="446">
        <v>2087.6839300000001</v>
      </c>
      <c r="R995" s="446">
        <v>1</v>
      </c>
      <c r="S995" s="446">
        <v>2087.6839300000001</v>
      </c>
      <c r="T995" s="441">
        <v>45790</v>
      </c>
      <c r="U995" s="455"/>
      <c r="V995" s="455"/>
    </row>
    <row r="996" spans="1:22" ht="62.4" x14ac:dyDescent="0.3">
      <c r="A996" s="455">
        <v>990</v>
      </c>
      <c r="B996" s="455" t="s">
        <v>40</v>
      </c>
      <c r="C996" s="44" t="s">
        <v>41</v>
      </c>
      <c r="D996" s="455"/>
      <c r="E996" s="455" t="s">
        <v>20</v>
      </c>
      <c r="F996" s="44" t="s">
        <v>2051</v>
      </c>
      <c r="G996" s="455" t="s">
        <v>184</v>
      </c>
      <c r="H996" s="590">
        <v>614.77817000000005</v>
      </c>
      <c r="I996" s="455">
        <v>1</v>
      </c>
      <c r="J996" s="590">
        <v>614.77817000000005</v>
      </c>
      <c r="K996" s="590">
        <v>614.77817000000005</v>
      </c>
      <c r="L996" s="458">
        <v>1</v>
      </c>
      <c r="M996" s="590">
        <v>614.77817000000005</v>
      </c>
      <c r="N996" s="6" t="s">
        <v>2052</v>
      </c>
      <c r="O996" s="456">
        <v>45764</v>
      </c>
      <c r="P996" s="33" t="str">
        <f>HYPERLINK("https://my.zakupivli.pro/remote/dispatcher/state_purchase_view/58853384", "UA-2025-04-17-010179-a")</f>
        <v>UA-2025-04-17-010179-a</v>
      </c>
      <c r="Q996" s="458">
        <v>614.77817000000005</v>
      </c>
      <c r="R996" s="458">
        <v>1</v>
      </c>
      <c r="S996" s="458">
        <v>614.77817000000005</v>
      </c>
      <c r="T996" s="459">
        <v>45764</v>
      </c>
      <c r="U996" s="455"/>
      <c r="V996" s="458" t="s">
        <v>59</v>
      </c>
    </row>
    <row r="997" spans="1:22" ht="140.4" x14ac:dyDescent="0.3">
      <c r="A997" s="455">
        <v>991</v>
      </c>
      <c r="B997" s="460" t="s">
        <v>40</v>
      </c>
      <c r="C997" s="44" t="s">
        <v>41</v>
      </c>
      <c r="D997" s="455"/>
      <c r="E997" s="455" t="s">
        <v>88</v>
      </c>
      <c r="F997" s="44" t="s">
        <v>1954</v>
      </c>
      <c r="G997" s="460" t="s">
        <v>184</v>
      </c>
      <c r="H997" s="590">
        <v>850.11284999999998</v>
      </c>
      <c r="I997" s="455">
        <v>1</v>
      </c>
      <c r="J997" s="590">
        <v>850.11284999999998</v>
      </c>
      <c r="K997" s="590">
        <v>850.11284999999998</v>
      </c>
      <c r="L997" s="460">
        <v>1</v>
      </c>
      <c r="M997" s="590">
        <v>850.11284999999998</v>
      </c>
      <c r="N997" s="6" t="s">
        <v>2053</v>
      </c>
      <c r="O997" s="456">
        <v>45765</v>
      </c>
      <c r="P997" s="463" t="str">
        <f>HYPERLINK("https://my.zakupivli.pro/remote/dispatcher/state_purchase_view/58876022", "UA-2025-04-18-008450-a")</f>
        <v>UA-2025-04-18-008450-a</v>
      </c>
      <c r="Q997" s="446"/>
      <c r="R997" s="446"/>
      <c r="S997" s="446"/>
      <c r="T997" s="441"/>
      <c r="U997" s="455" t="s">
        <v>1793</v>
      </c>
      <c r="V997" s="455"/>
    </row>
    <row r="998" spans="1:22" ht="156" x14ac:dyDescent="0.3">
      <c r="A998" s="455">
        <v>992</v>
      </c>
      <c r="B998" s="460" t="s">
        <v>40</v>
      </c>
      <c r="C998" s="44" t="s">
        <v>41</v>
      </c>
      <c r="D998" s="455"/>
      <c r="E998" s="455" t="s">
        <v>88</v>
      </c>
      <c r="F998" s="44" t="s">
        <v>2054</v>
      </c>
      <c r="G998" s="460" t="s">
        <v>184</v>
      </c>
      <c r="H998" s="590">
        <v>665.31628000000001</v>
      </c>
      <c r="I998" s="455">
        <v>1</v>
      </c>
      <c r="J998" s="590">
        <v>665.31628000000001</v>
      </c>
      <c r="K998" s="590">
        <v>665.31628000000001</v>
      </c>
      <c r="L998" s="460">
        <v>1</v>
      </c>
      <c r="M998" s="590">
        <v>665.31628000000001</v>
      </c>
      <c r="N998" s="6" t="s">
        <v>2055</v>
      </c>
      <c r="O998" s="461">
        <v>45765</v>
      </c>
      <c r="P998" s="33" t="str">
        <f>HYPERLINK("https://my.zakupivli.pro/remote/dispatcher/state_purchase_view/58876357", "UA-2025-04-18-008599-a")</f>
        <v>UA-2025-04-18-008599-a</v>
      </c>
      <c r="Q998" s="446"/>
      <c r="R998" s="446"/>
      <c r="S998" s="446"/>
      <c r="T998" s="441"/>
      <c r="U998" s="473" t="s">
        <v>1793</v>
      </c>
      <c r="V998" s="455"/>
    </row>
    <row r="999" spans="1:22" ht="62.4" x14ac:dyDescent="0.3">
      <c r="A999" s="455">
        <v>993</v>
      </c>
      <c r="B999" s="455" t="s">
        <v>40</v>
      </c>
      <c r="C999" s="44" t="s">
        <v>73</v>
      </c>
      <c r="D999" s="455"/>
      <c r="E999" s="462" t="s">
        <v>75</v>
      </c>
      <c r="F999" s="63" t="s">
        <v>2057</v>
      </c>
      <c r="G999" s="467" t="s">
        <v>184</v>
      </c>
      <c r="H999" s="590">
        <v>117.38764999999999</v>
      </c>
      <c r="I999" s="455">
        <v>1</v>
      </c>
      <c r="J999" s="590">
        <v>117.38764999999999</v>
      </c>
      <c r="K999" s="590">
        <v>117.38764999999999</v>
      </c>
      <c r="L999" s="462">
        <v>1</v>
      </c>
      <c r="M999" s="590">
        <v>117.38764999999999</v>
      </c>
      <c r="N999" s="6" t="s">
        <v>2056</v>
      </c>
      <c r="O999" s="456">
        <v>45680</v>
      </c>
      <c r="P999" s="33" t="str">
        <f>HYPERLINK("https://my.zakupivli.pro/remote/dispatcher/state_purchase_view/58923256", "UA-2025-04-23-000184-a")</f>
        <v>UA-2025-04-23-000184-a</v>
      </c>
      <c r="Q999" s="462">
        <v>117.38764999999999</v>
      </c>
      <c r="R999" s="462">
        <v>1</v>
      </c>
      <c r="S999" s="462">
        <v>117.38764999999999</v>
      </c>
      <c r="T999" s="468">
        <v>45680</v>
      </c>
      <c r="U999" s="455"/>
      <c r="V999" s="462" t="s">
        <v>59</v>
      </c>
    </row>
    <row r="1000" spans="1:22" ht="62.4" x14ac:dyDescent="0.3">
      <c r="A1000" s="467">
        <v>994</v>
      </c>
      <c r="B1000" s="467" t="s">
        <v>40</v>
      </c>
      <c r="C1000" s="44" t="s">
        <v>884</v>
      </c>
      <c r="D1000" s="467"/>
      <c r="E1000" s="467" t="s">
        <v>20</v>
      </c>
      <c r="F1000" s="44" t="s">
        <v>2061</v>
      </c>
      <c r="G1000" s="455" t="s">
        <v>184</v>
      </c>
      <c r="H1000" s="590">
        <v>161.79945000000001</v>
      </c>
      <c r="I1000" s="467">
        <v>1</v>
      </c>
      <c r="J1000" s="590">
        <v>161.79945000000001</v>
      </c>
      <c r="K1000" s="590">
        <v>161.79945000000001</v>
      </c>
      <c r="L1000" s="467">
        <v>1</v>
      </c>
      <c r="M1000" s="590">
        <v>161.79945000000001</v>
      </c>
      <c r="N1000" s="6" t="s">
        <v>2063</v>
      </c>
      <c r="O1000" s="466">
        <v>45777</v>
      </c>
      <c r="P1000" s="33" t="str">
        <f>HYPERLINK("https://my.zakupivli.pro/remote/dispatcher/state_purchase_view/59070654", "UA-2025-04-30-002643-a")</f>
        <v>UA-2025-04-30-002643-a</v>
      </c>
      <c r="Q1000" s="467">
        <v>161.79945000000001</v>
      </c>
      <c r="R1000" s="467">
        <v>1</v>
      </c>
      <c r="S1000" s="467">
        <v>161.79945000000001</v>
      </c>
      <c r="T1000" s="468">
        <v>45777</v>
      </c>
      <c r="U1000" s="467"/>
      <c r="V1000" s="467" t="s">
        <v>59</v>
      </c>
    </row>
    <row r="1001" spans="1:22" ht="62.4" x14ac:dyDescent="0.3">
      <c r="A1001" s="467">
        <v>995</v>
      </c>
      <c r="B1001" s="467" t="s">
        <v>40</v>
      </c>
      <c r="C1001" s="44" t="s">
        <v>884</v>
      </c>
      <c r="D1001" s="467"/>
      <c r="E1001" s="467" t="s">
        <v>20</v>
      </c>
      <c r="F1001" s="44" t="s">
        <v>2062</v>
      </c>
      <c r="G1001" s="467" t="s">
        <v>184</v>
      </c>
      <c r="H1001" s="590">
        <v>63.242350000000002</v>
      </c>
      <c r="I1001" s="467">
        <v>1</v>
      </c>
      <c r="J1001" s="590">
        <v>63.242350000000002</v>
      </c>
      <c r="K1001" s="590">
        <v>63.242350000000002</v>
      </c>
      <c r="L1001" s="467">
        <v>1</v>
      </c>
      <c r="M1001" s="590">
        <v>63.242350000000002</v>
      </c>
      <c r="N1001" s="6" t="s">
        <v>2064</v>
      </c>
      <c r="O1001" s="466">
        <v>45777</v>
      </c>
      <c r="P1001" s="33" t="str">
        <f>HYPERLINK("https://my.zakupivli.pro/remote/dispatcher/state_purchase_view/59069777", "UA-2025-04-30-002296-a")</f>
        <v>UA-2025-04-30-002296-a</v>
      </c>
      <c r="Q1001" s="467">
        <v>63.242350000000002</v>
      </c>
      <c r="R1001" s="467">
        <v>1</v>
      </c>
      <c r="S1001" s="467">
        <v>63.242350000000002</v>
      </c>
      <c r="T1001" s="468">
        <v>45777</v>
      </c>
      <c r="U1001" s="467"/>
      <c r="V1001" s="467" t="s">
        <v>59</v>
      </c>
    </row>
    <row r="1002" spans="1:22" ht="62.4" x14ac:dyDescent="0.3">
      <c r="A1002" s="469">
        <v>996</v>
      </c>
      <c r="B1002" s="469" t="s">
        <v>21</v>
      </c>
      <c r="C1002" s="44" t="s">
        <v>1117</v>
      </c>
      <c r="D1002" s="469"/>
      <c r="E1002" s="469" t="s">
        <v>75</v>
      </c>
      <c r="F1002" s="223" t="s">
        <v>2065</v>
      </c>
      <c r="G1002" s="469" t="s">
        <v>185</v>
      </c>
      <c r="H1002" s="590">
        <v>46.489150000000002</v>
      </c>
      <c r="I1002" s="469">
        <v>1</v>
      </c>
      <c r="J1002" s="590">
        <v>46.489150000000002</v>
      </c>
      <c r="K1002" s="590">
        <v>46.489150000000002</v>
      </c>
      <c r="L1002" s="469">
        <v>1</v>
      </c>
      <c r="M1002" s="590">
        <v>46.489150000000002</v>
      </c>
      <c r="N1002" s="6" t="s">
        <v>2066</v>
      </c>
      <c r="O1002" s="470">
        <v>45778</v>
      </c>
      <c r="P1002" s="33" t="str">
        <f>HYPERLINK("https://my.zakupivli.pro/remote/dispatcher/state_purchase_view/59095527", "UA-2025-05-01-001961-a")</f>
        <v>UA-2025-05-01-001961-a</v>
      </c>
      <c r="Q1002" s="469">
        <v>46.489150000000002</v>
      </c>
      <c r="R1002" s="469">
        <v>1</v>
      </c>
      <c r="S1002" s="469">
        <v>46.489150000000002</v>
      </c>
      <c r="T1002" s="470">
        <v>45778</v>
      </c>
      <c r="U1002" s="469"/>
      <c r="V1002" s="469" t="s">
        <v>59</v>
      </c>
    </row>
    <row r="1003" spans="1:22" ht="62.4" x14ac:dyDescent="0.3">
      <c r="A1003" s="469">
        <v>997</v>
      </c>
      <c r="B1003" s="469" t="s">
        <v>40</v>
      </c>
      <c r="C1003" s="41" t="s">
        <v>884</v>
      </c>
      <c r="D1003" s="469"/>
      <c r="E1003" s="469" t="s">
        <v>20</v>
      </c>
      <c r="F1003" s="44" t="s">
        <v>2067</v>
      </c>
      <c r="G1003" s="469" t="s">
        <v>184</v>
      </c>
      <c r="H1003" s="590">
        <v>124.88800999999999</v>
      </c>
      <c r="I1003" s="469">
        <v>1</v>
      </c>
      <c r="J1003" s="590">
        <v>124.88800999999999</v>
      </c>
      <c r="K1003" s="590">
        <v>124.88800999999999</v>
      </c>
      <c r="L1003" s="471">
        <v>1</v>
      </c>
      <c r="M1003" s="590">
        <v>124.88800999999999</v>
      </c>
      <c r="N1003" s="6" t="s">
        <v>2068</v>
      </c>
      <c r="O1003" s="470">
        <v>45779</v>
      </c>
      <c r="P1003" s="33" t="str">
        <f>HYPERLINK("https://my.zakupivli.pro/remote/dispatcher/state_purchase_view/59128871", "UA-2025-05-02-003008-a")</f>
        <v>UA-2025-05-02-003008-a</v>
      </c>
      <c r="Q1003" s="471">
        <v>124.88800999999999</v>
      </c>
      <c r="R1003" s="471">
        <v>1</v>
      </c>
      <c r="S1003" s="471">
        <v>124.88800999999999</v>
      </c>
      <c r="T1003" s="472">
        <v>45779</v>
      </c>
      <c r="U1003" s="469"/>
      <c r="V1003" s="471" t="s">
        <v>59</v>
      </c>
    </row>
    <row r="1004" spans="1:22" ht="62.4" x14ac:dyDescent="0.3">
      <c r="A1004" s="469">
        <v>998</v>
      </c>
      <c r="B1004" s="473" t="s">
        <v>40</v>
      </c>
      <c r="C1004" s="44" t="s">
        <v>73</v>
      </c>
      <c r="D1004" s="469"/>
      <c r="E1004" s="473" t="s">
        <v>75</v>
      </c>
      <c r="F1004" s="44" t="s">
        <v>2088</v>
      </c>
      <c r="G1004" s="473" t="s">
        <v>184</v>
      </c>
      <c r="H1004" s="590">
        <v>127.15831</v>
      </c>
      <c r="I1004" s="469">
        <v>1</v>
      </c>
      <c r="J1004" s="590">
        <v>127.15831</v>
      </c>
      <c r="K1004" s="590">
        <v>127.15831</v>
      </c>
      <c r="L1004" s="473">
        <v>1</v>
      </c>
      <c r="M1004" s="590">
        <v>127.15831</v>
      </c>
      <c r="N1004" s="6" t="s">
        <v>2097</v>
      </c>
      <c r="O1004" s="470">
        <v>45783</v>
      </c>
      <c r="P1004" s="120" t="str">
        <f>HYPERLINK("https://my.zakupivli.pro/remote/dispatcher/state_purchase_view/59214035", "UA-2025-05-06-012412-a")</f>
        <v>UA-2025-05-06-012412-a</v>
      </c>
      <c r="Q1004" s="473">
        <v>127.15831</v>
      </c>
      <c r="R1004" s="473">
        <v>1</v>
      </c>
      <c r="S1004" s="473">
        <v>127.15831</v>
      </c>
      <c r="T1004" s="474">
        <v>45783</v>
      </c>
      <c r="U1004" s="469"/>
      <c r="V1004" s="473" t="s">
        <v>59</v>
      </c>
    </row>
    <row r="1005" spans="1:22" ht="62.4" x14ac:dyDescent="0.3">
      <c r="A1005" s="469">
        <v>999</v>
      </c>
      <c r="B1005" s="473" t="s">
        <v>40</v>
      </c>
      <c r="C1005" s="44" t="s">
        <v>73</v>
      </c>
      <c r="D1005" s="469"/>
      <c r="E1005" s="473" t="s">
        <v>75</v>
      </c>
      <c r="F1005" s="44" t="s">
        <v>2089</v>
      </c>
      <c r="G1005" s="473" t="s">
        <v>184</v>
      </c>
      <c r="H1005" s="590">
        <v>137.45094</v>
      </c>
      <c r="I1005" s="469">
        <v>1</v>
      </c>
      <c r="J1005" s="590">
        <v>137.45094</v>
      </c>
      <c r="K1005" s="590">
        <v>137.45094</v>
      </c>
      <c r="L1005" s="473">
        <v>1</v>
      </c>
      <c r="M1005" s="590">
        <v>137.45094</v>
      </c>
      <c r="N1005" s="6" t="s">
        <v>2098</v>
      </c>
      <c r="O1005" s="474">
        <v>45783</v>
      </c>
      <c r="P1005" s="120" t="str">
        <f>HYPERLINK("https://my.zakupivli.pro/remote/dispatcher/state_purchase_view/59213415", "UA-2025-05-06-012147-a")</f>
        <v>UA-2025-05-06-012147-a</v>
      </c>
      <c r="Q1005" s="473">
        <v>137.45094</v>
      </c>
      <c r="R1005" s="473">
        <v>1</v>
      </c>
      <c r="S1005" s="473">
        <v>137.45094</v>
      </c>
      <c r="T1005" s="474">
        <v>45783</v>
      </c>
      <c r="U1005" s="469"/>
      <c r="V1005" s="473" t="s">
        <v>59</v>
      </c>
    </row>
    <row r="1006" spans="1:22" ht="62.4" x14ac:dyDescent="0.3">
      <c r="A1006" s="469">
        <v>1000</v>
      </c>
      <c r="B1006" s="473" t="s">
        <v>40</v>
      </c>
      <c r="C1006" s="44" t="s">
        <v>73</v>
      </c>
      <c r="D1006" s="469"/>
      <c r="E1006" s="473" t="s">
        <v>75</v>
      </c>
      <c r="F1006" s="44" t="s">
        <v>2090</v>
      </c>
      <c r="G1006" s="473" t="s">
        <v>184</v>
      </c>
      <c r="H1006" s="590">
        <v>150.7722</v>
      </c>
      <c r="I1006" s="469">
        <v>1</v>
      </c>
      <c r="J1006" s="590">
        <v>150.7722</v>
      </c>
      <c r="K1006" s="590">
        <v>150.7722</v>
      </c>
      <c r="L1006" s="473">
        <v>1</v>
      </c>
      <c r="M1006" s="590">
        <v>150.7722</v>
      </c>
      <c r="N1006" s="6" t="s">
        <v>2099</v>
      </c>
      <c r="O1006" s="474">
        <v>45783</v>
      </c>
      <c r="P1006" s="120" t="str">
        <f>HYPERLINK("https://my.zakupivli.pro/remote/dispatcher/state_purchase_view/59211123", "UA-2025-05-06-011060-a")</f>
        <v>UA-2025-05-06-011060-a</v>
      </c>
      <c r="Q1006" s="473">
        <v>150.7722</v>
      </c>
      <c r="R1006" s="473">
        <v>1</v>
      </c>
      <c r="S1006" s="473">
        <v>150.7722</v>
      </c>
      <c r="T1006" s="470">
        <v>45782</v>
      </c>
      <c r="U1006" s="469"/>
      <c r="V1006" s="473" t="s">
        <v>59</v>
      </c>
    </row>
    <row r="1007" spans="1:22" ht="62.4" x14ac:dyDescent="0.3">
      <c r="A1007" s="469">
        <v>1001</v>
      </c>
      <c r="B1007" s="473" t="s">
        <v>40</v>
      </c>
      <c r="C1007" s="44" t="s">
        <v>73</v>
      </c>
      <c r="D1007" s="469"/>
      <c r="E1007" s="473" t="s">
        <v>75</v>
      </c>
      <c r="F1007" s="44" t="s">
        <v>2091</v>
      </c>
      <c r="G1007" s="473" t="s">
        <v>184</v>
      </c>
      <c r="H1007" s="590">
        <v>165.38106999999999</v>
      </c>
      <c r="I1007" s="469">
        <v>1</v>
      </c>
      <c r="J1007" s="590">
        <v>165.38106999999999</v>
      </c>
      <c r="K1007" s="590">
        <v>165.38106999999999</v>
      </c>
      <c r="L1007" s="473">
        <v>1</v>
      </c>
      <c r="M1007" s="590">
        <v>165.38106999999999</v>
      </c>
      <c r="N1007" s="6" t="s">
        <v>2100</v>
      </c>
      <c r="O1007" s="474">
        <v>45783</v>
      </c>
      <c r="P1007" s="120" t="str">
        <f>HYPERLINK("https://my.zakupivli.pro/remote/dispatcher/state_purchase_view/59210268", "UA-2025-05-06-010641-a")</f>
        <v>UA-2025-05-06-010641-a</v>
      </c>
      <c r="Q1007" s="473">
        <v>165.38106999999999</v>
      </c>
      <c r="R1007" s="473">
        <v>1</v>
      </c>
      <c r="S1007" s="473">
        <v>165.38106999999999</v>
      </c>
      <c r="T1007" s="470">
        <v>45783</v>
      </c>
      <c r="U1007" s="469"/>
      <c r="V1007" s="473" t="s">
        <v>59</v>
      </c>
    </row>
    <row r="1008" spans="1:22" ht="62.4" x14ac:dyDescent="0.3">
      <c r="A1008" s="469">
        <v>1002</v>
      </c>
      <c r="B1008" s="473" t="s">
        <v>40</v>
      </c>
      <c r="C1008" s="44" t="s">
        <v>73</v>
      </c>
      <c r="D1008" s="469"/>
      <c r="E1008" s="473" t="s">
        <v>75</v>
      </c>
      <c r="F1008" s="44" t="s">
        <v>2092</v>
      </c>
      <c r="G1008" s="473" t="s">
        <v>184</v>
      </c>
      <c r="H1008" s="590">
        <v>213.58992000000001</v>
      </c>
      <c r="I1008" s="469">
        <v>1</v>
      </c>
      <c r="J1008" s="590">
        <v>213.58992000000001</v>
      </c>
      <c r="K1008" s="590">
        <v>213.58992000000001</v>
      </c>
      <c r="L1008" s="473">
        <v>1</v>
      </c>
      <c r="M1008" s="590">
        <v>213.58992000000001</v>
      </c>
      <c r="N1008" s="6" t="s">
        <v>2101</v>
      </c>
      <c r="O1008" s="474">
        <v>45783</v>
      </c>
      <c r="P1008" s="120" t="str">
        <f>HYPERLINK("https://my.zakupivli.pro/remote/dispatcher/state_purchase_view/59209475", "UA-2025-05-06-010317-a")</f>
        <v>UA-2025-05-06-010317-a</v>
      </c>
      <c r="Q1008" s="473">
        <v>213.58992000000001</v>
      </c>
      <c r="R1008" s="473">
        <v>1</v>
      </c>
      <c r="S1008" s="473">
        <v>213.58992000000001</v>
      </c>
      <c r="T1008" s="474">
        <v>45783</v>
      </c>
      <c r="U1008" s="469"/>
      <c r="V1008" s="473" t="s">
        <v>59</v>
      </c>
    </row>
    <row r="1009" spans="1:22" ht="62.4" x14ac:dyDescent="0.3">
      <c r="A1009" s="469">
        <v>1003</v>
      </c>
      <c r="B1009" s="473" t="s">
        <v>40</v>
      </c>
      <c r="C1009" s="44" t="s">
        <v>73</v>
      </c>
      <c r="D1009" s="469"/>
      <c r="E1009" s="473" t="s">
        <v>75</v>
      </c>
      <c r="F1009" s="44" t="s">
        <v>2093</v>
      </c>
      <c r="G1009" s="473" t="s">
        <v>184</v>
      </c>
      <c r="H1009" s="590">
        <v>128.78271000000001</v>
      </c>
      <c r="I1009" s="469">
        <v>1</v>
      </c>
      <c r="J1009" s="590">
        <v>128.78271000000001</v>
      </c>
      <c r="K1009" s="590">
        <v>128.78271000000001</v>
      </c>
      <c r="L1009" s="473">
        <v>1</v>
      </c>
      <c r="M1009" s="590">
        <v>128.78271000000001</v>
      </c>
      <c r="N1009" s="6" t="s">
        <v>2102</v>
      </c>
      <c r="O1009" s="474">
        <v>45783</v>
      </c>
      <c r="P1009" s="120" t="str">
        <f>HYPERLINK("https://my.zakupivli.pro/remote/dispatcher/state_purchase_view/59208249", "UA-2025-05-06-009792-a")</f>
        <v>UA-2025-05-06-009792-a</v>
      </c>
      <c r="Q1009" s="473">
        <v>128.78271000000001</v>
      </c>
      <c r="R1009" s="473">
        <v>1</v>
      </c>
      <c r="S1009" s="473">
        <v>128.78271000000001</v>
      </c>
      <c r="T1009" s="470">
        <v>45782</v>
      </c>
      <c r="U1009" s="469"/>
      <c r="V1009" s="473" t="s">
        <v>59</v>
      </c>
    </row>
    <row r="1010" spans="1:22" ht="62.4" x14ac:dyDescent="0.3">
      <c r="A1010" s="469">
        <v>1004</v>
      </c>
      <c r="B1010" s="473" t="s">
        <v>40</v>
      </c>
      <c r="C1010" s="44" t="s">
        <v>73</v>
      </c>
      <c r="D1010" s="469"/>
      <c r="E1010" s="473" t="s">
        <v>75</v>
      </c>
      <c r="F1010" s="44" t="s">
        <v>2094</v>
      </c>
      <c r="G1010" s="473" t="s">
        <v>184</v>
      </c>
      <c r="H1010" s="590">
        <v>120.53361</v>
      </c>
      <c r="I1010" s="469">
        <v>1</v>
      </c>
      <c r="J1010" s="590">
        <v>120.53361</v>
      </c>
      <c r="K1010" s="590">
        <v>120.53361</v>
      </c>
      <c r="L1010" s="473">
        <v>1</v>
      </c>
      <c r="M1010" s="590">
        <v>120.53361</v>
      </c>
      <c r="N1010" s="6" t="s">
        <v>2103</v>
      </c>
      <c r="O1010" s="474">
        <v>45783</v>
      </c>
      <c r="P1010" s="120" t="str">
        <f>HYPERLINK("https://my.zakupivli.pro/remote/dispatcher/state_purchase_view/59208246", "UA-2025-05-06-009789-a")</f>
        <v>UA-2025-05-06-009789-a</v>
      </c>
      <c r="Q1010" s="473">
        <v>120.53361</v>
      </c>
      <c r="R1010" s="473">
        <v>1</v>
      </c>
      <c r="S1010" s="473">
        <v>120.53361</v>
      </c>
      <c r="T1010" s="474">
        <v>45782</v>
      </c>
      <c r="U1010" s="469"/>
      <c r="V1010" s="473" t="s">
        <v>59</v>
      </c>
    </row>
    <row r="1011" spans="1:22" ht="62.4" x14ac:dyDescent="0.3">
      <c r="A1011" s="469">
        <v>1005</v>
      </c>
      <c r="B1011" s="473" t="s">
        <v>40</v>
      </c>
      <c r="C1011" s="44" t="s">
        <v>41</v>
      </c>
      <c r="D1011" s="469"/>
      <c r="E1011" s="473" t="s">
        <v>20</v>
      </c>
      <c r="F1011" s="44" t="s">
        <v>2095</v>
      </c>
      <c r="G1011" s="473" t="s">
        <v>184</v>
      </c>
      <c r="H1011" s="590">
        <v>130.94183000000001</v>
      </c>
      <c r="I1011" s="469">
        <v>1</v>
      </c>
      <c r="J1011" s="590">
        <v>130.94183000000001</v>
      </c>
      <c r="K1011" s="590">
        <v>130.94183000000001</v>
      </c>
      <c r="L1011" s="473">
        <v>1</v>
      </c>
      <c r="M1011" s="590">
        <v>130.94183000000001</v>
      </c>
      <c r="N1011" s="6" t="s">
        <v>2104</v>
      </c>
      <c r="O1011" s="474">
        <v>45783</v>
      </c>
      <c r="P1011" s="120" t="str">
        <f>HYPERLINK("https://my.zakupivli.pro/remote/dispatcher/state_purchase_view/59204270", "UA-2025-05-06-008012-a")</f>
        <v>UA-2025-05-06-008012-a</v>
      </c>
      <c r="Q1011" s="473">
        <v>130.94183000000001</v>
      </c>
      <c r="R1011" s="473">
        <v>1</v>
      </c>
      <c r="S1011" s="473">
        <v>130.94183000000001</v>
      </c>
      <c r="T1011" s="474">
        <v>45783</v>
      </c>
      <c r="U1011" s="469"/>
      <c r="V1011" s="473" t="s">
        <v>59</v>
      </c>
    </row>
    <row r="1012" spans="1:22" ht="62.4" x14ac:dyDescent="0.3">
      <c r="A1012" s="473">
        <v>1006</v>
      </c>
      <c r="B1012" s="473" t="s">
        <v>40</v>
      </c>
      <c r="C1012" s="44" t="s">
        <v>884</v>
      </c>
      <c r="D1012" s="473"/>
      <c r="E1012" s="473" t="s">
        <v>20</v>
      </c>
      <c r="F1012" s="44" t="s">
        <v>2096</v>
      </c>
      <c r="G1012" s="473" t="s">
        <v>184</v>
      </c>
      <c r="H1012" s="590">
        <v>203.98324</v>
      </c>
      <c r="I1012" s="473">
        <v>1</v>
      </c>
      <c r="J1012" s="590">
        <v>203.98324</v>
      </c>
      <c r="K1012" s="590">
        <v>203.98324</v>
      </c>
      <c r="L1012" s="473">
        <v>1</v>
      </c>
      <c r="M1012" s="590">
        <v>203.98324</v>
      </c>
      <c r="N1012" s="6" t="s">
        <v>2105</v>
      </c>
      <c r="O1012" s="474">
        <v>45783</v>
      </c>
      <c r="P1012" s="120" t="str">
        <f>HYPERLINK("https://my.zakupivli.pro/remote/dispatcher/state_purchase_view/59203411", "UA-2025-05-06-007587-a")</f>
        <v>UA-2025-05-06-007587-a</v>
      </c>
      <c r="Q1012" s="473">
        <v>203.98324</v>
      </c>
      <c r="R1012" s="473">
        <v>1</v>
      </c>
      <c r="S1012" s="473">
        <v>203.98324</v>
      </c>
      <c r="T1012" s="474">
        <v>45783</v>
      </c>
      <c r="U1012" s="473"/>
      <c r="V1012" s="473" t="s">
        <v>59</v>
      </c>
    </row>
    <row r="1013" spans="1:22" ht="62.4" x14ac:dyDescent="0.3">
      <c r="A1013" s="476">
        <v>1007</v>
      </c>
      <c r="B1013" s="476" t="s">
        <v>40</v>
      </c>
      <c r="C1013" s="44" t="s">
        <v>73</v>
      </c>
      <c r="D1013" s="476"/>
      <c r="E1013" s="476" t="s">
        <v>75</v>
      </c>
      <c r="F1013" s="44" t="s">
        <v>2106</v>
      </c>
      <c r="G1013" s="476" t="s">
        <v>184</v>
      </c>
      <c r="H1013" s="590">
        <v>307.41726</v>
      </c>
      <c r="I1013" s="476">
        <v>1</v>
      </c>
      <c r="J1013" s="590">
        <v>307.41726</v>
      </c>
      <c r="K1013" s="590">
        <v>307.41726</v>
      </c>
      <c r="L1013" s="476">
        <v>1</v>
      </c>
      <c r="M1013" s="590">
        <v>307.41726</v>
      </c>
      <c r="N1013" s="6" t="s">
        <v>2107</v>
      </c>
      <c r="O1013" s="477">
        <v>45784</v>
      </c>
      <c r="P1013" s="33" t="str">
        <f>HYPERLINK("https://my.zakupivli.pro/remote/dispatcher/state_purchase_view/59253985", "UA-2025-05-07-007781-a")</f>
        <v>UA-2025-05-07-007781-a</v>
      </c>
      <c r="Q1013" s="476">
        <v>307.41726</v>
      </c>
      <c r="R1013" s="476">
        <v>1</v>
      </c>
      <c r="S1013" s="476">
        <v>307.41726</v>
      </c>
      <c r="T1013" s="477">
        <v>45784</v>
      </c>
      <c r="U1013" s="476"/>
      <c r="V1013" s="476" t="s">
        <v>59</v>
      </c>
    </row>
    <row r="1014" spans="1:22" ht="62.4" x14ac:dyDescent="0.3">
      <c r="A1014" s="479">
        <v>1008</v>
      </c>
      <c r="B1014" s="479" t="s">
        <v>40</v>
      </c>
      <c r="C1014" s="44" t="s">
        <v>884</v>
      </c>
      <c r="D1014" s="479"/>
      <c r="E1014" s="479" t="s">
        <v>20</v>
      </c>
      <c r="F1014" s="44" t="s">
        <v>2108</v>
      </c>
      <c r="G1014" s="479" t="s">
        <v>184</v>
      </c>
      <c r="H1014" s="590">
        <v>308.91014000000001</v>
      </c>
      <c r="I1014" s="479">
        <v>1</v>
      </c>
      <c r="J1014" s="590">
        <v>308.91014000000001</v>
      </c>
      <c r="K1014" s="590">
        <v>308.91014000000001</v>
      </c>
      <c r="L1014" s="479">
        <v>1</v>
      </c>
      <c r="M1014" s="590">
        <v>308.91014000000001</v>
      </c>
      <c r="N1014" s="6" t="s">
        <v>2112</v>
      </c>
      <c r="O1014" s="478">
        <v>45785</v>
      </c>
      <c r="P1014" s="33" t="str">
        <f>HYPERLINK("https://my.zakupivli.pro/remote/dispatcher/state_purchase_view/59272383", "UA-2025-05-08-001478-a")</f>
        <v>UA-2025-05-08-001478-a</v>
      </c>
      <c r="Q1014" s="479">
        <v>308.91014000000001</v>
      </c>
      <c r="R1014" s="479">
        <v>1</v>
      </c>
      <c r="S1014" s="479">
        <v>308.91014000000001</v>
      </c>
      <c r="T1014" s="478">
        <v>45784</v>
      </c>
      <c r="U1014" s="479"/>
      <c r="V1014" s="479" t="s">
        <v>59</v>
      </c>
    </row>
    <row r="1015" spans="1:22" ht="62.4" x14ac:dyDescent="0.3">
      <c r="A1015" s="479">
        <v>1009</v>
      </c>
      <c r="B1015" s="479" t="s">
        <v>40</v>
      </c>
      <c r="C1015" s="44" t="s">
        <v>41</v>
      </c>
      <c r="D1015" s="479"/>
      <c r="E1015" s="479" t="s">
        <v>20</v>
      </c>
      <c r="F1015" s="44" t="s">
        <v>2109</v>
      </c>
      <c r="G1015" s="479" t="s">
        <v>184</v>
      </c>
      <c r="H1015" s="590">
        <v>87.890124999999998</v>
      </c>
      <c r="I1015" s="479">
        <v>1</v>
      </c>
      <c r="J1015" s="590">
        <v>87.890124999999998</v>
      </c>
      <c r="K1015" s="590">
        <v>87.890124999999998</v>
      </c>
      <c r="L1015" s="479">
        <v>1</v>
      </c>
      <c r="M1015" s="590">
        <v>87.890124999999998</v>
      </c>
      <c r="N1015" s="6" t="s">
        <v>2113</v>
      </c>
      <c r="O1015" s="478">
        <v>45785</v>
      </c>
      <c r="P1015" s="33" t="str">
        <f>HYPERLINK("https://my.zakupivli.pro/remote/dispatcher/state_purchase_view/59272094", "UA-2025-05-08-001289-a")</f>
        <v>UA-2025-05-08-001289-a</v>
      </c>
      <c r="Q1015" s="479">
        <v>87.890124999999998</v>
      </c>
      <c r="R1015" s="479">
        <v>1</v>
      </c>
      <c r="S1015" s="479">
        <v>87.890124999999998</v>
      </c>
      <c r="T1015" s="478">
        <v>45784</v>
      </c>
      <c r="U1015" s="479"/>
      <c r="V1015" s="479" t="s">
        <v>59</v>
      </c>
    </row>
    <row r="1016" spans="1:22" ht="62.4" x14ac:dyDescent="0.3">
      <c r="A1016" s="479">
        <v>1010</v>
      </c>
      <c r="B1016" s="479" t="s">
        <v>40</v>
      </c>
      <c r="C1016" s="44" t="s">
        <v>884</v>
      </c>
      <c r="D1016" s="479"/>
      <c r="E1016" s="479" t="s">
        <v>20</v>
      </c>
      <c r="F1016" s="44" t="s">
        <v>2110</v>
      </c>
      <c r="G1016" s="479" t="s">
        <v>184</v>
      </c>
      <c r="H1016" s="590">
        <v>228.11002999999999</v>
      </c>
      <c r="I1016" s="479">
        <v>1</v>
      </c>
      <c r="J1016" s="590">
        <v>228.11002999999999</v>
      </c>
      <c r="K1016" s="590">
        <v>228.11002999999999</v>
      </c>
      <c r="L1016" s="479">
        <v>1</v>
      </c>
      <c r="M1016" s="590">
        <v>228.11002999999999</v>
      </c>
      <c r="N1016" s="6" t="s">
        <v>2114</v>
      </c>
      <c r="O1016" s="478">
        <v>45785</v>
      </c>
      <c r="P1016" s="33" t="str">
        <f>HYPERLINK("https://my.zakupivli.pro/remote/dispatcher/state_purchase_view/59271749", "UA-2025-05-08-001179-a")</f>
        <v>UA-2025-05-08-001179-a</v>
      </c>
      <c r="Q1016" s="479">
        <v>228.11002999999999</v>
      </c>
      <c r="R1016" s="479">
        <v>1</v>
      </c>
      <c r="S1016" s="479">
        <v>228.11002999999999</v>
      </c>
      <c r="T1016" s="478">
        <v>45784</v>
      </c>
      <c r="U1016" s="479"/>
      <c r="V1016" s="479" t="s">
        <v>59</v>
      </c>
    </row>
    <row r="1017" spans="1:22" ht="62.4" x14ac:dyDescent="0.3">
      <c r="A1017" s="479">
        <v>1011</v>
      </c>
      <c r="B1017" s="479" t="s">
        <v>40</v>
      </c>
      <c r="C1017" s="44" t="s">
        <v>41</v>
      </c>
      <c r="D1017" s="479"/>
      <c r="E1017" s="479" t="s">
        <v>20</v>
      </c>
      <c r="F1017" s="44" t="s">
        <v>2111</v>
      </c>
      <c r="G1017" s="479" t="s">
        <v>184</v>
      </c>
      <c r="H1017" s="590">
        <v>234.77054999999999</v>
      </c>
      <c r="I1017" s="479">
        <v>1</v>
      </c>
      <c r="J1017" s="590">
        <v>234.77054999999999</v>
      </c>
      <c r="K1017" s="590">
        <v>234.77054999999999</v>
      </c>
      <c r="L1017" s="479">
        <v>1</v>
      </c>
      <c r="M1017" s="590">
        <v>234.77054999999999</v>
      </c>
      <c r="N1017" s="6" t="s">
        <v>2115</v>
      </c>
      <c r="O1017" s="478">
        <v>45785</v>
      </c>
      <c r="P1017" s="33" t="str">
        <f>HYPERLINK("https://my.zakupivli.pro/remote/dispatcher/state_purchase_view/59271695", "UA-2025-05-08-001145-a")</f>
        <v>UA-2025-05-08-001145-a</v>
      </c>
      <c r="Q1017" s="479">
        <v>234.77054999999999</v>
      </c>
      <c r="R1017" s="479">
        <v>1</v>
      </c>
      <c r="S1017" s="479">
        <v>234.77054999999999</v>
      </c>
      <c r="T1017" s="478">
        <v>45784</v>
      </c>
      <c r="U1017" s="479"/>
      <c r="V1017" s="479" t="s">
        <v>59</v>
      </c>
    </row>
    <row r="1018" spans="1:22" ht="62.4" x14ac:dyDescent="0.3">
      <c r="A1018" s="479">
        <v>1012</v>
      </c>
      <c r="B1018" s="480" t="s">
        <v>40</v>
      </c>
      <c r="C1018" s="44" t="s">
        <v>1248</v>
      </c>
      <c r="D1018" s="479"/>
      <c r="E1018" s="480" t="s">
        <v>75</v>
      </c>
      <c r="F1018" s="44" t="s">
        <v>2120</v>
      </c>
      <c r="G1018" s="480" t="s">
        <v>184</v>
      </c>
      <c r="H1018" s="590">
        <v>233.70140000000001</v>
      </c>
      <c r="I1018" s="479">
        <v>1</v>
      </c>
      <c r="J1018" s="590">
        <v>233.70140000000001</v>
      </c>
      <c r="K1018" s="590">
        <v>233.70140000000001</v>
      </c>
      <c r="L1018" s="480">
        <v>1</v>
      </c>
      <c r="M1018" s="590">
        <v>233.70140000000001</v>
      </c>
      <c r="N1018" s="6" t="s">
        <v>2121</v>
      </c>
      <c r="O1018" s="478">
        <v>45786</v>
      </c>
      <c r="P1018" s="33" t="str">
        <f>HYPERLINK("https://my.zakupivli.pro/remote/dispatcher/state_purchase_view/59328070", "UA-2025-05-09-011607-a")</f>
        <v>UA-2025-05-09-011607-a</v>
      </c>
      <c r="Q1018" s="480">
        <v>233.70140000000001</v>
      </c>
      <c r="R1018" s="480">
        <v>1</v>
      </c>
      <c r="S1018" s="480">
        <v>233.70140000000001</v>
      </c>
      <c r="T1018" s="478">
        <v>45785</v>
      </c>
      <c r="U1018" s="479"/>
      <c r="V1018" s="480" t="s">
        <v>59</v>
      </c>
    </row>
    <row r="1019" spans="1:22" ht="62.4" x14ac:dyDescent="0.3">
      <c r="A1019" s="479">
        <v>1013</v>
      </c>
      <c r="B1019" s="481" t="s">
        <v>40</v>
      </c>
      <c r="C1019" s="44" t="s">
        <v>884</v>
      </c>
      <c r="D1019" s="479"/>
      <c r="E1019" s="481" t="s">
        <v>20</v>
      </c>
      <c r="F1019" s="44" t="s">
        <v>2122</v>
      </c>
      <c r="G1019" s="479" t="s">
        <v>184</v>
      </c>
      <c r="H1019" s="590">
        <v>74.87321</v>
      </c>
      <c r="I1019" s="479">
        <v>1</v>
      </c>
      <c r="J1019" s="590">
        <v>74.87321</v>
      </c>
      <c r="K1019" s="590">
        <v>74.87321</v>
      </c>
      <c r="L1019" s="481">
        <v>1</v>
      </c>
      <c r="M1019" s="590">
        <v>74.87321</v>
      </c>
      <c r="N1019" s="6" t="s">
        <v>2125</v>
      </c>
      <c r="O1019" s="478">
        <v>45789</v>
      </c>
      <c r="P1019" s="33" t="str">
        <f>HYPERLINK("https://my.zakupivli.pro/remote/dispatcher/state_purchase_view/59361203", "UA-2025-05-12-011976-a")</f>
        <v>UA-2025-05-12-011976-a</v>
      </c>
      <c r="Q1019" s="481">
        <v>74.87321</v>
      </c>
      <c r="R1019" s="481">
        <v>1</v>
      </c>
      <c r="S1019" s="481">
        <v>74.87321</v>
      </c>
      <c r="T1019" s="482">
        <v>45789</v>
      </c>
      <c r="U1019" s="479"/>
      <c r="V1019" s="481" t="s">
        <v>59</v>
      </c>
    </row>
    <row r="1020" spans="1:22" ht="62.4" x14ac:dyDescent="0.3">
      <c r="A1020" s="479">
        <v>1014</v>
      </c>
      <c r="B1020" s="481" t="s">
        <v>40</v>
      </c>
      <c r="C1020" s="44" t="s">
        <v>884</v>
      </c>
      <c r="D1020" s="479"/>
      <c r="E1020" s="481" t="s">
        <v>20</v>
      </c>
      <c r="F1020" s="44" t="s">
        <v>2123</v>
      </c>
      <c r="G1020" s="479" t="s">
        <v>184</v>
      </c>
      <c r="H1020" s="590">
        <v>289.86410999999998</v>
      </c>
      <c r="I1020" s="479">
        <v>1</v>
      </c>
      <c r="J1020" s="590">
        <v>289.86410999999998</v>
      </c>
      <c r="K1020" s="590">
        <v>289.86410999999998</v>
      </c>
      <c r="L1020" s="481">
        <v>1</v>
      </c>
      <c r="M1020" s="590">
        <v>289.86410999999998</v>
      </c>
      <c r="N1020" s="6" t="s">
        <v>2126</v>
      </c>
      <c r="O1020" s="482">
        <v>45789</v>
      </c>
      <c r="P1020" s="33" t="str">
        <f>HYPERLINK("https://my.zakupivli.pro/remote/dispatcher/state_purchase_view/59361064", "UA-2025-05-12-011885-a")</f>
        <v>UA-2025-05-12-011885-a</v>
      </c>
      <c r="Q1020" s="481">
        <v>289.86410999999998</v>
      </c>
      <c r="R1020" s="481">
        <v>1</v>
      </c>
      <c r="S1020" s="481">
        <v>289.86410999999998</v>
      </c>
      <c r="T1020" s="482">
        <v>45789</v>
      </c>
      <c r="U1020" s="479"/>
      <c r="V1020" s="481" t="s">
        <v>59</v>
      </c>
    </row>
    <row r="1021" spans="1:22" ht="62.4" x14ac:dyDescent="0.3">
      <c r="A1021" s="479">
        <v>1015</v>
      </c>
      <c r="B1021" s="481" t="s">
        <v>40</v>
      </c>
      <c r="C1021" s="44" t="s">
        <v>884</v>
      </c>
      <c r="D1021" s="479"/>
      <c r="E1021" s="481" t="s">
        <v>20</v>
      </c>
      <c r="F1021" s="44" t="s">
        <v>2124</v>
      </c>
      <c r="G1021" s="479" t="s">
        <v>184</v>
      </c>
      <c r="H1021" s="590">
        <v>311.78775000000002</v>
      </c>
      <c r="I1021" s="479">
        <v>1</v>
      </c>
      <c r="J1021" s="590">
        <v>311.78775000000002</v>
      </c>
      <c r="K1021" s="590">
        <v>311.78775000000002</v>
      </c>
      <c r="L1021" s="481">
        <v>1</v>
      </c>
      <c r="M1021" s="590">
        <v>311.78775000000002</v>
      </c>
      <c r="N1021" s="6" t="s">
        <v>2127</v>
      </c>
      <c r="O1021" s="482">
        <v>45789</v>
      </c>
      <c r="P1021" s="33" t="str">
        <f>HYPERLINK("https://my.zakupivli.pro/remote/dispatcher/state_purchase_view/59354476", "UA-2025-05-12-008899-a")</f>
        <v>UA-2025-05-12-008899-a</v>
      </c>
      <c r="Q1021" s="481">
        <v>311.78775000000002</v>
      </c>
      <c r="R1021" s="481">
        <v>1</v>
      </c>
      <c r="S1021" s="481">
        <v>311.78775000000002</v>
      </c>
      <c r="T1021" s="482">
        <v>45789</v>
      </c>
      <c r="U1021" s="479"/>
      <c r="V1021" s="481" t="s">
        <v>59</v>
      </c>
    </row>
    <row r="1022" spans="1:22" ht="43.2" x14ac:dyDescent="0.3">
      <c r="A1022" s="479">
        <v>1016</v>
      </c>
      <c r="B1022" s="479" t="s">
        <v>21</v>
      </c>
      <c r="C1022" s="44" t="s">
        <v>1163</v>
      </c>
      <c r="D1022" s="479"/>
      <c r="E1022" s="483" t="s">
        <v>75</v>
      </c>
      <c r="F1022" s="44" t="s">
        <v>2128</v>
      </c>
      <c r="G1022" s="479" t="s">
        <v>185</v>
      </c>
      <c r="H1022" s="590"/>
      <c r="I1022" s="479">
        <v>924</v>
      </c>
      <c r="J1022" s="590">
        <v>135.83332999999999</v>
      </c>
      <c r="K1022" s="590"/>
      <c r="L1022" s="483">
        <v>924</v>
      </c>
      <c r="M1022" s="590">
        <v>135.83332999999999</v>
      </c>
      <c r="N1022" s="6" t="s">
        <v>2130</v>
      </c>
      <c r="O1022" s="478">
        <v>45790</v>
      </c>
      <c r="P1022" s="33" t="str">
        <f>HYPERLINK("https://my.zakupivli.pro/remote/dispatcher/state_purchase_view/59372454", "UA-2025-05-13-002429-a")</f>
        <v>UA-2025-05-13-002429-a</v>
      </c>
      <c r="Q1022" s="446"/>
      <c r="R1022" s="446">
        <v>924</v>
      </c>
      <c r="S1022" s="446">
        <v>131.85480000000001</v>
      </c>
      <c r="T1022" s="441">
        <v>45804</v>
      </c>
      <c r="U1022" s="479"/>
      <c r="V1022" s="479"/>
    </row>
    <row r="1023" spans="1:22" ht="43.2" x14ac:dyDescent="0.3">
      <c r="A1023" s="479">
        <v>1017</v>
      </c>
      <c r="B1023" s="479" t="s">
        <v>21</v>
      </c>
      <c r="C1023" s="44" t="s">
        <v>1163</v>
      </c>
      <c r="D1023" s="479"/>
      <c r="E1023" s="483" t="s">
        <v>75</v>
      </c>
      <c r="F1023" s="44" t="s">
        <v>2129</v>
      </c>
      <c r="G1023" s="479" t="s">
        <v>185</v>
      </c>
      <c r="H1023" s="590"/>
      <c r="I1023" s="479">
        <v>573</v>
      </c>
      <c r="J1023" s="590">
        <v>263.09199999999998</v>
      </c>
      <c r="K1023" s="590"/>
      <c r="L1023" s="483">
        <v>573</v>
      </c>
      <c r="M1023" s="590">
        <v>263.09199999999998</v>
      </c>
      <c r="N1023" s="6" t="s">
        <v>2131</v>
      </c>
      <c r="O1023" s="484">
        <v>45790</v>
      </c>
      <c r="P1023" s="33" t="str">
        <f>HYPERLINK("https://my.zakupivli.pro/remote/dispatcher/state_purchase_view/59372454", "UA-2025-05-13-002429-a")</f>
        <v>UA-2025-05-13-002429-a</v>
      </c>
      <c r="Q1023" s="446"/>
      <c r="R1023" s="446">
        <v>573</v>
      </c>
      <c r="S1023" s="446">
        <v>238.84970000000001</v>
      </c>
      <c r="T1023" s="441">
        <v>45804</v>
      </c>
      <c r="U1023" s="479"/>
      <c r="V1023" s="479"/>
    </row>
    <row r="1024" spans="1:22" ht="78" x14ac:dyDescent="0.3">
      <c r="A1024" s="479">
        <v>1018</v>
      </c>
      <c r="B1024" s="486" t="s">
        <v>40</v>
      </c>
      <c r="C1024" s="44" t="s">
        <v>884</v>
      </c>
      <c r="D1024" s="479"/>
      <c r="E1024" s="486" t="s">
        <v>20</v>
      </c>
      <c r="F1024" s="44" t="s">
        <v>2132</v>
      </c>
      <c r="G1024" s="486" t="s">
        <v>184</v>
      </c>
      <c r="H1024" s="590">
        <v>157.30072999999999</v>
      </c>
      <c r="I1024" s="479">
        <v>1</v>
      </c>
      <c r="J1024" s="590">
        <v>157.30072999999999</v>
      </c>
      <c r="K1024" s="590">
        <v>157.30072999999999</v>
      </c>
      <c r="L1024" s="486">
        <v>1</v>
      </c>
      <c r="M1024" s="590">
        <v>157.30072999999999</v>
      </c>
      <c r="N1024" s="6" t="s">
        <v>2135</v>
      </c>
      <c r="O1024" s="478">
        <v>45793</v>
      </c>
      <c r="P1024" s="33" t="str">
        <f>HYPERLINK("https://my.zakupivli.pro/remote/dispatcher/state_purchase_view/59464900", "UA-2025-05-16-000275-a")</f>
        <v>UA-2025-05-16-000275-a</v>
      </c>
      <c r="Q1024" s="486">
        <v>157.30072999999999</v>
      </c>
      <c r="R1024" s="486">
        <v>1</v>
      </c>
      <c r="S1024" s="486">
        <v>157.30072999999999</v>
      </c>
      <c r="T1024" s="478">
        <v>45792</v>
      </c>
      <c r="U1024" s="479"/>
      <c r="V1024" s="486" t="s">
        <v>59</v>
      </c>
    </row>
    <row r="1025" spans="1:22" ht="62.4" x14ac:dyDescent="0.3">
      <c r="A1025" s="486">
        <v>1019</v>
      </c>
      <c r="B1025" s="486" t="s">
        <v>40</v>
      </c>
      <c r="C1025" s="44" t="s">
        <v>884</v>
      </c>
      <c r="D1025" s="486"/>
      <c r="E1025" s="486" t="s">
        <v>20</v>
      </c>
      <c r="F1025" s="44" t="s">
        <v>2133</v>
      </c>
      <c r="G1025" s="486" t="s">
        <v>184</v>
      </c>
      <c r="H1025" s="590">
        <v>777.36433999999997</v>
      </c>
      <c r="I1025" s="486">
        <v>1</v>
      </c>
      <c r="J1025" s="590">
        <v>777.36433999999997</v>
      </c>
      <c r="K1025" s="590">
        <v>777.36433999999997</v>
      </c>
      <c r="L1025" s="486">
        <v>1</v>
      </c>
      <c r="M1025" s="590">
        <v>777.36433999999997</v>
      </c>
      <c r="N1025" s="6" t="s">
        <v>2136</v>
      </c>
      <c r="O1025" s="485">
        <v>45793</v>
      </c>
      <c r="P1025" s="33" t="str">
        <f>HYPERLINK("https://my.zakupivli.pro/remote/dispatcher/state_purchase_view/59464876", "UA-2025-05-16-000256-a")</f>
        <v>UA-2025-05-16-000256-a</v>
      </c>
      <c r="Q1025" s="486">
        <v>777.36433999999997</v>
      </c>
      <c r="R1025" s="486">
        <v>1</v>
      </c>
      <c r="S1025" s="486">
        <v>777.36433999999997</v>
      </c>
      <c r="T1025" s="485">
        <v>45792</v>
      </c>
      <c r="U1025" s="486"/>
      <c r="V1025" s="486" t="s">
        <v>59</v>
      </c>
    </row>
    <row r="1026" spans="1:22" ht="62.4" x14ac:dyDescent="0.3">
      <c r="A1026" s="486">
        <v>1020</v>
      </c>
      <c r="B1026" s="486" t="s">
        <v>40</v>
      </c>
      <c r="C1026" s="44" t="s">
        <v>41</v>
      </c>
      <c r="D1026" s="486"/>
      <c r="E1026" s="486" t="s">
        <v>20</v>
      </c>
      <c r="F1026" s="44" t="s">
        <v>2134</v>
      </c>
      <c r="G1026" s="486" t="s">
        <v>184</v>
      </c>
      <c r="H1026" s="590">
        <v>402.67865</v>
      </c>
      <c r="I1026" s="486">
        <v>1</v>
      </c>
      <c r="J1026" s="590">
        <v>402.67865</v>
      </c>
      <c r="K1026" s="590">
        <v>402.67865</v>
      </c>
      <c r="L1026" s="486">
        <v>1</v>
      </c>
      <c r="M1026" s="590">
        <v>402.67865</v>
      </c>
      <c r="N1026" s="6" t="s">
        <v>2137</v>
      </c>
      <c r="O1026" s="485">
        <v>45793</v>
      </c>
      <c r="P1026" s="33" t="str">
        <f>HYPERLINK("https://my.zakupivli.pro/remote/dispatcher/state_purchase_view/59464736", "UA-2025-05-16-000205-a")</f>
        <v>UA-2025-05-16-000205-a</v>
      </c>
      <c r="Q1026" s="486">
        <v>402.67865</v>
      </c>
      <c r="R1026" s="486">
        <v>1</v>
      </c>
      <c r="S1026" s="486">
        <v>402.67865</v>
      </c>
      <c r="T1026" s="485">
        <v>45792</v>
      </c>
      <c r="U1026" s="486"/>
      <c r="V1026" s="486" t="s">
        <v>59</v>
      </c>
    </row>
    <row r="1027" spans="1:22" ht="62.4" x14ac:dyDescent="0.3">
      <c r="A1027" s="487">
        <v>1021</v>
      </c>
      <c r="B1027" s="487" t="s">
        <v>40</v>
      </c>
      <c r="C1027" s="44" t="s">
        <v>73</v>
      </c>
      <c r="D1027" s="487"/>
      <c r="E1027" s="487" t="s">
        <v>75</v>
      </c>
      <c r="F1027" s="44" t="s">
        <v>2138</v>
      </c>
      <c r="G1027" s="487" t="s">
        <v>184</v>
      </c>
      <c r="H1027" s="590">
        <v>95.526079999999993</v>
      </c>
      <c r="I1027" s="487">
        <v>1</v>
      </c>
      <c r="J1027" s="590">
        <v>95.526079999999993</v>
      </c>
      <c r="K1027" s="590">
        <v>95.526079999999993</v>
      </c>
      <c r="L1027" s="487">
        <v>1</v>
      </c>
      <c r="M1027" s="590">
        <v>95.526079999999993</v>
      </c>
      <c r="N1027" s="6" t="s">
        <v>2139</v>
      </c>
      <c r="O1027" s="488">
        <v>45796</v>
      </c>
      <c r="P1027" s="33" t="str">
        <f>HYPERLINK("https://my.zakupivli.pro/remote/dispatcher/state_purchase_view/59518976", "UA-2025-05-19-012608-a")</f>
        <v>UA-2025-05-19-012608-a</v>
      </c>
      <c r="Q1027" s="487">
        <v>95.526079999999993</v>
      </c>
      <c r="R1027" s="487">
        <v>1</v>
      </c>
      <c r="S1027" s="487">
        <v>95.526079999999993</v>
      </c>
      <c r="T1027" s="488">
        <v>45796</v>
      </c>
      <c r="U1027" s="487"/>
      <c r="V1027" s="487" t="s">
        <v>59</v>
      </c>
    </row>
    <row r="1028" spans="1:22" ht="46.8" x14ac:dyDescent="0.3">
      <c r="A1028" s="489">
        <v>1022</v>
      </c>
      <c r="B1028" s="489" t="s">
        <v>21</v>
      </c>
      <c r="C1028" s="44" t="s">
        <v>894</v>
      </c>
      <c r="D1028" s="489"/>
      <c r="E1028" s="489" t="s">
        <v>75</v>
      </c>
      <c r="F1028" s="44" t="s">
        <v>2140</v>
      </c>
      <c r="G1028" s="489" t="s">
        <v>185</v>
      </c>
      <c r="H1028" s="590"/>
      <c r="I1028" s="489">
        <v>9</v>
      </c>
      <c r="J1028" s="590">
        <v>148.5</v>
      </c>
      <c r="K1028" s="590"/>
      <c r="L1028" s="489">
        <v>9</v>
      </c>
      <c r="M1028" s="590">
        <v>148.5</v>
      </c>
      <c r="N1028" s="6" t="s">
        <v>2143</v>
      </c>
      <c r="O1028" s="490">
        <v>45797</v>
      </c>
      <c r="P1028" s="33" t="str">
        <f>HYPERLINK("https://my.zakupivli.pro/remote/dispatcher/state_purchase_view/59543384", "UA-2025-05-20-009372-a")</f>
        <v>UA-2025-05-20-009372-a</v>
      </c>
      <c r="Q1028" s="515"/>
      <c r="R1028" s="515">
        <v>9</v>
      </c>
      <c r="S1028" s="117">
        <v>148.5</v>
      </c>
      <c r="T1028" s="516">
        <v>45819</v>
      </c>
      <c r="U1028" s="489"/>
      <c r="V1028" s="489"/>
    </row>
    <row r="1029" spans="1:22" ht="62.4" x14ac:dyDescent="0.3">
      <c r="A1029" s="489">
        <v>1023</v>
      </c>
      <c r="B1029" s="489" t="s">
        <v>40</v>
      </c>
      <c r="C1029" s="44" t="s">
        <v>884</v>
      </c>
      <c r="D1029" s="489"/>
      <c r="E1029" s="489" t="s">
        <v>20</v>
      </c>
      <c r="F1029" s="44" t="s">
        <v>2141</v>
      </c>
      <c r="G1029" s="489" t="s">
        <v>184</v>
      </c>
      <c r="H1029" s="590"/>
      <c r="I1029" s="489">
        <v>1</v>
      </c>
      <c r="J1029" s="590">
        <v>438.27614</v>
      </c>
      <c r="K1029" s="590"/>
      <c r="L1029" s="489">
        <v>1</v>
      </c>
      <c r="M1029" s="590">
        <v>438.27614</v>
      </c>
      <c r="N1029" s="6" t="s">
        <v>2144</v>
      </c>
      <c r="O1029" s="490">
        <v>45797</v>
      </c>
      <c r="P1029" s="33" t="str">
        <f>HYPERLINK("https://my.zakupivli.pro/remote/dispatcher/state_purchase_view/59526001", "UA-2025-05-20-001567-a")</f>
        <v>UA-2025-05-20-001567-a</v>
      </c>
      <c r="Q1029" s="489"/>
      <c r="R1029" s="489">
        <v>1</v>
      </c>
      <c r="S1029" s="489">
        <v>438.27614</v>
      </c>
      <c r="T1029" s="490">
        <v>45796</v>
      </c>
      <c r="U1029" s="489"/>
      <c r="V1029" s="489" t="s">
        <v>59</v>
      </c>
    </row>
    <row r="1030" spans="1:22" ht="62.4" x14ac:dyDescent="0.3">
      <c r="A1030" s="489">
        <v>1024</v>
      </c>
      <c r="B1030" s="489" t="s">
        <v>40</v>
      </c>
      <c r="C1030" s="44" t="s">
        <v>884</v>
      </c>
      <c r="D1030" s="489"/>
      <c r="E1030" s="489" t="s">
        <v>20</v>
      </c>
      <c r="F1030" s="44" t="s">
        <v>2142</v>
      </c>
      <c r="G1030" s="489" t="s">
        <v>184</v>
      </c>
      <c r="H1030" s="590"/>
      <c r="I1030" s="489">
        <v>1</v>
      </c>
      <c r="J1030" s="590">
        <v>301.57130000000001</v>
      </c>
      <c r="K1030" s="590"/>
      <c r="L1030" s="489">
        <v>1</v>
      </c>
      <c r="M1030" s="590">
        <v>301.57130000000001</v>
      </c>
      <c r="N1030" s="6" t="s">
        <v>2145</v>
      </c>
      <c r="O1030" s="490">
        <v>45797</v>
      </c>
      <c r="P1030" s="33" t="str">
        <f>HYPERLINK("https://my.zakupivli.pro/remote/dispatcher/state_purchase_view/59525958", "UA-2025-05-20-001540-a")</f>
        <v>UA-2025-05-20-001540-a</v>
      </c>
      <c r="Q1030" s="489"/>
      <c r="R1030" s="489">
        <v>1</v>
      </c>
      <c r="S1030" s="489">
        <v>301.57130000000001</v>
      </c>
      <c r="T1030" s="490">
        <v>45796</v>
      </c>
      <c r="U1030" s="489"/>
      <c r="V1030" s="489" t="s">
        <v>59</v>
      </c>
    </row>
    <row r="1031" spans="1:22" ht="43.2" x14ac:dyDescent="0.3">
      <c r="A1031" s="489">
        <v>1025</v>
      </c>
      <c r="B1031" s="489" t="s">
        <v>21</v>
      </c>
      <c r="C1031" s="44" t="s">
        <v>175</v>
      </c>
      <c r="D1031" s="489"/>
      <c r="E1031" s="489" t="s">
        <v>75</v>
      </c>
      <c r="F1031" s="44" t="s">
        <v>2146</v>
      </c>
      <c r="G1031" s="489" t="s">
        <v>186</v>
      </c>
      <c r="H1031" s="590"/>
      <c r="I1031" s="489">
        <v>31</v>
      </c>
      <c r="J1031" s="590">
        <v>829.4</v>
      </c>
      <c r="K1031" s="590"/>
      <c r="L1031" s="489">
        <v>31</v>
      </c>
      <c r="M1031" s="590">
        <v>829.4</v>
      </c>
      <c r="N1031" s="6" t="s">
        <v>2147</v>
      </c>
      <c r="O1031" s="490">
        <v>45798</v>
      </c>
      <c r="P1031" s="33" t="str">
        <f>HYPERLINK("https://my.zakupivli.pro/remote/dispatcher/state_purchase_view/59578825", "UA-2025-05-21-010260-a")</f>
        <v>UA-2025-05-21-010260-a</v>
      </c>
      <c r="Q1031" s="446"/>
      <c r="R1031" s="446"/>
      <c r="S1031" s="446"/>
      <c r="T1031" s="441"/>
      <c r="U1031" s="489" t="s">
        <v>1793</v>
      </c>
      <c r="V1031" s="489"/>
    </row>
    <row r="1032" spans="1:22" ht="62.4" x14ac:dyDescent="0.3">
      <c r="A1032" s="489">
        <v>1026</v>
      </c>
      <c r="B1032" s="491" t="s">
        <v>40</v>
      </c>
      <c r="C1032" s="44" t="s">
        <v>884</v>
      </c>
      <c r="D1032" s="489"/>
      <c r="E1032" s="491" t="s">
        <v>20</v>
      </c>
      <c r="F1032" s="44" t="s">
        <v>2148</v>
      </c>
      <c r="G1032" s="491" t="s">
        <v>184</v>
      </c>
      <c r="H1032" s="590">
        <v>241.42393999999999</v>
      </c>
      <c r="I1032" s="489">
        <v>1</v>
      </c>
      <c r="J1032" s="590">
        <v>241.42393999999999</v>
      </c>
      <c r="K1032" s="590">
        <v>241.42393999999999</v>
      </c>
      <c r="L1032" s="491">
        <v>1</v>
      </c>
      <c r="M1032" s="590">
        <v>241.42393999999999</v>
      </c>
      <c r="N1032" s="6" t="s">
        <v>2149</v>
      </c>
      <c r="O1032" s="490">
        <v>45799</v>
      </c>
      <c r="P1032" s="33" t="str">
        <f>HYPERLINK("https://my.zakupivli.pro/remote/dispatcher/state_purchase_view/59596873", "UA-2025-05-22-003797-a")</f>
        <v>UA-2025-05-22-003797-a</v>
      </c>
      <c r="Q1032" s="491">
        <v>241.42393999999999</v>
      </c>
      <c r="R1032" s="491">
        <v>1</v>
      </c>
      <c r="S1032" s="491">
        <v>241.42393999999999</v>
      </c>
      <c r="T1032" s="490">
        <v>45798</v>
      </c>
      <c r="U1032" s="489"/>
      <c r="V1032" s="491" t="s">
        <v>59</v>
      </c>
    </row>
    <row r="1033" spans="1:22" ht="62.4" x14ac:dyDescent="0.3">
      <c r="A1033" s="489">
        <v>1027</v>
      </c>
      <c r="B1033" s="492" t="s">
        <v>40</v>
      </c>
      <c r="C1033" s="44" t="s">
        <v>884</v>
      </c>
      <c r="D1033" s="489"/>
      <c r="E1033" s="492" t="s">
        <v>20</v>
      </c>
      <c r="F1033" s="44" t="s">
        <v>2150</v>
      </c>
      <c r="G1033" s="492" t="s">
        <v>184</v>
      </c>
      <c r="H1033" s="590">
        <v>61.53237</v>
      </c>
      <c r="I1033" s="489">
        <v>1</v>
      </c>
      <c r="J1033" s="590">
        <v>61.53237</v>
      </c>
      <c r="K1033" s="590">
        <v>61.53237</v>
      </c>
      <c r="L1033" s="492">
        <v>1</v>
      </c>
      <c r="M1033" s="590">
        <v>61.53237</v>
      </c>
      <c r="N1033" s="6" t="s">
        <v>2151</v>
      </c>
      <c r="O1033" s="490">
        <v>45800</v>
      </c>
      <c r="P1033" s="33" t="str">
        <f>HYPERLINK("https://my.zakupivli.pro/remote/dispatcher/state_purchase_view/59641745", "UA-2025-05-23-009263-a")</f>
        <v>UA-2025-05-23-009263-a</v>
      </c>
      <c r="Q1033" s="492">
        <v>61.53237</v>
      </c>
      <c r="R1033" s="492">
        <v>1</v>
      </c>
      <c r="S1033" s="492">
        <v>61.53237</v>
      </c>
      <c r="T1033" s="493">
        <v>45800</v>
      </c>
      <c r="U1033" s="489"/>
      <c r="V1033" s="492" t="s">
        <v>59</v>
      </c>
    </row>
    <row r="1034" spans="1:22" ht="62.4" x14ac:dyDescent="0.3">
      <c r="A1034" s="494">
        <v>1028</v>
      </c>
      <c r="B1034" s="494" t="s">
        <v>1150</v>
      </c>
      <c r="C1034" s="44" t="s">
        <v>1400</v>
      </c>
      <c r="D1034" s="494"/>
      <c r="E1034" s="494" t="s">
        <v>75</v>
      </c>
      <c r="F1034" s="223" t="s">
        <v>2152</v>
      </c>
      <c r="G1034" s="494" t="s">
        <v>1149</v>
      </c>
      <c r="H1034" s="590">
        <v>75</v>
      </c>
      <c r="I1034" s="494">
        <v>1</v>
      </c>
      <c r="J1034" s="590">
        <v>75</v>
      </c>
      <c r="K1034" s="590">
        <v>75</v>
      </c>
      <c r="L1034" s="494">
        <v>1</v>
      </c>
      <c r="M1034" s="590">
        <v>75</v>
      </c>
      <c r="N1034" s="6" t="s">
        <v>2153</v>
      </c>
      <c r="O1034" s="495">
        <v>45803</v>
      </c>
      <c r="P1034" s="33" t="str">
        <f>HYPERLINK("https://my.zakupivli.pro/remote/dispatcher/state_purchase_view/59662837", "UA-2025-05-26-004827-a")</f>
        <v>UA-2025-05-26-004827-a</v>
      </c>
      <c r="Q1034" s="117">
        <v>75</v>
      </c>
      <c r="R1034" s="494">
        <v>1</v>
      </c>
      <c r="S1034" s="117">
        <v>75</v>
      </c>
      <c r="T1034" s="495">
        <v>45800</v>
      </c>
      <c r="U1034" s="494"/>
      <c r="V1034" s="494" t="s">
        <v>59</v>
      </c>
    </row>
    <row r="1035" spans="1:22" ht="93.6" x14ac:dyDescent="0.3">
      <c r="A1035" s="497">
        <v>1029</v>
      </c>
      <c r="B1035" s="497" t="s">
        <v>40</v>
      </c>
      <c r="C1035" s="44" t="s">
        <v>41</v>
      </c>
      <c r="D1035" s="497"/>
      <c r="E1035" s="497" t="s">
        <v>20</v>
      </c>
      <c r="F1035" s="44" t="s">
        <v>2154</v>
      </c>
      <c r="G1035" s="497" t="s">
        <v>184</v>
      </c>
      <c r="H1035" s="590">
        <v>740.09612000000004</v>
      </c>
      <c r="I1035" s="497">
        <v>1</v>
      </c>
      <c r="J1035" s="590">
        <v>740.09612000000004</v>
      </c>
      <c r="K1035" s="590">
        <v>740.09612000000004</v>
      </c>
      <c r="L1035" s="497">
        <v>1</v>
      </c>
      <c r="M1035" s="590">
        <v>740.09612000000004</v>
      </c>
      <c r="N1035" s="6" t="s">
        <v>2156</v>
      </c>
      <c r="O1035" s="496">
        <v>45804</v>
      </c>
      <c r="P1035" s="33" t="str">
        <f>HYPERLINK("https://my.zakupivli.pro/remote/dispatcher/state_purchase_view/59692478", "UA-2025-05-27-003751-a")</f>
        <v>UA-2025-05-27-003751-a</v>
      </c>
      <c r="Q1035" s="497">
        <v>740.09612000000004</v>
      </c>
      <c r="R1035" s="497">
        <v>1</v>
      </c>
      <c r="S1035" s="497">
        <v>740.09612000000004</v>
      </c>
      <c r="T1035" s="496">
        <v>45804</v>
      </c>
      <c r="U1035" s="497"/>
      <c r="V1035" s="497" t="s">
        <v>59</v>
      </c>
    </row>
    <row r="1036" spans="1:22" ht="93.6" x14ac:dyDescent="0.3">
      <c r="A1036" s="497">
        <v>1030</v>
      </c>
      <c r="B1036" s="497" t="s">
        <v>40</v>
      </c>
      <c r="C1036" s="44" t="s">
        <v>41</v>
      </c>
      <c r="D1036" s="497"/>
      <c r="E1036" s="497" t="s">
        <v>20</v>
      </c>
      <c r="F1036" s="44" t="s">
        <v>2155</v>
      </c>
      <c r="G1036" s="497" t="s">
        <v>184</v>
      </c>
      <c r="H1036" s="590">
        <v>1038.4562900000001</v>
      </c>
      <c r="I1036" s="497">
        <v>1</v>
      </c>
      <c r="J1036" s="590">
        <v>1038.4562900000001</v>
      </c>
      <c r="K1036" s="590">
        <v>1038.4562900000001</v>
      </c>
      <c r="L1036" s="497">
        <v>1</v>
      </c>
      <c r="M1036" s="590">
        <v>1038.4562900000001</v>
      </c>
      <c r="N1036" s="6" t="s">
        <v>2157</v>
      </c>
      <c r="O1036" s="496">
        <v>45804</v>
      </c>
      <c r="P1036" s="33" t="str">
        <f>HYPERLINK("https://my.zakupivli.pro/remote/dispatcher/state_purchase_view/59688234", "UA-2025-05-27-001919-a")</f>
        <v>UA-2025-05-27-001919-a</v>
      </c>
      <c r="Q1036" s="497">
        <v>1038.4562900000001</v>
      </c>
      <c r="R1036" s="497">
        <v>1</v>
      </c>
      <c r="S1036" s="497">
        <v>1038.4562900000001</v>
      </c>
      <c r="T1036" s="496">
        <v>45804</v>
      </c>
      <c r="U1036" s="497"/>
      <c r="V1036" s="497" t="s">
        <v>59</v>
      </c>
    </row>
    <row r="1037" spans="1:22" ht="62.4" x14ac:dyDescent="0.3">
      <c r="A1037" s="497">
        <v>1031</v>
      </c>
      <c r="B1037" s="497" t="s">
        <v>40</v>
      </c>
      <c r="C1037" s="44" t="s">
        <v>73</v>
      </c>
      <c r="D1037" s="497"/>
      <c r="E1037" s="497" t="s">
        <v>75</v>
      </c>
      <c r="F1037" s="44" t="s">
        <v>2158</v>
      </c>
      <c r="G1037" s="497" t="s">
        <v>184</v>
      </c>
      <c r="H1037" s="590">
        <v>90.812740000000005</v>
      </c>
      <c r="I1037" s="497">
        <v>1</v>
      </c>
      <c r="J1037" s="590">
        <v>90.812740000000005</v>
      </c>
      <c r="K1037" s="590">
        <v>90.812740000000005</v>
      </c>
      <c r="L1037" s="498">
        <v>1</v>
      </c>
      <c r="M1037" s="590">
        <v>90.812740000000005</v>
      </c>
      <c r="N1037" s="6" t="s">
        <v>2159</v>
      </c>
      <c r="O1037" s="499">
        <v>45804</v>
      </c>
      <c r="P1037" s="33" t="str">
        <f>HYPERLINK("https://my.zakupivli.pro/remote/dispatcher/state_purchase_view/59713132", "UA-2025-05-27-012930-a")</f>
        <v>UA-2025-05-27-012930-a</v>
      </c>
      <c r="Q1037" s="498">
        <v>90.812740000000005</v>
      </c>
      <c r="R1037" s="498">
        <v>1</v>
      </c>
      <c r="S1037" s="498">
        <v>90.812740000000005</v>
      </c>
      <c r="T1037" s="496">
        <v>45803</v>
      </c>
      <c r="U1037" s="497"/>
      <c r="V1037" s="498" t="s">
        <v>59</v>
      </c>
    </row>
    <row r="1038" spans="1:22" ht="62.4" x14ac:dyDescent="0.3">
      <c r="A1038" s="500">
        <v>1032</v>
      </c>
      <c r="B1038" s="500" t="s">
        <v>40</v>
      </c>
      <c r="C1038" s="520" t="s">
        <v>73</v>
      </c>
      <c r="D1038" s="497"/>
      <c r="E1038" s="500" t="s">
        <v>75</v>
      </c>
      <c r="F1038" s="497" t="s">
        <v>2200</v>
      </c>
      <c r="G1038" s="500" t="s">
        <v>184</v>
      </c>
      <c r="H1038" s="590">
        <v>46.76914</v>
      </c>
      <c r="I1038" s="500">
        <v>1</v>
      </c>
      <c r="J1038" s="590">
        <v>46.76914</v>
      </c>
      <c r="K1038" s="590">
        <v>46.76914</v>
      </c>
      <c r="L1038" s="500">
        <v>1</v>
      </c>
      <c r="M1038" s="590">
        <v>46.76914</v>
      </c>
      <c r="N1038" s="6" t="s">
        <v>2204</v>
      </c>
      <c r="O1038" s="501">
        <v>45807</v>
      </c>
      <c r="P1038" s="506" t="str">
        <f>HYPERLINK("https://my.zakupivli.pro/remote/dispatcher/state_purchase_view/59790031", "UA-2025-05-30-006154-a")</f>
        <v>UA-2025-05-30-006154-a</v>
      </c>
      <c r="Q1038" s="512">
        <v>46.76914</v>
      </c>
      <c r="R1038" s="497">
        <v>1</v>
      </c>
      <c r="S1038" s="512">
        <v>46.76914</v>
      </c>
      <c r="T1038" s="501">
        <v>45807</v>
      </c>
      <c r="U1038" s="497"/>
      <c r="V1038" s="500" t="s">
        <v>59</v>
      </c>
    </row>
    <row r="1039" spans="1:22" ht="93.6" x14ac:dyDescent="0.3">
      <c r="A1039" s="500">
        <v>1033</v>
      </c>
      <c r="B1039" s="500" t="s">
        <v>40</v>
      </c>
      <c r="C1039" s="520" t="s">
        <v>884</v>
      </c>
      <c r="D1039" s="497"/>
      <c r="E1039" s="500" t="s">
        <v>20</v>
      </c>
      <c r="F1039" s="497" t="s">
        <v>2201</v>
      </c>
      <c r="G1039" s="500" t="s">
        <v>184</v>
      </c>
      <c r="H1039" s="590">
        <v>202.13432</v>
      </c>
      <c r="I1039" s="500">
        <v>1</v>
      </c>
      <c r="J1039" s="590">
        <v>202.13432</v>
      </c>
      <c r="K1039" s="590">
        <v>202.13432</v>
      </c>
      <c r="L1039" s="500">
        <v>1</v>
      </c>
      <c r="M1039" s="590">
        <v>202.13432</v>
      </c>
      <c r="N1039" s="6" t="s">
        <v>2205</v>
      </c>
      <c r="O1039" s="501">
        <v>45807</v>
      </c>
      <c r="P1039" s="506" t="str">
        <f>HYPERLINK("https://my.zakupivli.pro/remote/dispatcher/state_purchase_view/59778258", "UA-2025-05-30-000908-a")</f>
        <v>UA-2025-05-30-000908-a</v>
      </c>
      <c r="Q1039" s="512">
        <v>202.13432</v>
      </c>
      <c r="R1039" s="497">
        <v>1</v>
      </c>
      <c r="S1039" s="512">
        <v>202.13432</v>
      </c>
      <c r="T1039" s="501">
        <v>45806</v>
      </c>
      <c r="U1039" s="497"/>
      <c r="V1039" s="500" t="s">
        <v>59</v>
      </c>
    </row>
    <row r="1040" spans="1:22" ht="93.6" x14ac:dyDescent="0.3">
      <c r="A1040" s="500">
        <v>1034</v>
      </c>
      <c r="B1040" s="500" t="s">
        <v>40</v>
      </c>
      <c r="C1040" s="520" t="s">
        <v>884</v>
      </c>
      <c r="D1040" s="497"/>
      <c r="E1040" s="500" t="s">
        <v>20</v>
      </c>
      <c r="F1040" s="497" t="s">
        <v>2202</v>
      </c>
      <c r="G1040" s="500" t="s">
        <v>184</v>
      </c>
      <c r="H1040" s="590">
        <v>163.13272000000001</v>
      </c>
      <c r="I1040" s="500">
        <v>1</v>
      </c>
      <c r="J1040" s="590">
        <v>163.13272000000001</v>
      </c>
      <c r="K1040" s="590">
        <v>163.13272000000001</v>
      </c>
      <c r="L1040" s="500">
        <v>1</v>
      </c>
      <c r="M1040" s="590">
        <v>163.13272000000001</v>
      </c>
      <c r="N1040" s="6" t="s">
        <v>2206</v>
      </c>
      <c r="O1040" s="501">
        <v>45807</v>
      </c>
      <c r="P1040" s="506" t="str">
        <f>HYPERLINK("https://my.zakupivli.pro/remote/dispatcher/state_purchase_view/59778119", "UA-2025-05-30-000828-a")</f>
        <v>UA-2025-05-30-000828-a</v>
      </c>
      <c r="Q1040" s="512">
        <v>163.13272000000001</v>
      </c>
      <c r="R1040" s="497">
        <v>1</v>
      </c>
      <c r="S1040" s="512">
        <v>163.13272000000001</v>
      </c>
      <c r="T1040" s="501">
        <v>45806</v>
      </c>
      <c r="U1040" s="497"/>
      <c r="V1040" s="500" t="s">
        <v>59</v>
      </c>
    </row>
    <row r="1041" spans="1:22" ht="93.6" x14ac:dyDescent="0.3">
      <c r="A1041" s="500">
        <v>1035</v>
      </c>
      <c r="B1041" s="500" t="s">
        <v>40</v>
      </c>
      <c r="C1041" s="520" t="s">
        <v>884</v>
      </c>
      <c r="D1041" s="497"/>
      <c r="E1041" s="500" t="s">
        <v>20</v>
      </c>
      <c r="F1041" s="497" t="s">
        <v>2203</v>
      </c>
      <c r="G1041" s="500" t="s">
        <v>184</v>
      </c>
      <c r="H1041" s="590">
        <v>408.68150000000003</v>
      </c>
      <c r="I1041" s="500">
        <v>1</v>
      </c>
      <c r="J1041" s="590">
        <v>408.68150000000003</v>
      </c>
      <c r="K1041" s="590">
        <v>408.68150000000003</v>
      </c>
      <c r="L1041" s="500">
        <v>1</v>
      </c>
      <c r="M1041" s="590">
        <v>408.68150000000003</v>
      </c>
      <c r="N1041" s="6" t="s">
        <v>2207</v>
      </c>
      <c r="O1041" s="505">
        <v>45807</v>
      </c>
      <c r="P1041" s="506" t="str">
        <f>HYPERLINK("https://my.zakupivli.pro/remote/dispatcher/state_purchase_view/59777997", "UA-2025-05-30-000803-a")</f>
        <v>UA-2025-05-30-000803-a</v>
      </c>
      <c r="Q1041" s="512">
        <v>408.68150000000003</v>
      </c>
      <c r="R1041" s="497">
        <v>1</v>
      </c>
      <c r="S1041" s="512">
        <v>408.68150000000003</v>
      </c>
      <c r="T1041" s="501">
        <v>45806</v>
      </c>
      <c r="U1041" s="497"/>
      <c r="V1041" s="500" t="s">
        <v>59</v>
      </c>
    </row>
    <row r="1042" spans="1:22" ht="62.4" x14ac:dyDescent="0.3">
      <c r="A1042" s="504">
        <v>1036</v>
      </c>
      <c r="B1042" s="504" t="s">
        <v>40</v>
      </c>
      <c r="C1042" s="520" t="s">
        <v>73</v>
      </c>
      <c r="D1042" s="497"/>
      <c r="E1042" s="504" t="s">
        <v>75</v>
      </c>
      <c r="F1042" s="497" t="s">
        <v>2208</v>
      </c>
      <c r="G1042" s="504" t="s">
        <v>184</v>
      </c>
      <c r="H1042" s="590">
        <v>205.67577</v>
      </c>
      <c r="I1042" s="497">
        <v>1</v>
      </c>
      <c r="J1042" s="590">
        <v>205.67577</v>
      </c>
      <c r="K1042" s="590">
        <v>205.67577</v>
      </c>
      <c r="L1042" s="497">
        <v>1</v>
      </c>
      <c r="M1042" s="590">
        <v>205.67577</v>
      </c>
      <c r="N1042" s="6" t="s">
        <v>2210</v>
      </c>
      <c r="O1042" s="505">
        <v>45811</v>
      </c>
      <c r="P1042" s="506" t="str">
        <f>HYPERLINK("https://my.zakupivli.pro/remote/dispatcher/state_purchase_view/59851810", "UA-2025-06-03-009863-a")</f>
        <v>UA-2025-06-03-009863-a</v>
      </c>
      <c r="Q1042" s="512">
        <v>205.67577</v>
      </c>
      <c r="R1042" s="497">
        <v>1</v>
      </c>
      <c r="S1042" s="512">
        <v>205.67577</v>
      </c>
      <c r="T1042" s="505">
        <v>45811</v>
      </c>
      <c r="U1042" s="497"/>
      <c r="V1042" s="504" t="s">
        <v>59</v>
      </c>
    </row>
    <row r="1043" spans="1:22" ht="78" x14ac:dyDescent="0.3">
      <c r="A1043" s="504">
        <v>1037</v>
      </c>
      <c r="B1043" s="504" t="s">
        <v>40</v>
      </c>
      <c r="C1043" s="520" t="s">
        <v>73</v>
      </c>
      <c r="D1043" s="504"/>
      <c r="E1043" s="504" t="s">
        <v>75</v>
      </c>
      <c r="F1043" s="504" t="s">
        <v>2209</v>
      </c>
      <c r="G1043" s="504" t="s">
        <v>184</v>
      </c>
      <c r="H1043" s="590">
        <v>308.75711000000001</v>
      </c>
      <c r="I1043" s="504">
        <v>1</v>
      </c>
      <c r="J1043" s="590">
        <v>308.75711000000001</v>
      </c>
      <c r="K1043" s="590">
        <v>308.75711000000001</v>
      </c>
      <c r="L1043" s="504">
        <v>1</v>
      </c>
      <c r="M1043" s="590">
        <v>308.75711000000001</v>
      </c>
      <c r="N1043" s="6" t="s">
        <v>2211</v>
      </c>
      <c r="O1043" s="505">
        <v>45811</v>
      </c>
      <c r="P1043" s="506" t="str">
        <f>HYPERLINK("https://my.zakupivli.pro/remote/dispatcher/state_purchase_view/59851081", "UA-2025-06-03-009568-a")</f>
        <v>UA-2025-06-03-009568-a</v>
      </c>
      <c r="Q1043" s="512">
        <v>308.75711000000001</v>
      </c>
      <c r="R1043" s="504">
        <v>1</v>
      </c>
      <c r="S1043" s="512">
        <v>308.75711000000001</v>
      </c>
      <c r="T1043" s="505">
        <v>45811</v>
      </c>
      <c r="U1043" s="504"/>
      <c r="V1043" s="504" t="s">
        <v>59</v>
      </c>
    </row>
    <row r="1044" spans="1:22" ht="62.4" x14ac:dyDescent="0.3">
      <c r="A1044" s="508">
        <v>1038</v>
      </c>
      <c r="B1044" s="508" t="s">
        <v>21</v>
      </c>
      <c r="C1044" s="520" t="s">
        <v>760</v>
      </c>
      <c r="D1044" s="504"/>
      <c r="E1044" s="508" t="s">
        <v>20</v>
      </c>
      <c r="F1044" s="504" t="s">
        <v>2212</v>
      </c>
      <c r="G1044" s="504" t="s">
        <v>186</v>
      </c>
      <c r="H1044" s="590"/>
      <c r="I1044" s="504">
        <v>9</v>
      </c>
      <c r="J1044" s="590">
        <v>83.123999999999995</v>
      </c>
      <c r="K1044" s="590"/>
      <c r="L1044" s="504">
        <v>9</v>
      </c>
      <c r="M1044" s="590">
        <v>83.123999999999995</v>
      </c>
      <c r="N1044" s="6" t="s">
        <v>2213</v>
      </c>
      <c r="O1044" s="507">
        <v>45812</v>
      </c>
      <c r="P1044" s="511" t="str">
        <f>HYPERLINK("https://my.zakupivli.pro/remote/dispatcher/state_purchase_view/59869236", "UA-2025-06-04-003192-a")</f>
        <v>UA-2025-06-04-003192-a</v>
      </c>
      <c r="Q1044" s="512"/>
      <c r="R1044" s="504">
        <v>9</v>
      </c>
      <c r="S1044" s="512">
        <v>83.123999999999995</v>
      </c>
      <c r="T1044" s="507">
        <v>45812</v>
      </c>
      <c r="U1044" s="504"/>
      <c r="V1044" s="508" t="s">
        <v>59</v>
      </c>
    </row>
    <row r="1045" spans="1:22" ht="62.4" x14ac:dyDescent="0.3">
      <c r="A1045" s="508">
        <v>1039</v>
      </c>
      <c r="B1045" s="508" t="s">
        <v>40</v>
      </c>
      <c r="C1045" s="520" t="s">
        <v>73</v>
      </c>
      <c r="D1045" s="504"/>
      <c r="E1045" s="508" t="s">
        <v>75</v>
      </c>
      <c r="F1045" s="504" t="s">
        <v>2214</v>
      </c>
      <c r="G1045" s="508" t="s">
        <v>184</v>
      </c>
      <c r="H1045" s="590">
        <v>166.80641</v>
      </c>
      <c r="I1045" s="504">
        <v>1</v>
      </c>
      <c r="J1045" s="590">
        <v>166.80641</v>
      </c>
      <c r="K1045" s="590">
        <v>166.80641</v>
      </c>
      <c r="L1045" s="504">
        <v>1</v>
      </c>
      <c r="M1045" s="590">
        <v>166.80641</v>
      </c>
      <c r="N1045" s="6" t="s">
        <v>2215</v>
      </c>
      <c r="O1045" s="510">
        <v>45812</v>
      </c>
      <c r="P1045" s="506" t="str">
        <f>HYPERLINK("https://my.zakupivli.pro/remote/dispatcher/state_purchase_view/59864438", "UA-2025-06-04-001086-a")</f>
        <v>UA-2025-06-04-001086-a</v>
      </c>
      <c r="Q1045" s="512">
        <v>166.80641</v>
      </c>
      <c r="R1045" s="504">
        <v>1</v>
      </c>
      <c r="S1045" s="512">
        <v>166.80641</v>
      </c>
      <c r="T1045" s="507">
        <v>45811</v>
      </c>
      <c r="U1045" s="504"/>
      <c r="V1045" s="508" t="s">
        <v>59</v>
      </c>
    </row>
    <row r="1046" spans="1:22" ht="93.6" x14ac:dyDescent="0.3">
      <c r="A1046" s="509">
        <v>1040</v>
      </c>
      <c r="B1046" s="509" t="s">
        <v>40</v>
      </c>
      <c r="C1046" s="520" t="s">
        <v>41</v>
      </c>
      <c r="D1046" s="504"/>
      <c r="E1046" s="509" t="s">
        <v>20</v>
      </c>
      <c r="F1046" s="504" t="s">
        <v>2216</v>
      </c>
      <c r="G1046" s="509" t="s">
        <v>184</v>
      </c>
      <c r="H1046" s="590">
        <v>746.45659999999998</v>
      </c>
      <c r="I1046" s="509">
        <v>1</v>
      </c>
      <c r="J1046" s="590">
        <v>746.45659999999998</v>
      </c>
      <c r="K1046" s="590">
        <v>746.45659999999998</v>
      </c>
      <c r="L1046" s="509">
        <v>1</v>
      </c>
      <c r="M1046" s="590">
        <v>746.45659999999998</v>
      </c>
      <c r="N1046" s="6" t="s">
        <v>2220</v>
      </c>
      <c r="O1046" s="510">
        <v>45813</v>
      </c>
      <c r="P1046" s="506" t="str">
        <f>HYPERLINK("https://my.zakupivli.pro/remote/dispatcher/state_purchase_view/59904811", "UA-2025-06-05-004619-a")</f>
        <v>UA-2025-06-05-004619-a</v>
      </c>
      <c r="Q1046" s="512">
        <v>746.45659999999998</v>
      </c>
      <c r="R1046" s="509">
        <v>1</v>
      </c>
      <c r="S1046" s="512">
        <v>746.45659999999998</v>
      </c>
      <c r="T1046" s="510">
        <v>45813</v>
      </c>
      <c r="U1046" s="504"/>
      <c r="V1046" s="509" t="s">
        <v>59</v>
      </c>
    </row>
    <row r="1047" spans="1:22" ht="62.4" x14ac:dyDescent="0.3">
      <c r="A1047" s="509">
        <v>1041</v>
      </c>
      <c r="B1047" s="509" t="s">
        <v>40</v>
      </c>
      <c r="C1047" s="520" t="s">
        <v>884</v>
      </c>
      <c r="D1047" s="504"/>
      <c r="E1047" s="509" t="s">
        <v>20</v>
      </c>
      <c r="F1047" s="504" t="s">
        <v>2217</v>
      </c>
      <c r="G1047" s="509" t="s">
        <v>184</v>
      </c>
      <c r="H1047" s="590">
        <v>97.23442</v>
      </c>
      <c r="I1047" s="509">
        <v>1</v>
      </c>
      <c r="J1047" s="590">
        <v>97.23442</v>
      </c>
      <c r="K1047" s="590">
        <v>97.23442</v>
      </c>
      <c r="L1047" s="509">
        <v>1</v>
      </c>
      <c r="M1047" s="590">
        <v>97.23442</v>
      </c>
      <c r="N1047" s="6" t="s">
        <v>2221</v>
      </c>
      <c r="O1047" s="510">
        <v>45813</v>
      </c>
      <c r="P1047" s="506" t="str">
        <f>HYPERLINK("https://my.zakupivli.pro/remote/dispatcher/state_purchase_view/59900219", "UA-2025-06-05-002438-a")</f>
        <v>UA-2025-06-05-002438-a</v>
      </c>
      <c r="Q1047" s="512">
        <v>97.23442</v>
      </c>
      <c r="R1047" s="509">
        <v>1</v>
      </c>
      <c r="S1047" s="512">
        <v>97.23442</v>
      </c>
      <c r="T1047" s="505">
        <v>45812</v>
      </c>
      <c r="U1047" s="504"/>
      <c r="V1047" s="509" t="s">
        <v>59</v>
      </c>
    </row>
    <row r="1048" spans="1:22" ht="78" x14ac:dyDescent="0.3">
      <c r="A1048" s="509">
        <v>1042</v>
      </c>
      <c r="B1048" s="509" t="s">
        <v>40</v>
      </c>
      <c r="C1048" s="520" t="s">
        <v>884</v>
      </c>
      <c r="D1048" s="504"/>
      <c r="E1048" s="509" t="s">
        <v>20</v>
      </c>
      <c r="F1048" s="504" t="s">
        <v>2218</v>
      </c>
      <c r="G1048" s="509" t="s">
        <v>184</v>
      </c>
      <c r="H1048" s="590">
        <v>141.28307000000001</v>
      </c>
      <c r="I1048" s="509">
        <v>1</v>
      </c>
      <c r="J1048" s="590">
        <v>141.28307000000001</v>
      </c>
      <c r="K1048" s="590">
        <v>141.28307000000001</v>
      </c>
      <c r="L1048" s="509">
        <v>1</v>
      </c>
      <c r="M1048" s="590">
        <v>141.28307000000001</v>
      </c>
      <c r="N1048" s="6" t="s">
        <v>2222</v>
      </c>
      <c r="O1048" s="510">
        <v>45813</v>
      </c>
      <c r="P1048" s="506" t="str">
        <f>HYPERLINK("https://my.zakupivli.pro/remote/dispatcher/state_purchase_view/59899840", "UA-2025-06-05-002216-a")</f>
        <v>UA-2025-06-05-002216-a</v>
      </c>
      <c r="Q1048" s="512">
        <v>141.28307000000001</v>
      </c>
      <c r="R1048" s="509">
        <v>1</v>
      </c>
      <c r="S1048" s="512">
        <v>141.28307000000001</v>
      </c>
      <c r="T1048" s="510">
        <v>45812</v>
      </c>
      <c r="U1048" s="504"/>
      <c r="V1048" s="509" t="s">
        <v>59</v>
      </c>
    </row>
    <row r="1049" spans="1:22" ht="62.4" x14ac:dyDescent="0.3">
      <c r="A1049" s="509">
        <v>1043</v>
      </c>
      <c r="B1049" s="509" t="s">
        <v>40</v>
      </c>
      <c r="C1049" s="520" t="s">
        <v>41</v>
      </c>
      <c r="D1049" s="504"/>
      <c r="E1049" s="509" t="s">
        <v>20</v>
      </c>
      <c r="F1049" s="504" t="s">
        <v>2219</v>
      </c>
      <c r="G1049" s="509" t="s">
        <v>184</v>
      </c>
      <c r="H1049" s="590">
        <v>85.734560000000002</v>
      </c>
      <c r="I1049" s="509">
        <v>1</v>
      </c>
      <c r="J1049" s="590">
        <v>85.734560000000002</v>
      </c>
      <c r="K1049" s="590">
        <v>85.734560000000002</v>
      </c>
      <c r="L1049" s="509">
        <v>1</v>
      </c>
      <c r="M1049" s="590">
        <v>85.734560000000002</v>
      </c>
      <c r="N1049" s="6" t="s">
        <v>2223</v>
      </c>
      <c r="O1049" s="514">
        <v>45813</v>
      </c>
      <c r="P1049" s="506" t="str">
        <f>HYPERLINK("https://my.zakupivli.pro/remote/dispatcher/state_purchase_view/59899535", "UA-2025-06-05-002120-a")</f>
        <v>UA-2025-06-05-002120-a</v>
      </c>
      <c r="Q1049" s="512">
        <v>85.734560000000002</v>
      </c>
      <c r="R1049" s="509">
        <v>1</v>
      </c>
      <c r="S1049" s="512">
        <v>85.734560000000002</v>
      </c>
      <c r="T1049" s="510">
        <v>45812</v>
      </c>
      <c r="U1049" s="504"/>
      <c r="V1049" s="509" t="s">
        <v>59</v>
      </c>
    </row>
    <row r="1050" spans="1:22" ht="78" x14ac:dyDescent="0.3">
      <c r="A1050" s="517">
        <v>1044</v>
      </c>
      <c r="B1050" s="517" t="s">
        <v>40</v>
      </c>
      <c r="C1050" s="520" t="s">
        <v>884</v>
      </c>
      <c r="D1050" s="517"/>
      <c r="E1050" s="517" t="s">
        <v>20</v>
      </c>
      <c r="F1050" s="517" t="s">
        <v>2224</v>
      </c>
      <c r="G1050" s="517" t="s">
        <v>184</v>
      </c>
      <c r="H1050" s="590">
        <v>107.1581</v>
      </c>
      <c r="I1050" s="504">
        <v>1</v>
      </c>
      <c r="J1050" s="590">
        <v>107.1581</v>
      </c>
      <c r="K1050" s="590">
        <v>107.1581</v>
      </c>
      <c r="L1050" s="504">
        <v>1</v>
      </c>
      <c r="M1050" s="590">
        <v>107.1581</v>
      </c>
      <c r="N1050" s="6" t="s">
        <v>2226</v>
      </c>
      <c r="O1050" s="514">
        <v>45814</v>
      </c>
      <c r="P1050" s="506" t="str">
        <f>HYPERLINK("https://my.zakupivli.pro/remote/dispatcher/state_purchase_view/59941982", "UA-2025-06-06-006809-a")</f>
        <v>UA-2025-06-06-006809-a</v>
      </c>
      <c r="Q1050" s="513">
        <v>107.1581</v>
      </c>
      <c r="R1050" s="504">
        <v>1</v>
      </c>
      <c r="S1050" s="513">
        <v>107.1581</v>
      </c>
      <c r="T1050" s="505">
        <v>45813</v>
      </c>
      <c r="U1050" s="504"/>
      <c r="V1050" s="513" t="s">
        <v>59</v>
      </c>
    </row>
    <row r="1051" spans="1:22" ht="62.4" x14ac:dyDescent="0.3">
      <c r="A1051" s="517">
        <v>1045</v>
      </c>
      <c r="B1051" s="517" t="s">
        <v>40</v>
      </c>
      <c r="C1051" s="520" t="s">
        <v>884</v>
      </c>
      <c r="D1051" s="517"/>
      <c r="E1051" s="517" t="s">
        <v>20</v>
      </c>
      <c r="F1051" s="517" t="s">
        <v>2225</v>
      </c>
      <c r="G1051" s="517" t="s">
        <v>184</v>
      </c>
      <c r="H1051" s="590">
        <v>274.34199999999998</v>
      </c>
      <c r="I1051" s="504">
        <v>1</v>
      </c>
      <c r="J1051" s="590">
        <v>274.34199999999998</v>
      </c>
      <c r="K1051" s="590">
        <v>274.34199999999998</v>
      </c>
      <c r="L1051" s="504">
        <v>1</v>
      </c>
      <c r="M1051" s="590">
        <v>274.34199999999998</v>
      </c>
      <c r="N1051" s="6" t="s">
        <v>2227</v>
      </c>
      <c r="O1051" s="518">
        <v>45814</v>
      </c>
      <c r="P1051" s="522" t="str">
        <f>HYPERLINK("https://my.zakupivli.pro/remote/dispatcher/state_purchase_view/59941599", "UA-2025-06-06-006663-a")</f>
        <v>UA-2025-06-06-006663-a</v>
      </c>
      <c r="Q1051" s="517">
        <v>274.34199999999998</v>
      </c>
      <c r="R1051" s="504">
        <v>1</v>
      </c>
      <c r="S1051" s="513">
        <v>274.34199999999998</v>
      </c>
      <c r="T1051" s="514">
        <v>45813</v>
      </c>
      <c r="U1051" s="504"/>
      <c r="V1051" s="513" t="s">
        <v>59</v>
      </c>
    </row>
    <row r="1052" spans="1:22" ht="90" x14ac:dyDescent="0.3">
      <c r="A1052" s="517">
        <v>1046</v>
      </c>
      <c r="B1052" s="517" t="s">
        <v>40</v>
      </c>
      <c r="C1052" s="44" t="s">
        <v>884</v>
      </c>
      <c r="D1052" s="517"/>
      <c r="E1052" s="517" t="s">
        <v>20</v>
      </c>
      <c r="F1052" s="521" t="s">
        <v>2233</v>
      </c>
      <c r="G1052" s="517" t="s">
        <v>184</v>
      </c>
      <c r="H1052" s="590">
        <v>5483.4449999999997</v>
      </c>
      <c r="I1052" s="517">
        <v>1</v>
      </c>
      <c r="J1052" s="590">
        <v>5483.4449999999997</v>
      </c>
      <c r="K1052" s="590">
        <v>5483.4449999999997</v>
      </c>
      <c r="L1052" s="517">
        <v>1</v>
      </c>
      <c r="M1052" s="590">
        <v>5483.4449999999997</v>
      </c>
      <c r="N1052" s="6" t="s">
        <v>2241</v>
      </c>
      <c r="O1052" s="518">
        <v>45820</v>
      </c>
      <c r="P1052" s="522" t="str">
        <f>HYPERLINK("https://my.zakupivli.pro/remote/dispatcher/state_purchase_view/60071327", "UA-2025-06-12-012234-a")</f>
        <v>UA-2025-06-12-012234-a</v>
      </c>
      <c r="Q1052" s="549" t="s">
        <v>2338</v>
      </c>
      <c r="R1052" s="549">
        <v>1</v>
      </c>
      <c r="S1052" s="549" t="s">
        <v>2338</v>
      </c>
      <c r="T1052" s="550">
        <v>45853</v>
      </c>
      <c r="U1052" s="549"/>
      <c r="V1052" s="549"/>
    </row>
    <row r="1053" spans="1:22" ht="120" x14ac:dyDescent="0.3">
      <c r="A1053" s="517">
        <v>1047</v>
      </c>
      <c r="B1053" s="517" t="s">
        <v>40</v>
      </c>
      <c r="C1053" s="44" t="s">
        <v>41</v>
      </c>
      <c r="D1053" s="517"/>
      <c r="E1053" s="517" t="s">
        <v>20</v>
      </c>
      <c r="F1053" s="521" t="s">
        <v>2234</v>
      </c>
      <c r="G1053" s="517" t="s">
        <v>184</v>
      </c>
      <c r="H1053" s="590">
        <v>10657.272499999999</v>
      </c>
      <c r="I1053" s="517">
        <v>1</v>
      </c>
      <c r="J1053" s="590">
        <v>10657.272499999999</v>
      </c>
      <c r="K1053" s="590">
        <v>10657.272499999999</v>
      </c>
      <c r="L1053" s="517">
        <v>1</v>
      </c>
      <c r="M1053" s="590">
        <v>10657.272499999999</v>
      </c>
      <c r="N1053" s="6" t="s">
        <v>2242</v>
      </c>
      <c r="O1053" s="518">
        <v>45820</v>
      </c>
      <c r="P1053" s="522" t="str">
        <f>HYPERLINK("https://my.zakupivli.pro/remote/dispatcher/state_purchase_view/60070202", "UA-2025-06-12-011681-a")</f>
        <v>UA-2025-06-12-011681-a</v>
      </c>
      <c r="Q1053" s="549" t="s">
        <v>2339</v>
      </c>
      <c r="R1053" s="549">
        <v>1</v>
      </c>
      <c r="S1053" s="549" t="s">
        <v>2339</v>
      </c>
      <c r="T1053" s="550">
        <v>45849</v>
      </c>
      <c r="U1053" s="549"/>
      <c r="V1053" s="549"/>
    </row>
    <row r="1054" spans="1:22" ht="105" x14ac:dyDescent="0.3">
      <c r="A1054" s="517">
        <v>1048</v>
      </c>
      <c r="B1054" s="517" t="s">
        <v>40</v>
      </c>
      <c r="C1054" s="44" t="s">
        <v>41</v>
      </c>
      <c r="D1054" s="517"/>
      <c r="E1054" s="517" t="s">
        <v>20</v>
      </c>
      <c r="F1054" s="521" t="s">
        <v>2235</v>
      </c>
      <c r="G1054" s="517" t="s">
        <v>184</v>
      </c>
      <c r="H1054" s="590">
        <v>6530.3549999999996</v>
      </c>
      <c r="I1054" s="517">
        <v>1</v>
      </c>
      <c r="J1054" s="590">
        <v>6530.3549999999996</v>
      </c>
      <c r="K1054" s="590">
        <v>6530.3549999999996</v>
      </c>
      <c r="L1054" s="517">
        <v>1</v>
      </c>
      <c r="M1054" s="590">
        <v>6530.3549999999996</v>
      </c>
      <c r="N1054" s="6" t="s">
        <v>2243</v>
      </c>
      <c r="O1054" s="518">
        <v>45820</v>
      </c>
      <c r="P1054" s="522" t="str">
        <f>HYPERLINK("https://my.zakupivli.pro/remote/dispatcher/state_purchase_view/60068731", "UA-2025-06-12-011075-a")</f>
        <v>UA-2025-06-12-011075-a</v>
      </c>
      <c r="Q1054" s="549" t="s">
        <v>2340</v>
      </c>
      <c r="R1054" s="549">
        <v>1</v>
      </c>
      <c r="S1054" s="549" t="s">
        <v>2340</v>
      </c>
      <c r="T1054" s="550">
        <v>45849</v>
      </c>
      <c r="U1054" s="549"/>
      <c r="V1054" s="549"/>
    </row>
    <row r="1055" spans="1:22" ht="120" x14ac:dyDescent="0.3">
      <c r="A1055" s="517">
        <v>1049</v>
      </c>
      <c r="B1055" s="517" t="s">
        <v>40</v>
      </c>
      <c r="C1055" s="44" t="s">
        <v>884</v>
      </c>
      <c r="D1055" s="517"/>
      <c r="E1055" s="517" t="s">
        <v>20</v>
      </c>
      <c r="F1055" s="521" t="s">
        <v>2236</v>
      </c>
      <c r="G1055" s="517" t="s">
        <v>184</v>
      </c>
      <c r="H1055" s="590">
        <v>4455.6668330000002</v>
      </c>
      <c r="I1055" s="517">
        <v>1</v>
      </c>
      <c r="J1055" s="590">
        <v>4455.6668330000002</v>
      </c>
      <c r="K1055" s="590">
        <v>4455.6668330000002</v>
      </c>
      <c r="L1055" s="517">
        <v>1</v>
      </c>
      <c r="M1055" s="590">
        <v>4455.6668330000002</v>
      </c>
      <c r="N1055" s="6" t="s">
        <v>2244</v>
      </c>
      <c r="O1055" s="518">
        <v>45820</v>
      </c>
      <c r="P1055" s="522" t="str">
        <f>HYPERLINK("https://my.zakupivli.pro/remote/dispatcher/state_purchase_view/60068496", "UA-2025-06-12-010920-a")</f>
        <v>UA-2025-06-12-010920-a</v>
      </c>
      <c r="Q1055" s="549" t="s">
        <v>2341</v>
      </c>
      <c r="R1055" s="549">
        <v>1</v>
      </c>
      <c r="S1055" s="549" t="s">
        <v>2341</v>
      </c>
      <c r="T1055" s="550">
        <v>45853</v>
      </c>
      <c r="U1055" s="549"/>
      <c r="V1055" s="549"/>
    </row>
    <row r="1056" spans="1:22" ht="90" x14ac:dyDescent="0.3">
      <c r="A1056" s="517">
        <v>1050</v>
      </c>
      <c r="B1056" s="517" t="s">
        <v>40</v>
      </c>
      <c r="C1056" s="44" t="s">
        <v>884</v>
      </c>
      <c r="D1056" s="517"/>
      <c r="E1056" s="517" t="s">
        <v>20</v>
      </c>
      <c r="F1056" s="521" t="s">
        <v>2228</v>
      </c>
      <c r="G1056" s="517" t="s">
        <v>184</v>
      </c>
      <c r="H1056" s="590">
        <v>827.37414200000001</v>
      </c>
      <c r="I1056" s="517">
        <v>1</v>
      </c>
      <c r="J1056" s="590">
        <v>827.37414200000001</v>
      </c>
      <c r="K1056" s="590">
        <v>827.37414200000001</v>
      </c>
      <c r="L1056" s="517">
        <v>1</v>
      </c>
      <c r="M1056" s="590">
        <v>827.37414200000001</v>
      </c>
      <c r="N1056" s="6" t="s">
        <v>2245</v>
      </c>
      <c r="O1056" s="518">
        <v>45820</v>
      </c>
      <c r="P1056" s="522" t="str">
        <f>HYPERLINK("https://my.zakupivli.pro/remote/dispatcher/state_purchase_view/60064231", "UA-2025-06-12-008984-a")</f>
        <v>UA-2025-06-12-008984-a</v>
      </c>
      <c r="Q1056" s="517">
        <v>827.37414200000001</v>
      </c>
      <c r="R1056" s="517">
        <v>1</v>
      </c>
      <c r="S1056" s="517">
        <v>827.37414200000001</v>
      </c>
      <c r="T1056" s="505">
        <v>45820</v>
      </c>
      <c r="U1056" s="504"/>
      <c r="V1056" s="517" t="s">
        <v>59</v>
      </c>
    </row>
    <row r="1057" spans="1:22" ht="90" x14ac:dyDescent="0.3">
      <c r="A1057" s="517">
        <v>1051</v>
      </c>
      <c r="B1057" s="517" t="s">
        <v>40</v>
      </c>
      <c r="C1057" s="44" t="s">
        <v>884</v>
      </c>
      <c r="D1057" s="517"/>
      <c r="E1057" s="517" t="s">
        <v>20</v>
      </c>
      <c r="F1057" s="521" t="s">
        <v>2229</v>
      </c>
      <c r="G1057" s="517" t="s">
        <v>184</v>
      </c>
      <c r="H1057" s="590">
        <v>78.694450000000003</v>
      </c>
      <c r="I1057" s="517">
        <v>1</v>
      </c>
      <c r="J1057" s="590">
        <v>78.694450000000003</v>
      </c>
      <c r="K1057" s="590">
        <v>78.694450000000003</v>
      </c>
      <c r="L1057" s="517">
        <v>1</v>
      </c>
      <c r="M1057" s="590">
        <v>78.694450000000003</v>
      </c>
      <c r="N1057" s="6" t="s">
        <v>2246</v>
      </c>
      <c r="O1057" s="518">
        <v>45820</v>
      </c>
      <c r="P1057" s="522" t="str">
        <f>HYPERLINK("https://my.zakupivli.pro/remote/dispatcher/state_purchase_view/60063461", "UA-2025-06-12-008628-a")</f>
        <v>UA-2025-06-12-008628-a</v>
      </c>
      <c r="Q1057" s="517">
        <v>78.694450000000003</v>
      </c>
      <c r="R1057" s="517">
        <v>1</v>
      </c>
      <c r="S1057" s="517">
        <v>78.694450000000003</v>
      </c>
      <c r="T1057" s="518">
        <v>45820</v>
      </c>
      <c r="U1057" s="504"/>
      <c r="V1057" s="517" t="s">
        <v>59</v>
      </c>
    </row>
    <row r="1058" spans="1:22" ht="75" x14ac:dyDescent="0.3">
      <c r="A1058" s="517">
        <v>1052</v>
      </c>
      <c r="B1058" s="517" t="s">
        <v>40</v>
      </c>
      <c r="C1058" s="44" t="s">
        <v>884</v>
      </c>
      <c r="D1058" s="517"/>
      <c r="E1058" s="517" t="s">
        <v>20</v>
      </c>
      <c r="F1058" s="521" t="s">
        <v>2230</v>
      </c>
      <c r="G1058" s="517" t="s">
        <v>184</v>
      </c>
      <c r="H1058" s="590">
        <v>290.64371699999998</v>
      </c>
      <c r="I1058" s="517">
        <v>1</v>
      </c>
      <c r="J1058" s="590">
        <v>290.64371699999998</v>
      </c>
      <c r="K1058" s="590">
        <v>290.64371699999998</v>
      </c>
      <c r="L1058" s="517">
        <v>1</v>
      </c>
      <c r="M1058" s="590">
        <v>290.64371699999998</v>
      </c>
      <c r="N1058" s="6" t="s">
        <v>2247</v>
      </c>
      <c r="O1058" s="518">
        <v>45820</v>
      </c>
      <c r="P1058" s="522" t="str">
        <f>HYPERLINK("https://my.zakupivli.pro/remote/dispatcher/state_purchase_view/60062964", "UA-2025-06-12-008425-a")</f>
        <v>UA-2025-06-12-008425-a</v>
      </c>
      <c r="Q1058" s="517">
        <v>290.64371699999998</v>
      </c>
      <c r="R1058" s="517">
        <v>1</v>
      </c>
      <c r="S1058" s="517">
        <v>290.64371699999998</v>
      </c>
      <c r="T1058" s="518">
        <v>45820</v>
      </c>
      <c r="U1058" s="504"/>
      <c r="V1058" s="517" t="s">
        <v>59</v>
      </c>
    </row>
    <row r="1059" spans="1:22" ht="62.4" x14ac:dyDescent="0.3">
      <c r="A1059" s="517">
        <v>1053</v>
      </c>
      <c r="B1059" s="517" t="s">
        <v>40</v>
      </c>
      <c r="C1059" s="44" t="s">
        <v>73</v>
      </c>
      <c r="D1059" s="517"/>
      <c r="E1059" s="517" t="s">
        <v>75</v>
      </c>
      <c r="F1059" s="521" t="s">
        <v>2231</v>
      </c>
      <c r="G1059" s="517" t="s">
        <v>184</v>
      </c>
      <c r="H1059" s="590">
        <v>132.6986</v>
      </c>
      <c r="I1059" s="517">
        <v>1</v>
      </c>
      <c r="J1059" s="590">
        <v>132.6986</v>
      </c>
      <c r="K1059" s="590">
        <v>132.6986</v>
      </c>
      <c r="L1059" s="517">
        <v>1</v>
      </c>
      <c r="M1059" s="590">
        <v>132.6986</v>
      </c>
      <c r="N1059" s="6" t="s">
        <v>2248</v>
      </c>
      <c r="O1059" s="518">
        <v>45820</v>
      </c>
      <c r="P1059" s="522" t="str">
        <f>HYPERLINK("https://my.zakupivli.pro/remote/dispatcher/state_purchase_view/60047891", "UA-2025-06-12-001850-a")</f>
        <v>UA-2025-06-12-001850-a</v>
      </c>
      <c r="Q1059" s="517">
        <v>132.6986</v>
      </c>
      <c r="R1059" s="517">
        <v>1</v>
      </c>
      <c r="S1059" s="517">
        <v>132.6986</v>
      </c>
      <c r="T1059" s="505">
        <v>45819</v>
      </c>
      <c r="U1059" s="504"/>
      <c r="V1059" s="517" t="s">
        <v>59</v>
      </c>
    </row>
    <row r="1060" spans="1:22" ht="62.4" x14ac:dyDescent="0.3">
      <c r="A1060" s="517">
        <v>1054</v>
      </c>
      <c r="B1060" s="517" t="s">
        <v>40</v>
      </c>
      <c r="C1060" s="44" t="s">
        <v>73</v>
      </c>
      <c r="D1060" s="517"/>
      <c r="E1060" s="517" t="s">
        <v>75</v>
      </c>
      <c r="F1060" s="521" t="s">
        <v>2232</v>
      </c>
      <c r="G1060" s="517" t="s">
        <v>184</v>
      </c>
      <c r="H1060" s="590">
        <v>225.87713299999999</v>
      </c>
      <c r="I1060" s="517">
        <v>1</v>
      </c>
      <c r="J1060" s="590">
        <v>225.87713299999999</v>
      </c>
      <c r="K1060" s="590">
        <v>225.87713299999999</v>
      </c>
      <c r="L1060" s="517">
        <v>1</v>
      </c>
      <c r="M1060" s="590">
        <v>225.87713299999999</v>
      </c>
      <c r="N1060" s="6" t="s">
        <v>2249</v>
      </c>
      <c r="O1060" s="518">
        <v>45820</v>
      </c>
      <c r="P1060" s="522" t="str">
        <f>HYPERLINK("https://my.zakupivli.pro/remote/dispatcher/state_purchase_view/60047433", "UA-2025-06-12-001669-a")</f>
        <v>UA-2025-06-12-001669-a</v>
      </c>
      <c r="Q1060" s="517">
        <v>225.87713299999999</v>
      </c>
      <c r="R1060" s="517">
        <v>1</v>
      </c>
      <c r="S1060" s="517">
        <v>225.87713299999999</v>
      </c>
      <c r="T1060" s="518">
        <v>45819</v>
      </c>
      <c r="U1060" s="504"/>
      <c r="V1060" s="517" t="s">
        <v>59</v>
      </c>
    </row>
    <row r="1061" spans="1:22" ht="105" x14ac:dyDescent="0.3">
      <c r="A1061" s="517">
        <v>1055</v>
      </c>
      <c r="B1061" s="517" t="s">
        <v>40</v>
      </c>
      <c r="C1061" s="44" t="s">
        <v>41</v>
      </c>
      <c r="D1061" s="517"/>
      <c r="E1061" s="517" t="s">
        <v>20</v>
      </c>
      <c r="F1061" s="521" t="s">
        <v>2237</v>
      </c>
      <c r="G1061" s="517" t="s">
        <v>184</v>
      </c>
      <c r="H1061" s="590">
        <v>3017.02</v>
      </c>
      <c r="I1061" s="517">
        <v>1</v>
      </c>
      <c r="J1061" s="590">
        <v>3017.02</v>
      </c>
      <c r="K1061" s="590">
        <v>3017.02</v>
      </c>
      <c r="L1061" s="517">
        <v>1</v>
      </c>
      <c r="M1061" s="590">
        <v>3017.02</v>
      </c>
      <c r="N1061" s="6" t="s">
        <v>2250</v>
      </c>
      <c r="O1061" s="518">
        <v>45820</v>
      </c>
      <c r="P1061" s="522" t="str">
        <f>HYPERLINK("https://my.zakupivli.pro/remote/dispatcher/state_purchase_view/60044483", "UA-2025-06-12-000344-a")</f>
        <v>UA-2025-06-12-000344-a</v>
      </c>
      <c r="Q1061" s="549" t="s">
        <v>2342</v>
      </c>
      <c r="R1061" s="549">
        <v>1</v>
      </c>
      <c r="S1061" s="549" t="s">
        <v>2342</v>
      </c>
      <c r="T1061" s="550">
        <v>45849</v>
      </c>
      <c r="U1061" s="549"/>
      <c r="V1061" s="549"/>
    </row>
    <row r="1062" spans="1:22" ht="90" x14ac:dyDescent="0.3">
      <c r="A1062" s="517">
        <v>1056</v>
      </c>
      <c r="B1062" s="517" t="s">
        <v>40</v>
      </c>
      <c r="C1062" s="44" t="s">
        <v>884</v>
      </c>
      <c r="D1062" s="517"/>
      <c r="E1062" s="517" t="s">
        <v>20</v>
      </c>
      <c r="F1062" s="521" t="s">
        <v>2238</v>
      </c>
      <c r="G1062" s="517" t="s">
        <v>184</v>
      </c>
      <c r="H1062" s="590">
        <v>2438.3141700000001</v>
      </c>
      <c r="I1062" s="517">
        <v>1</v>
      </c>
      <c r="J1062" s="590">
        <v>2438.3141700000001</v>
      </c>
      <c r="K1062" s="590">
        <v>2438.3141700000001</v>
      </c>
      <c r="L1062" s="517">
        <v>1</v>
      </c>
      <c r="M1062" s="590">
        <v>2438.3141700000001</v>
      </c>
      <c r="N1062" s="6" t="s">
        <v>2251</v>
      </c>
      <c r="O1062" s="518">
        <v>45820</v>
      </c>
      <c r="P1062" s="522" t="str">
        <f>HYPERLINK("https://my.zakupivli.pro/remote/dispatcher/state_purchase_view/60044375", "UA-2025-06-12-000284-a")</f>
        <v>UA-2025-06-12-000284-a</v>
      </c>
      <c r="Q1062" s="549" t="s">
        <v>2343</v>
      </c>
      <c r="R1062" s="549">
        <v>1</v>
      </c>
      <c r="S1062" s="549" t="s">
        <v>2343</v>
      </c>
      <c r="T1062" s="550">
        <v>45849</v>
      </c>
      <c r="U1062" s="549"/>
      <c r="V1062" s="549"/>
    </row>
    <row r="1063" spans="1:22" ht="105" x14ac:dyDescent="0.3">
      <c r="A1063" s="517">
        <v>1057</v>
      </c>
      <c r="B1063" s="517" t="s">
        <v>40</v>
      </c>
      <c r="C1063" s="44" t="s">
        <v>41</v>
      </c>
      <c r="D1063" s="517"/>
      <c r="E1063" s="517" t="s">
        <v>20</v>
      </c>
      <c r="F1063" s="521" t="s">
        <v>2239</v>
      </c>
      <c r="G1063" s="517" t="s">
        <v>184</v>
      </c>
      <c r="H1063" s="590">
        <v>6338.2674999999999</v>
      </c>
      <c r="I1063" s="517">
        <v>1</v>
      </c>
      <c r="J1063" s="590">
        <v>6338.2674999999999</v>
      </c>
      <c r="K1063" s="590">
        <v>6338.2674999999999</v>
      </c>
      <c r="L1063" s="517">
        <v>1</v>
      </c>
      <c r="M1063" s="590">
        <v>6338.2674999999999</v>
      </c>
      <c r="N1063" s="6" t="s">
        <v>2252</v>
      </c>
      <c r="O1063" s="518">
        <v>45820</v>
      </c>
      <c r="P1063" s="522" t="str">
        <f>HYPERLINK("https://my.zakupivli.pro/remote/dispatcher/state_purchase_view/60044361", "UA-2025-06-12-000279-a")</f>
        <v>UA-2025-06-12-000279-a</v>
      </c>
      <c r="Q1063" s="549">
        <v>6333.2538199999999</v>
      </c>
      <c r="R1063" s="549">
        <v>1</v>
      </c>
      <c r="S1063" s="549">
        <v>6333.2538199999999</v>
      </c>
      <c r="T1063" s="550">
        <v>45849</v>
      </c>
      <c r="U1063" s="549"/>
      <c r="V1063" s="549"/>
    </row>
    <row r="1064" spans="1:22" ht="105" x14ac:dyDescent="0.3">
      <c r="A1064" s="517">
        <v>1058</v>
      </c>
      <c r="B1064" s="517" t="s">
        <v>40</v>
      </c>
      <c r="C1064" s="44" t="s">
        <v>884</v>
      </c>
      <c r="D1064" s="517"/>
      <c r="E1064" s="517" t="s">
        <v>20</v>
      </c>
      <c r="F1064" s="521" t="s">
        <v>2240</v>
      </c>
      <c r="G1064" s="517" t="s">
        <v>184</v>
      </c>
      <c r="H1064" s="590">
        <v>14608.5708</v>
      </c>
      <c r="I1064" s="517">
        <v>1</v>
      </c>
      <c r="J1064" s="590">
        <v>14608.5708</v>
      </c>
      <c r="K1064" s="590">
        <v>14608.5708</v>
      </c>
      <c r="L1064" s="517">
        <v>1</v>
      </c>
      <c r="M1064" s="590">
        <v>14608.5708</v>
      </c>
      <c r="N1064" s="6" t="s">
        <v>2253</v>
      </c>
      <c r="O1064" s="519">
        <v>45820</v>
      </c>
      <c r="P1064" s="120" t="str">
        <f>HYPERLINK("https://my.zakupivli.pro/remote/dispatcher/state_purchase_view/60044037", "UA-2025-06-12-000131-a")</f>
        <v>UA-2025-06-12-000131-a</v>
      </c>
      <c r="Q1064" s="549" t="s">
        <v>2344</v>
      </c>
      <c r="R1064" s="549">
        <v>1</v>
      </c>
      <c r="S1064" s="549" t="s">
        <v>2344</v>
      </c>
      <c r="T1064" s="550">
        <v>45849</v>
      </c>
      <c r="U1064" s="549"/>
      <c r="V1064" s="549"/>
    </row>
    <row r="1065" spans="1:22" ht="93.6" x14ac:dyDescent="0.3">
      <c r="A1065" s="520">
        <v>1059</v>
      </c>
      <c r="B1065" s="520" t="s">
        <v>40</v>
      </c>
      <c r="C1065" s="520" t="s">
        <v>884</v>
      </c>
      <c r="D1065" s="504"/>
      <c r="E1065" s="520" t="s">
        <v>20</v>
      </c>
      <c r="F1065" s="504" t="s">
        <v>2254</v>
      </c>
      <c r="G1065" s="520" t="s">
        <v>184</v>
      </c>
      <c r="H1065" s="590">
        <v>235.54607999999999</v>
      </c>
      <c r="I1065" s="520">
        <v>1</v>
      </c>
      <c r="J1065" s="590">
        <v>235.54607999999999</v>
      </c>
      <c r="K1065" s="590">
        <v>235.54607999999999</v>
      </c>
      <c r="L1065" s="520">
        <v>1</v>
      </c>
      <c r="M1065" s="590">
        <v>235.54607999999999</v>
      </c>
      <c r="N1065" s="6" t="s">
        <v>2258</v>
      </c>
      <c r="O1065" s="519">
        <v>45826</v>
      </c>
      <c r="P1065" s="33" t="str">
        <f>HYPERLINK("https://my.zakupivli.pro/remote/dispatcher/state_purchase_view/60193887", "UA-2025-06-18-011358-a")</f>
        <v>UA-2025-06-18-011358-a</v>
      </c>
      <c r="Q1065" s="520">
        <v>235.54607999999999</v>
      </c>
      <c r="R1065" s="520">
        <v>1</v>
      </c>
      <c r="S1065" s="520">
        <v>235.54607999999999</v>
      </c>
      <c r="T1065" s="519">
        <v>45826</v>
      </c>
      <c r="U1065" s="504"/>
      <c r="V1065" s="520" t="s">
        <v>59</v>
      </c>
    </row>
    <row r="1066" spans="1:22" ht="78" x14ac:dyDescent="0.3">
      <c r="A1066" s="520">
        <v>1060</v>
      </c>
      <c r="B1066" s="520" t="s">
        <v>40</v>
      </c>
      <c r="C1066" s="520" t="s">
        <v>884</v>
      </c>
      <c r="D1066" s="504"/>
      <c r="E1066" s="520" t="s">
        <v>20</v>
      </c>
      <c r="F1066" s="504" t="s">
        <v>2255</v>
      </c>
      <c r="G1066" s="520" t="s">
        <v>184</v>
      </c>
      <c r="H1066" s="590">
        <v>285.56797999999998</v>
      </c>
      <c r="I1066" s="520">
        <v>1</v>
      </c>
      <c r="J1066" s="590">
        <v>285.56797999999998</v>
      </c>
      <c r="K1066" s="590">
        <v>285.56797999999998</v>
      </c>
      <c r="L1066" s="520">
        <v>1</v>
      </c>
      <c r="M1066" s="590">
        <v>285.56797999999998</v>
      </c>
      <c r="N1066" s="6" t="s">
        <v>2259</v>
      </c>
      <c r="O1066" s="519">
        <v>45826</v>
      </c>
      <c r="P1066" s="33" t="str">
        <f>HYPERLINK("https://my.zakupivli.pro/remote/dispatcher/state_purchase_view/60193349", "UA-2025-06-18-011141-a")</f>
        <v>UA-2025-06-18-011141-a</v>
      </c>
      <c r="Q1066" s="520">
        <v>285.56797999999998</v>
      </c>
      <c r="R1066" s="520">
        <v>1</v>
      </c>
      <c r="S1066" s="520">
        <v>285.56797999999998</v>
      </c>
      <c r="T1066" s="519">
        <v>45826</v>
      </c>
      <c r="U1066" s="504"/>
      <c r="V1066" s="520" t="s">
        <v>59</v>
      </c>
    </row>
    <row r="1067" spans="1:22" ht="78" x14ac:dyDescent="0.3">
      <c r="A1067" s="520">
        <v>1061</v>
      </c>
      <c r="B1067" s="520" t="s">
        <v>40</v>
      </c>
      <c r="C1067" s="520" t="s">
        <v>884</v>
      </c>
      <c r="D1067" s="504"/>
      <c r="E1067" s="520" t="s">
        <v>20</v>
      </c>
      <c r="F1067" s="504" t="s">
        <v>2256</v>
      </c>
      <c r="G1067" s="520" t="s">
        <v>184</v>
      </c>
      <c r="H1067" s="590">
        <v>532.13455999999996</v>
      </c>
      <c r="I1067" s="520">
        <v>1</v>
      </c>
      <c r="J1067" s="590">
        <v>532.13455999999996</v>
      </c>
      <c r="K1067" s="590">
        <v>532.13455999999996</v>
      </c>
      <c r="L1067" s="520">
        <v>1</v>
      </c>
      <c r="M1067" s="590">
        <v>532.13455999999996</v>
      </c>
      <c r="N1067" s="6" t="s">
        <v>2260</v>
      </c>
      <c r="O1067" s="519">
        <v>45826</v>
      </c>
      <c r="P1067" s="33" t="str">
        <f>HYPERLINK("https://my.zakupivli.pro/remote/dispatcher/state_purchase_view/60193024", "UA-2025-06-18-010961-a")</f>
        <v>UA-2025-06-18-010961-a</v>
      </c>
      <c r="Q1067" s="520">
        <v>532.13455999999996</v>
      </c>
      <c r="R1067" s="520">
        <v>1</v>
      </c>
      <c r="S1067" s="520">
        <v>532.13455999999996</v>
      </c>
      <c r="T1067" s="519">
        <v>45826</v>
      </c>
      <c r="U1067" s="504"/>
      <c r="V1067" s="520" t="s">
        <v>59</v>
      </c>
    </row>
    <row r="1068" spans="1:22" ht="62.4" x14ac:dyDescent="0.3">
      <c r="A1068" s="520">
        <v>1062</v>
      </c>
      <c r="B1068" s="520" t="s">
        <v>40</v>
      </c>
      <c r="C1068" s="520" t="s">
        <v>884</v>
      </c>
      <c r="D1068" s="504"/>
      <c r="E1068" s="520" t="s">
        <v>20</v>
      </c>
      <c r="F1068" s="504" t="s">
        <v>2257</v>
      </c>
      <c r="G1068" s="520" t="s">
        <v>184</v>
      </c>
      <c r="H1068" s="590">
        <v>161.72523000000001</v>
      </c>
      <c r="I1068" s="520">
        <v>1</v>
      </c>
      <c r="J1068" s="590">
        <v>161.72523000000001</v>
      </c>
      <c r="K1068" s="590">
        <v>161.72523000000001</v>
      </c>
      <c r="L1068" s="520">
        <v>1</v>
      </c>
      <c r="M1068" s="590">
        <v>161.72523000000001</v>
      </c>
      <c r="N1068" s="6" t="s">
        <v>2261</v>
      </c>
      <c r="O1068" s="524">
        <v>45826</v>
      </c>
      <c r="P1068" s="33" t="str">
        <f>HYPERLINK("https://my.zakupivli.pro/remote/dispatcher/state_purchase_view/60168545", "UA-2025-06-18-000255-a")</f>
        <v>UA-2025-06-18-000255-a</v>
      </c>
      <c r="Q1068" s="523">
        <v>161.72523000000001</v>
      </c>
      <c r="R1068" s="520">
        <v>1</v>
      </c>
      <c r="S1068" s="520">
        <v>161.72523000000001</v>
      </c>
      <c r="T1068" s="519">
        <v>45824</v>
      </c>
      <c r="U1068" s="504"/>
      <c r="V1068" s="520" t="s">
        <v>59</v>
      </c>
    </row>
    <row r="1069" spans="1:22" ht="62.4" x14ac:dyDescent="0.3">
      <c r="A1069" s="523">
        <v>1063</v>
      </c>
      <c r="B1069" s="523" t="s">
        <v>40</v>
      </c>
      <c r="C1069" s="520" t="s">
        <v>41</v>
      </c>
      <c r="D1069" s="504"/>
      <c r="E1069" s="523" t="s">
        <v>20</v>
      </c>
      <c r="F1069" s="504" t="s">
        <v>2262</v>
      </c>
      <c r="G1069" s="523" t="s">
        <v>184</v>
      </c>
      <c r="H1069" s="590">
        <v>525.07153000000005</v>
      </c>
      <c r="I1069" s="523">
        <v>1</v>
      </c>
      <c r="J1069" s="590">
        <v>525.07153000000005</v>
      </c>
      <c r="K1069" s="590">
        <v>525.07153000000005</v>
      </c>
      <c r="L1069" s="523">
        <v>1</v>
      </c>
      <c r="M1069" s="590">
        <v>525.07153000000005</v>
      </c>
      <c r="N1069" s="6" t="s">
        <v>2269</v>
      </c>
      <c r="O1069" s="524">
        <v>45827</v>
      </c>
      <c r="P1069" s="33" t="str">
        <f>HYPERLINK("https://my.zakupivli.pro/remote/dispatcher/state_purchase_view/60216674", "UA-2025-06-19-007510-a")</f>
        <v>UA-2025-06-19-007510-a</v>
      </c>
      <c r="Q1069" s="523">
        <v>525.07153000000005</v>
      </c>
      <c r="R1069" s="523">
        <v>1</v>
      </c>
      <c r="S1069" s="523">
        <v>525.07153000000005</v>
      </c>
      <c r="T1069" s="505">
        <v>45826</v>
      </c>
      <c r="U1069" s="504"/>
      <c r="V1069" s="523" t="s">
        <v>59</v>
      </c>
    </row>
    <row r="1070" spans="1:22" ht="78" x14ac:dyDescent="0.3">
      <c r="A1070" s="523">
        <v>1064</v>
      </c>
      <c r="B1070" s="523" t="s">
        <v>40</v>
      </c>
      <c r="C1070" s="523" t="s">
        <v>884</v>
      </c>
      <c r="D1070" s="523"/>
      <c r="E1070" s="523" t="s">
        <v>20</v>
      </c>
      <c r="F1070" s="523" t="s">
        <v>2263</v>
      </c>
      <c r="G1070" s="523" t="s">
        <v>184</v>
      </c>
      <c r="H1070" s="590">
        <v>589.04088000000002</v>
      </c>
      <c r="I1070" s="523">
        <v>1</v>
      </c>
      <c r="J1070" s="590">
        <v>589.04088000000002</v>
      </c>
      <c r="K1070" s="590">
        <v>589.04088000000002</v>
      </c>
      <c r="L1070" s="523">
        <v>1</v>
      </c>
      <c r="M1070" s="590">
        <v>589.04088000000002</v>
      </c>
      <c r="N1070" s="6" t="s">
        <v>2270</v>
      </c>
      <c r="O1070" s="524">
        <v>45827</v>
      </c>
      <c r="P1070" s="33" t="str">
        <f>HYPERLINK("https://my.zakupivli.pro/remote/dispatcher/state_purchase_view/60216127", "UA-2025-06-19-007258-a")</f>
        <v>UA-2025-06-19-007258-a</v>
      </c>
      <c r="Q1070" s="523">
        <v>589.04088000000002</v>
      </c>
      <c r="R1070" s="523">
        <v>1</v>
      </c>
      <c r="S1070" s="523">
        <v>589.04088000000002</v>
      </c>
      <c r="T1070" s="524">
        <v>45826</v>
      </c>
      <c r="U1070" s="523"/>
      <c r="V1070" s="523" t="s">
        <v>59</v>
      </c>
    </row>
    <row r="1071" spans="1:22" ht="62.4" x14ac:dyDescent="0.3">
      <c r="A1071" s="523">
        <v>1065</v>
      </c>
      <c r="B1071" s="523" t="s">
        <v>40</v>
      </c>
      <c r="C1071" s="523" t="s">
        <v>884</v>
      </c>
      <c r="D1071" s="523"/>
      <c r="E1071" s="523" t="s">
        <v>20</v>
      </c>
      <c r="F1071" s="523" t="s">
        <v>2264</v>
      </c>
      <c r="G1071" s="523" t="s">
        <v>184</v>
      </c>
      <c r="H1071" s="590">
        <v>236.82848999999999</v>
      </c>
      <c r="I1071" s="523">
        <v>1</v>
      </c>
      <c r="J1071" s="590">
        <v>236.82848999999999</v>
      </c>
      <c r="K1071" s="590">
        <v>236.82848999999999</v>
      </c>
      <c r="L1071" s="523">
        <v>1</v>
      </c>
      <c r="M1071" s="590">
        <v>236.82848999999999</v>
      </c>
      <c r="N1071" s="6" t="s">
        <v>2271</v>
      </c>
      <c r="O1071" s="524">
        <v>45827</v>
      </c>
      <c r="P1071" s="33" t="str">
        <f>HYPERLINK("https://my.zakupivli.pro/remote/dispatcher/state_purchase_view/60215788", "UA-2025-06-19-007122-a")</f>
        <v>UA-2025-06-19-007122-a</v>
      </c>
      <c r="Q1071" s="523">
        <v>236.82848999999999</v>
      </c>
      <c r="R1071" s="523">
        <v>1</v>
      </c>
      <c r="S1071" s="523">
        <v>236.82848999999999</v>
      </c>
      <c r="T1071" s="524">
        <v>45826</v>
      </c>
      <c r="U1071" s="523"/>
      <c r="V1071" s="523" t="s">
        <v>59</v>
      </c>
    </row>
    <row r="1072" spans="1:22" ht="93.6" x14ac:dyDescent="0.3">
      <c r="A1072" s="523">
        <v>1066</v>
      </c>
      <c r="B1072" s="523" t="s">
        <v>40</v>
      </c>
      <c r="C1072" s="523" t="s">
        <v>884</v>
      </c>
      <c r="D1072" s="523"/>
      <c r="E1072" s="523" t="s">
        <v>20</v>
      </c>
      <c r="F1072" s="523" t="s">
        <v>2265</v>
      </c>
      <c r="G1072" s="523" t="s">
        <v>184</v>
      </c>
      <c r="H1072" s="590">
        <v>343.4273</v>
      </c>
      <c r="I1072" s="523">
        <v>1</v>
      </c>
      <c r="J1072" s="590">
        <v>343.4273</v>
      </c>
      <c r="K1072" s="590">
        <v>343.4273</v>
      </c>
      <c r="L1072" s="523">
        <v>1</v>
      </c>
      <c r="M1072" s="590">
        <v>343.4273</v>
      </c>
      <c r="N1072" s="6" t="s">
        <v>2272</v>
      </c>
      <c r="O1072" s="524">
        <v>45827</v>
      </c>
      <c r="P1072" s="33" t="str">
        <f>HYPERLINK("https://my.zakupivli.pro/remote/dispatcher/state_purchase_view/60215677", "UA-2025-06-19-007061-a")</f>
        <v>UA-2025-06-19-007061-a</v>
      </c>
      <c r="Q1072" s="523">
        <v>343.4273</v>
      </c>
      <c r="R1072" s="523">
        <v>1</v>
      </c>
      <c r="S1072" s="523">
        <v>343.4273</v>
      </c>
      <c r="T1072" s="524">
        <v>45826</v>
      </c>
      <c r="U1072" s="523"/>
      <c r="V1072" s="523" t="s">
        <v>59</v>
      </c>
    </row>
    <row r="1073" spans="1:22" ht="62.4" x14ac:dyDescent="0.3">
      <c r="A1073" s="523">
        <v>1067</v>
      </c>
      <c r="B1073" s="523" t="s">
        <v>40</v>
      </c>
      <c r="C1073" s="523" t="s">
        <v>41</v>
      </c>
      <c r="D1073" s="523"/>
      <c r="E1073" s="523" t="s">
        <v>20</v>
      </c>
      <c r="F1073" s="523" t="s">
        <v>2266</v>
      </c>
      <c r="G1073" s="523" t="s">
        <v>184</v>
      </c>
      <c r="H1073" s="590">
        <v>581.73767999999995</v>
      </c>
      <c r="I1073" s="523">
        <v>1</v>
      </c>
      <c r="J1073" s="590">
        <v>581.73767999999995</v>
      </c>
      <c r="K1073" s="590">
        <v>581.73767999999995</v>
      </c>
      <c r="L1073" s="523">
        <v>1</v>
      </c>
      <c r="M1073" s="590">
        <v>581.73767999999995</v>
      </c>
      <c r="N1073" s="6" t="s">
        <v>2273</v>
      </c>
      <c r="O1073" s="524">
        <v>45827</v>
      </c>
      <c r="P1073" s="33" t="str">
        <f>HYPERLINK("https://my.zakupivli.pro/remote/dispatcher/state_purchase_view/60215472", "UA-2025-06-19-007019-a")</f>
        <v>UA-2025-06-19-007019-a</v>
      </c>
      <c r="Q1073" s="523">
        <v>581.73767999999995</v>
      </c>
      <c r="R1073" s="523">
        <v>1</v>
      </c>
      <c r="S1073" s="523">
        <v>581.73767999999995</v>
      </c>
      <c r="T1073" s="524">
        <v>45826</v>
      </c>
      <c r="U1073" s="523"/>
      <c r="V1073" s="523" t="s">
        <v>59</v>
      </c>
    </row>
    <row r="1074" spans="1:22" ht="93.6" x14ac:dyDescent="0.3">
      <c r="A1074" s="523">
        <v>1068</v>
      </c>
      <c r="B1074" s="523" t="s">
        <v>40</v>
      </c>
      <c r="C1074" s="523" t="s">
        <v>41</v>
      </c>
      <c r="D1074" s="523"/>
      <c r="E1074" s="523" t="s">
        <v>20</v>
      </c>
      <c r="F1074" s="523" t="s">
        <v>2267</v>
      </c>
      <c r="G1074" s="523" t="s">
        <v>184</v>
      </c>
      <c r="H1074" s="590">
        <v>1095.4368099999999</v>
      </c>
      <c r="I1074" s="523">
        <v>1</v>
      </c>
      <c r="J1074" s="590">
        <v>1095.4368099999999</v>
      </c>
      <c r="K1074" s="590">
        <v>1095.4368099999999</v>
      </c>
      <c r="L1074" s="523">
        <v>1</v>
      </c>
      <c r="M1074" s="590">
        <v>1095.4368099999999</v>
      </c>
      <c r="N1074" s="6" t="s">
        <v>2274</v>
      </c>
      <c r="O1074" s="524">
        <v>45827</v>
      </c>
      <c r="P1074" s="33" t="str">
        <f>HYPERLINK("https://my.zakupivli.pro/remote/dispatcher/state_purchase_view/60215368", "UA-2025-06-19-006954-a")</f>
        <v>UA-2025-06-19-006954-a</v>
      </c>
      <c r="Q1074" s="523">
        <v>1095.4368099999999</v>
      </c>
      <c r="R1074" s="523">
        <v>1</v>
      </c>
      <c r="S1074" s="523">
        <v>1095.4368099999999</v>
      </c>
      <c r="T1074" s="524">
        <v>45826</v>
      </c>
      <c r="U1074" s="523"/>
      <c r="V1074" s="523" t="s">
        <v>59</v>
      </c>
    </row>
    <row r="1075" spans="1:22" ht="93.6" x14ac:dyDescent="0.3">
      <c r="A1075" s="525">
        <v>1069</v>
      </c>
      <c r="B1075" s="525" t="s">
        <v>40</v>
      </c>
      <c r="C1075" s="525" t="s">
        <v>884</v>
      </c>
      <c r="D1075" s="525"/>
      <c r="E1075" s="525" t="s">
        <v>20</v>
      </c>
      <c r="F1075" s="525" t="s">
        <v>2268</v>
      </c>
      <c r="G1075" s="525" t="s">
        <v>184</v>
      </c>
      <c r="H1075" s="590">
        <v>368.45093000000003</v>
      </c>
      <c r="I1075" s="523">
        <v>1</v>
      </c>
      <c r="J1075" s="590">
        <v>368.45093000000003</v>
      </c>
      <c r="K1075" s="590">
        <v>368.45093000000003</v>
      </c>
      <c r="L1075" s="523">
        <v>1</v>
      </c>
      <c r="M1075" s="590">
        <v>368.45093000000003</v>
      </c>
      <c r="N1075" s="6" t="s">
        <v>2275</v>
      </c>
      <c r="O1075" s="526">
        <v>45827</v>
      </c>
      <c r="P1075" s="33" t="str">
        <f>HYPERLINK("https://my.zakupivli.pro/remote/dispatcher/state_purchase_view/60215232", "UA-2025-06-19-006872-a")</f>
        <v>UA-2025-06-19-006872-a</v>
      </c>
      <c r="Q1075" s="525">
        <v>368.45093000000003</v>
      </c>
      <c r="R1075" s="523">
        <v>1</v>
      </c>
      <c r="S1075" s="523">
        <v>368.45093000000003</v>
      </c>
      <c r="T1075" s="524">
        <v>45826</v>
      </c>
      <c r="U1075" s="523"/>
      <c r="V1075" s="523" t="s">
        <v>59</v>
      </c>
    </row>
    <row r="1076" spans="1:22" ht="62.4" x14ac:dyDescent="0.3">
      <c r="A1076" s="525">
        <v>1070</v>
      </c>
      <c r="B1076" s="525" t="s">
        <v>40</v>
      </c>
      <c r="C1076" s="44" t="s">
        <v>73</v>
      </c>
      <c r="D1076" s="525"/>
      <c r="E1076" s="525" t="s">
        <v>75</v>
      </c>
      <c r="F1076" s="44" t="s">
        <v>2276</v>
      </c>
      <c r="G1076" s="525" t="s">
        <v>184</v>
      </c>
      <c r="H1076" s="590">
        <v>81.660808299999999</v>
      </c>
      <c r="I1076" s="525">
        <v>1</v>
      </c>
      <c r="J1076" s="590">
        <v>81.660808299999999</v>
      </c>
      <c r="K1076" s="590">
        <v>81.660808299999999</v>
      </c>
      <c r="L1076" s="525">
        <v>1</v>
      </c>
      <c r="M1076" s="590">
        <v>81.660808299999999</v>
      </c>
      <c r="N1076" s="6" t="s">
        <v>2281</v>
      </c>
      <c r="O1076" s="526">
        <v>45828</v>
      </c>
      <c r="P1076" s="33" t="str">
        <f>HYPERLINK("https://my.zakupivli.pro/remote/dispatcher/state_purchase_view/60238175", "UA-2025-06-20-003030-a")</f>
        <v>UA-2025-06-20-003030-a</v>
      </c>
      <c r="Q1076" s="525">
        <v>81.660808299999999</v>
      </c>
      <c r="R1076" s="525">
        <v>1</v>
      </c>
      <c r="S1076" s="525">
        <v>81.660808299999999</v>
      </c>
      <c r="T1076" s="524">
        <v>45827</v>
      </c>
      <c r="U1076" s="523"/>
      <c r="V1076" s="525" t="s">
        <v>59</v>
      </c>
    </row>
    <row r="1077" spans="1:22" ht="62.4" x14ac:dyDescent="0.3">
      <c r="A1077" s="525">
        <v>1071</v>
      </c>
      <c r="B1077" s="525" t="s">
        <v>40</v>
      </c>
      <c r="C1077" s="44" t="s">
        <v>73</v>
      </c>
      <c r="D1077" s="525"/>
      <c r="E1077" s="525" t="s">
        <v>75</v>
      </c>
      <c r="F1077" s="44" t="s">
        <v>2277</v>
      </c>
      <c r="G1077" s="525" t="s">
        <v>184</v>
      </c>
      <c r="H1077" s="590">
        <v>116.831292</v>
      </c>
      <c r="I1077" s="525">
        <v>1</v>
      </c>
      <c r="J1077" s="590">
        <v>116.831292</v>
      </c>
      <c r="K1077" s="590">
        <v>116.831292</v>
      </c>
      <c r="L1077" s="525">
        <v>1</v>
      </c>
      <c r="M1077" s="590">
        <v>116.831292</v>
      </c>
      <c r="N1077" s="6" t="s">
        <v>2282</v>
      </c>
      <c r="O1077" s="526">
        <v>45828</v>
      </c>
      <c r="P1077" s="33" t="str">
        <f>HYPERLINK("https://my.zakupivli.pro/remote/dispatcher/state_purchase_view/60237997", "UA-2025-06-20-002917-a")</f>
        <v>UA-2025-06-20-002917-a</v>
      </c>
      <c r="Q1077" s="525">
        <v>116.831292</v>
      </c>
      <c r="R1077" s="525">
        <v>1</v>
      </c>
      <c r="S1077" s="525">
        <v>116.831292</v>
      </c>
      <c r="T1077" s="526">
        <v>45827</v>
      </c>
      <c r="U1077" s="523"/>
      <c r="V1077" s="525" t="s">
        <v>59</v>
      </c>
    </row>
    <row r="1078" spans="1:22" ht="78" x14ac:dyDescent="0.3">
      <c r="A1078" s="525">
        <v>1072</v>
      </c>
      <c r="B1078" s="525" t="s">
        <v>40</v>
      </c>
      <c r="C1078" s="44" t="s">
        <v>884</v>
      </c>
      <c r="D1078" s="525"/>
      <c r="E1078" s="525" t="s">
        <v>20</v>
      </c>
      <c r="F1078" s="44" t="s">
        <v>2278</v>
      </c>
      <c r="G1078" s="525" t="s">
        <v>184</v>
      </c>
      <c r="H1078" s="590">
        <v>534.61200799999995</v>
      </c>
      <c r="I1078" s="525">
        <v>1</v>
      </c>
      <c r="J1078" s="590">
        <v>534.61200799999995</v>
      </c>
      <c r="K1078" s="590">
        <v>534.61200799999995</v>
      </c>
      <c r="L1078" s="525">
        <v>1</v>
      </c>
      <c r="M1078" s="590">
        <v>534.61200799999995</v>
      </c>
      <c r="N1078" s="6" t="s">
        <v>2283</v>
      </c>
      <c r="O1078" s="526">
        <v>45828</v>
      </c>
      <c r="P1078" s="33" t="str">
        <f>HYPERLINK("https://my.zakupivli.pro/remote/dispatcher/state_purchase_view/60237708", "UA-2025-06-20-002761-a")</f>
        <v>UA-2025-06-20-002761-a</v>
      </c>
      <c r="Q1078" s="525">
        <v>534.61200799999995</v>
      </c>
      <c r="R1078" s="525">
        <v>1</v>
      </c>
      <c r="S1078" s="525">
        <v>534.61200799999995</v>
      </c>
      <c r="T1078" s="526">
        <v>45827</v>
      </c>
      <c r="U1078" s="523"/>
      <c r="V1078" s="525" t="s">
        <v>59</v>
      </c>
    </row>
    <row r="1079" spans="1:22" ht="62.4" x14ac:dyDescent="0.3">
      <c r="A1079" s="525">
        <v>1073</v>
      </c>
      <c r="B1079" s="525" t="s">
        <v>40</v>
      </c>
      <c r="C1079" s="44" t="s">
        <v>73</v>
      </c>
      <c r="D1079" s="525"/>
      <c r="E1079" s="525" t="s">
        <v>75</v>
      </c>
      <c r="F1079" s="44" t="s">
        <v>2279</v>
      </c>
      <c r="G1079" s="525" t="s">
        <v>184</v>
      </c>
      <c r="H1079" s="590">
        <v>135.15135000000001</v>
      </c>
      <c r="I1079" s="525">
        <v>1</v>
      </c>
      <c r="J1079" s="590">
        <v>135.15135000000001</v>
      </c>
      <c r="K1079" s="590">
        <v>135.15135000000001</v>
      </c>
      <c r="L1079" s="525">
        <v>1</v>
      </c>
      <c r="M1079" s="590">
        <v>135.15135000000001</v>
      </c>
      <c r="N1079" s="6" t="s">
        <v>2284</v>
      </c>
      <c r="O1079" s="526">
        <v>45828</v>
      </c>
      <c r="P1079" s="33" t="str">
        <f>HYPERLINK("https://my.zakupivli.pro/remote/dispatcher/state_purchase_view/60237438", "UA-2025-06-20-002703-a")</f>
        <v>UA-2025-06-20-002703-a</v>
      </c>
      <c r="Q1079" s="525">
        <v>135.15135000000001</v>
      </c>
      <c r="R1079" s="525">
        <v>1</v>
      </c>
      <c r="S1079" s="525">
        <v>135.15135000000001</v>
      </c>
      <c r="T1079" s="526">
        <v>45827</v>
      </c>
      <c r="U1079" s="523"/>
      <c r="V1079" s="525" t="s">
        <v>59</v>
      </c>
    </row>
    <row r="1080" spans="1:22" ht="62.4" x14ac:dyDescent="0.3">
      <c r="A1080" s="525">
        <v>1074</v>
      </c>
      <c r="B1080" s="525" t="s">
        <v>40</v>
      </c>
      <c r="C1080" s="44" t="s">
        <v>73</v>
      </c>
      <c r="D1080" s="525"/>
      <c r="E1080" s="525" t="s">
        <v>75</v>
      </c>
      <c r="F1080" s="44" t="s">
        <v>2280</v>
      </c>
      <c r="G1080" s="525" t="s">
        <v>184</v>
      </c>
      <c r="H1080" s="590">
        <v>205.14746700000001</v>
      </c>
      <c r="I1080" s="525">
        <v>1</v>
      </c>
      <c r="J1080" s="590">
        <v>205.14746700000001</v>
      </c>
      <c r="K1080" s="590">
        <v>205.14746700000001</v>
      </c>
      <c r="L1080" s="525">
        <v>1</v>
      </c>
      <c r="M1080" s="590">
        <v>205.14746700000001</v>
      </c>
      <c r="N1080" s="6" t="s">
        <v>2285</v>
      </c>
      <c r="O1080" s="528">
        <v>45828</v>
      </c>
      <c r="P1080" s="33" t="str">
        <f>HYPERLINK("https://my.zakupivli.pro/remote/dispatcher/state_purchase_view/60237216", "UA-2025-06-20-002566-a")</f>
        <v>UA-2025-06-20-002566-a</v>
      </c>
      <c r="Q1080" s="527">
        <v>205.14746700000001</v>
      </c>
      <c r="R1080" s="525">
        <v>1</v>
      </c>
      <c r="S1080" s="525">
        <v>205.14746700000001</v>
      </c>
      <c r="T1080" s="526">
        <v>45827</v>
      </c>
      <c r="U1080" s="523"/>
      <c r="V1080" s="525" t="s">
        <v>59</v>
      </c>
    </row>
    <row r="1081" spans="1:22" ht="62.4" x14ac:dyDescent="0.3">
      <c r="A1081" s="527">
        <v>1075</v>
      </c>
      <c r="B1081" s="527" t="s">
        <v>1150</v>
      </c>
      <c r="C1081" s="525" t="s">
        <v>1400</v>
      </c>
      <c r="D1081" s="525"/>
      <c r="E1081" s="527" t="s">
        <v>75</v>
      </c>
      <c r="F1081" s="525" t="s">
        <v>2286</v>
      </c>
      <c r="G1081" s="527" t="s">
        <v>186</v>
      </c>
      <c r="H1081" s="590"/>
      <c r="I1081" s="542">
        <v>11</v>
      </c>
      <c r="J1081" s="590">
        <v>78.329070000000002</v>
      </c>
      <c r="K1081" s="590"/>
      <c r="L1081" s="542">
        <v>11</v>
      </c>
      <c r="M1081" s="590">
        <v>78.329070000000002</v>
      </c>
      <c r="N1081" s="6" t="s">
        <v>2289</v>
      </c>
      <c r="O1081" s="528">
        <v>45831</v>
      </c>
      <c r="P1081" s="33" t="str">
        <f>HYPERLINK("https://my.zakupivli.pro/remote/dispatcher/state_purchase_view/60270749", "UA-2025-06-23-004108-a")</f>
        <v>UA-2025-06-23-004108-a</v>
      </c>
      <c r="Q1081" s="527"/>
      <c r="R1081" s="527">
        <v>11</v>
      </c>
      <c r="S1081" s="527">
        <v>78.329070000000002</v>
      </c>
      <c r="T1081" s="524">
        <v>45831</v>
      </c>
      <c r="U1081" s="523"/>
      <c r="V1081" s="527" t="s">
        <v>59</v>
      </c>
    </row>
    <row r="1082" spans="1:22" ht="62.4" x14ac:dyDescent="0.3">
      <c r="A1082" s="527">
        <v>1076</v>
      </c>
      <c r="B1082" s="527" t="s">
        <v>40</v>
      </c>
      <c r="C1082" s="523" t="s">
        <v>884</v>
      </c>
      <c r="D1082" s="523"/>
      <c r="E1082" s="527" t="s">
        <v>20</v>
      </c>
      <c r="F1082" s="523" t="s">
        <v>2287</v>
      </c>
      <c r="G1082" s="527" t="s">
        <v>184</v>
      </c>
      <c r="H1082" s="531">
        <v>59.807670000000002</v>
      </c>
      <c r="I1082" s="542">
        <v>1</v>
      </c>
      <c r="J1082" s="546">
        <v>59.807670000000002</v>
      </c>
      <c r="K1082" s="546">
        <v>59.807670000000002</v>
      </c>
      <c r="L1082" s="542">
        <v>1</v>
      </c>
      <c r="M1082" s="531">
        <v>59.807670000000002</v>
      </c>
      <c r="N1082" s="6" t="s">
        <v>2290</v>
      </c>
      <c r="O1082" s="528">
        <v>45831</v>
      </c>
      <c r="P1082" s="33" t="str">
        <f>HYPERLINK("https://my.zakupivli.pro/remote/dispatcher/state_purchase_view/60265394", "UA-2025-06-23-001718-a")</f>
        <v>UA-2025-06-23-001718-a</v>
      </c>
      <c r="Q1082" s="531">
        <v>59.807670000000002</v>
      </c>
      <c r="R1082" s="527">
        <v>1</v>
      </c>
      <c r="S1082" s="531">
        <v>59.807670000000002</v>
      </c>
      <c r="T1082" s="524">
        <v>45828</v>
      </c>
      <c r="U1082" s="523"/>
      <c r="V1082" s="527" t="s">
        <v>59</v>
      </c>
    </row>
    <row r="1083" spans="1:22" ht="62.4" x14ac:dyDescent="0.3">
      <c r="A1083" s="527">
        <v>1077</v>
      </c>
      <c r="B1083" s="527" t="s">
        <v>40</v>
      </c>
      <c r="C1083" s="523" t="s">
        <v>884</v>
      </c>
      <c r="D1083" s="523"/>
      <c r="E1083" s="527" t="s">
        <v>20</v>
      </c>
      <c r="F1083" s="523" t="s">
        <v>2288</v>
      </c>
      <c r="G1083" s="527" t="s">
        <v>184</v>
      </c>
      <c r="H1083" s="590">
        <v>65.36233</v>
      </c>
      <c r="I1083" s="542">
        <v>1</v>
      </c>
      <c r="J1083" s="590">
        <v>65.36233</v>
      </c>
      <c r="K1083" s="590">
        <v>65.36233</v>
      </c>
      <c r="L1083" s="542">
        <v>1</v>
      </c>
      <c r="M1083" s="590">
        <v>65.36233</v>
      </c>
      <c r="N1083" s="6" t="s">
        <v>2291</v>
      </c>
      <c r="O1083" s="530">
        <v>45831</v>
      </c>
      <c r="P1083" s="33" t="str">
        <f>HYPERLINK("https://my.zakupivli.pro/remote/dispatcher/state_purchase_view/60263803", "UA-2025-06-23-000983-a")</f>
        <v>UA-2025-06-23-000983-a</v>
      </c>
      <c r="Q1083" s="529">
        <v>65.36233</v>
      </c>
      <c r="R1083" s="527">
        <v>1</v>
      </c>
      <c r="S1083" s="527">
        <v>65.36233</v>
      </c>
      <c r="T1083" s="528">
        <v>45828</v>
      </c>
      <c r="U1083" s="523"/>
      <c r="V1083" s="527" t="s">
        <v>59</v>
      </c>
    </row>
    <row r="1084" spans="1:22" ht="62.4" x14ac:dyDescent="0.3">
      <c r="A1084" s="529">
        <v>1078</v>
      </c>
      <c r="B1084" s="529" t="s">
        <v>40</v>
      </c>
      <c r="C1084" s="523" t="s">
        <v>884</v>
      </c>
      <c r="D1084" s="523"/>
      <c r="E1084" s="529" t="s">
        <v>20</v>
      </c>
      <c r="F1084" s="523" t="s">
        <v>2292</v>
      </c>
      <c r="G1084" s="529" t="s">
        <v>184</v>
      </c>
      <c r="H1084" s="590">
        <v>323.23500000000001</v>
      </c>
      <c r="I1084" s="529">
        <v>1</v>
      </c>
      <c r="J1084" s="590">
        <v>323.23500000000001</v>
      </c>
      <c r="K1084" s="590">
        <v>323.23500000000001</v>
      </c>
      <c r="L1084" s="529">
        <v>1</v>
      </c>
      <c r="M1084" s="590">
        <v>323.23500000000001</v>
      </c>
      <c r="N1084" s="6" t="s">
        <v>2297</v>
      </c>
      <c r="O1084" s="530">
        <v>45832</v>
      </c>
      <c r="P1084" s="33" t="str">
        <f>HYPERLINK("https://my.zakupivli.pro/remote/dispatcher/state_purchase_view/60294015", "UA-2025-06-24-000612-a")</f>
        <v>UA-2025-06-24-000612-a</v>
      </c>
      <c r="Q1084" s="529">
        <v>323.23500000000001</v>
      </c>
      <c r="R1084" s="529">
        <v>1</v>
      </c>
      <c r="S1084" s="529">
        <v>323.23500000000001</v>
      </c>
      <c r="T1084" s="524">
        <v>45831</v>
      </c>
      <c r="U1084" s="523"/>
      <c r="V1084" s="529" t="s">
        <v>59</v>
      </c>
    </row>
    <row r="1085" spans="1:22" ht="62.4" x14ac:dyDescent="0.3">
      <c r="A1085" s="529">
        <v>1079</v>
      </c>
      <c r="B1085" s="529" t="s">
        <v>40</v>
      </c>
      <c r="C1085" s="529" t="s">
        <v>884</v>
      </c>
      <c r="D1085" s="523"/>
      <c r="E1085" s="529" t="s">
        <v>20</v>
      </c>
      <c r="F1085" s="523" t="s">
        <v>2293</v>
      </c>
      <c r="G1085" s="529" t="s">
        <v>184</v>
      </c>
      <c r="H1085" s="590">
        <v>69.258129999999994</v>
      </c>
      <c r="I1085" s="529">
        <v>1</v>
      </c>
      <c r="J1085" s="590">
        <v>69.258129999999994</v>
      </c>
      <c r="K1085" s="590">
        <v>69.258129999999994</v>
      </c>
      <c r="L1085" s="529">
        <v>1</v>
      </c>
      <c r="M1085" s="590">
        <v>69.258129999999994</v>
      </c>
      <c r="N1085" s="6" t="s">
        <v>2298</v>
      </c>
      <c r="O1085" s="530">
        <v>45832</v>
      </c>
      <c r="P1085" s="33" t="str">
        <f>HYPERLINK("https://my.zakupivli.pro/remote/dispatcher/state_purchase_view/60293760", "UA-2025-06-24-000503-a")</f>
        <v>UA-2025-06-24-000503-a</v>
      </c>
      <c r="Q1085" s="529">
        <v>69.258129999999994</v>
      </c>
      <c r="R1085" s="529">
        <v>1</v>
      </c>
      <c r="S1085" s="529">
        <v>69.258129999999994</v>
      </c>
      <c r="T1085" s="530">
        <v>45828</v>
      </c>
      <c r="U1085" s="523"/>
      <c r="V1085" s="529" t="s">
        <v>59</v>
      </c>
    </row>
    <row r="1086" spans="1:22" ht="62.4" x14ac:dyDescent="0.3">
      <c r="A1086" s="529">
        <v>1080</v>
      </c>
      <c r="B1086" s="529" t="s">
        <v>40</v>
      </c>
      <c r="C1086" s="529" t="s">
        <v>884</v>
      </c>
      <c r="D1086" s="523"/>
      <c r="E1086" s="529" t="s">
        <v>20</v>
      </c>
      <c r="F1086" s="523" t="s">
        <v>2294</v>
      </c>
      <c r="G1086" s="529" t="s">
        <v>184</v>
      </c>
      <c r="H1086" s="590">
        <v>120.95393</v>
      </c>
      <c r="I1086" s="529">
        <v>1</v>
      </c>
      <c r="J1086" s="590">
        <v>120.95393</v>
      </c>
      <c r="K1086" s="590">
        <v>120.95393</v>
      </c>
      <c r="L1086" s="529">
        <v>1</v>
      </c>
      <c r="M1086" s="590">
        <v>120.95393</v>
      </c>
      <c r="N1086" s="6" t="s">
        <v>2299</v>
      </c>
      <c r="O1086" s="530">
        <v>45832</v>
      </c>
      <c r="P1086" s="33" t="str">
        <f>HYPERLINK("https://my.zakupivli.pro/remote/dispatcher/state_purchase_view/60293316", "UA-2025-06-24-000275-a")</f>
        <v>UA-2025-06-24-000275-a</v>
      </c>
      <c r="Q1086" s="529">
        <v>120.95393</v>
      </c>
      <c r="R1086" s="529">
        <v>1</v>
      </c>
      <c r="S1086" s="529">
        <v>120.95393</v>
      </c>
      <c r="T1086" s="530">
        <v>45831</v>
      </c>
      <c r="U1086" s="523"/>
      <c r="V1086" s="529" t="s">
        <v>59</v>
      </c>
    </row>
    <row r="1087" spans="1:22" ht="93.6" x14ac:dyDescent="0.3">
      <c r="A1087" s="529">
        <v>1081</v>
      </c>
      <c r="B1087" s="529" t="s">
        <v>40</v>
      </c>
      <c r="C1087" s="529" t="s">
        <v>884</v>
      </c>
      <c r="D1087" s="523"/>
      <c r="E1087" s="529" t="s">
        <v>20</v>
      </c>
      <c r="F1087" s="523" t="s">
        <v>2295</v>
      </c>
      <c r="G1087" s="529" t="s">
        <v>184</v>
      </c>
      <c r="H1087" s="590">
        <v>105.59719</v>
      </c>
      <c r="I1087" s="529">
        <v>1</v>
      </c>
      <c r="J1087" s="590">
        <v>105.59719</v>
      </c>
      <c r="K1087" s="590">
        <v>105.59719</v>
      </c>
      <c r="L1087" s="529">
        <v>1</v>
      </c>
      <c r="M1087" s="590">
        <v>105.59719</v>
      </c>
      <c r="N1087" s="6" t="s">
        <v>2300</v>
      </c>
      <c r="O1087" s="530">
        <v>45832</v>
      </c>
      <c r="P1087" s="33" t="str">
        <f>HYPERLINK("https://my.zakupivli.pro/remote/dispatcher/state_purchase_view/60293182", "UA-2025-06-24-000229-a")</f>
        <v>UA-2025-06-24-000229-a</v>
      </c>
      <c r="Q1087" s="529">
        <v>105.59719</v>
      </c>
      <c r="R1087" s="529">
        <v>1</v>
      </c>
      <c r="S1087" s="529">
        <v>105.59719</v>
      </c>
      <c r="T1087" s="530">
        <v>45831</v>
      </c>
      <c r="U1087" s="523"/>
      <c r="V1087" s="529" t="s">
        <v>59</v>
      </c>
    </row>
    <row r="1088" spans="1:22" ht="93.6" x14ac:dyDescent="0.3">
      <c r="A1088" s="529">
        <v>1082</v>
      </c>
      <c r="B1088" s="529" t="s">
        <v>40</v>
      </c>
      <c r="C1088" s="529" t="s">
        <v>884</v>
      </c>
      <c r="D1088" s="523"/>
      <c r="E1088" s="529" t="s">
        <v>20</v>
      </c>
      <c r="F1088" s="523" t="s">
        <v>2296</v>
      </c>
      <c r="G1088" s="529" t="s">
        <v>184</v>
      </c>
      <c r="H1088" s="590">
        <v>323.29993999999999</v>
      </c>
      <c r="I1088" s="529">
        <v>1</v>
      </c>
      <c r="J1088" s="590">
        <v>323.29993999999999</v>
      </c>
      <c r="K1088" s="590">
        <v>323.29993999999999</v>
      </c>
      <c r="L1088" s="529">
        <v>1</v>
      </c>
      <c r="M1088" s="590">
        <v>323.29993999999999</v>
      </c>
      <c r="N1088" s="6" t="s">
        <v>2301</v>
      </c>
      <c r="O1088" s="533">
        <v>45832</v>
      </c>
      <c r="P1088" s="33" t="str">
        <f>HYPERLINK("https://my.zakupivli.pro/remote/dispatcher/state_purchase_view/60292907", "UA-2025-06-24-000119-a")</f>
        <v>UA-2025-06-24-000119-a</v>
      </c>
      <c r="Q1088" s="532">
        <v>323.29993999999999</v>
      </c>
      <c r="R1088" s="529">
        <v>1</v>
      </c>
      <c r="S1088" s="529">
        <v>323.29993999999999</v>
      </c>
      <c r="T1088" s="530">
        <v>45831</v>
      </c>
      <c r="U1088" s="523"/>
      <c r="V1088" s="529" t="s">
        <v>59</v>
      </c>
    </row>
    <row r="1089" spans="1:22" ht="62.4" x14ac:dyDescent="0.3">
      <c r="A1089" s="532">
        <v>1083</v>
      </c>
      <c r="B1089" s="532" t="s">
        <v>40</v>
      </c>
      <c r="C1089" s="532" t="s">
        <v>884</v>
      </c>
      <c r="D1089" s="523"/>
      <c r="E1089" s="532" t="s">
        <v>20</v>
      </c>
      <c r="F1089" s="523" t="s">
        <v>2302</v>
      </c>
      <c r="G1089" s="532" t="s">
        <v>184</v>
      </c>
      <c r="H1089" s="590">
        <v>214.89874</v>
      </c>
      <c r="I1089" s="532">
        <v>1</v>
      </c>
      <c r="J1089" s="590">
        <v>214.89874</v>
      </c>
      <c r="K1089" s="590">
        <v>214.89874</v>
      </c>
      <c r="L1089" s="532">
        <v>1</v>
      </c>
      <c r="M1089" s="590">
        <v>214.89874</v>
      </c>
      <c r="N1089" s="6" t="s">
        <v>2305</v>
      </c>
      <c r="O1089" s="533">
        <v>45833</v>
      </c>
      <c r="P1089" s="33" t="str">
        <f>HYPERLINK("https://my.zakupivli.pro/remote/dispatcher/state_purchase_view/60342656", "UA-2025-06-25-008168-a")</f>
        <v>UA-2025-06-25-008168-a</v>
      </c>
      <c r="Q1089" s="532">
        <v>214.89874</v>
      </c>
      <c r="R1089" s="532">
        <v>1</v>
      </c>
      <c r="S1089" s="532">
        <v>214.89874</v>
      </c>
      <c r="T1089" s="533">
        <v>45833</v>
      </c>
      <c r="U1089" s="523"/>
      <c r="V1089" s="532" t="s">
        <v>59</v>
      </c>
    </row>
    <row r="1090" spans="1:22" ht="62.4" x14ac:dyDescent="0.3">
      <c r="A1090" s="532">
        <v>1084</v>
      </c>
      <c r="B1090" s="532" t="s">
        <v>40</v>
      </c>
      <c r="C1090" s="532" t="s">
        <v>884</v>
      </c>
      <c r="D1090" s="523"/>
      <c r="E1090" s="532" t="s">
        <v>20</v>
      </c>
      <c r="F1090" s="523" t="s">
        <v>2303</v>
      </c>
      <c r="G1090" s="532" t="s">
        <v>184</v>
      </c>
      <c r="H1090" s="590">
        <v>323.19218000000001</v>
      </c>
      <c r="I1090" s="532">
        <v>1</v>
      </c>
      <c r="J1090" s="590">
        <v>323.19218000000001</v>
      </c>
      <c r="K1090" s="590">
        <v>323.19218000000001</v>
      </c>
      <c r="L1090" s="532">
        <v>1</v>
      </c>
      <c r="M1090" s="590">
        <v>323.19218000000001</v>
      </c>
      <c r="N1090" s="6" t="s">
        <v>2306</v>
      </c>
      <c r="O1090" s="533">
        <v>45833</v>
      </c>
      <c r="P1090" s="33" t="str">
        <f>HYPERLINK("https://my.zakupivli.pro/remote/dispatcher/state_purchase_view/60341421", "UA-2025-06-25-007605-a")</f>
        <v>UA-2025-06-25-007605-a</v>
      </c>
      <c r="Q1090" s="532">
        <v>323.19218000000001</v>
      </c>
      <c r="R1090" s="532">
        <v>1</v>
      </c>
      <c r="S1090" s="532">
        <v>323.19218000000001</v>
      </c>
      <c r="T1090" s="533">
        <v>45833</v>
      </c>
      <c r="U1090" s="523"/>
      <c r="V1090" s="532" t="s">
        <v>59</v>
      </c>
    </row>
    <row r="1091" spans="1:22" ht="62.4" x14ac:dyDescent="0.3">
      <c r="A1091" s="532">
        <v>1085</v>
      </c>
      <c r="B1091" s="532" t="s">
        <v>40</v>
      </c>
      <c r="C1091" s="523" t="s">
        <v>41</v>
      </c>
      <c r="D1091" s="523"/>
      <c r="E1091" s="532" t="s">
        <v>20</v>
      </c>
      <c r="F1091" s="523" t="s">
        <v>2304</v>
      </c>
      <c r="G1091" s="532" t="s">
        <v>184</v>
      </c>
      <c r="H1091" s="590">
        <v>156.73662999999999</v>
      </c>
      <c r="I1091" s="532">
        <v>1</v>
      </c>
      <c r="J1091" s="590">
        <v>156.73662999999999</v>
      </c>
      <c r="K1091" s="590">
        <v>156.73662999999999</v>
      </c>
      <c r="L1091" s="532">
        <v>1</v>
      </c>
      <c r="M1091" s="590">
        <v>156.73662999999999</v>
      </c>
      <c r="N1091" s="6" t="s">
        <v>2307</v>
      </c>
      <c r="O1091" s="534">
        <v>45833</v>
      </c>
      <c r="P1091" s="33" t="str">
        <f>HYPERLINK("https://my.zakupivli.pro/remote/dispatcher/state_purchase_view/60340885", "UA-2025-06-25-007384-a")</f>
        <v>UA-2025-06-25-007384-a</v>
      </c>
      <c r="Q1091" s="535">
        <v>156.73662999999999</v>
      </c>
      <c r="R1091" s="532">
        <v>1</v>
      </c>
      <c r="S1091" s="532">
        <v>156.73662999999999</v>
      </c>
      <c r="T1091" s="533">
        <v>45833</v>
      </c>
      <c r="U1091" s="523"/>
      <c r="V1091" s="532" t="s">
        <v>59</v>
      </c>
    </row>
    <row r="1092" spans="1:22" ht="93.6" x14ac:dyDescent="0.3">
      <c r="A1092" s="535">
        <v>1086</v>
      </c>
      <c r="B1092" s="535" t="s">
        <v>40</v>
      </c>
      <c r="C1092" s="523" t="s">
        <v>41</v>
      </c>
      <c r="D1092" s="523"/>
      <c r="E1092" s="535" t="s">
        <v>20</v>
      </c>
      <c r="F1092" s="523" t="s">
        <v>2309</v>
      </c>
      <c r="G1092" s="535" t="s">
        <v>184</v>
      </c>
      <c r="H1092" s="590">
        <v>123.88800999999999</v>
      </c>
      <c r="I1092" s="535">
        <v>1</v>
      </c>
      <c r="J1092" s="590">
        <v>123.88800999999999</v>
      </c>
      <c r="K1092" s="590">
        <v>123.88800999999999</v>
      </c>
      <c r="L1092" s="535">
        <v>1</v>
      </c>
      <c r="M1092" s="590">
        <v>123.88800999999999</v>
      </c>
      <c r="N1092" s="6" t="s">
        <v>2308</v>
      </c>
      <c r="O1092" s="537">
        <v>45839</v>
      </c>
      <c r="P1092" s="33" t="str">
        <f>HYPERLINK("https://my.zakupivli.pro/remote/dispatcher/state_purchase_view/60439056", "UA-2025-07-01-003172-a")</f>
        <v>UA-2025-07-01-003172-a</v>
      </c>
      <c r="Q1092" s="536">
        <v>123.88800999999999</v>
      </c>
      <c r="R1092" s="535">
        <v>1</v>
      </c>
      <c r="S1092" s="535">
        <v>123.88800999999999</v>
      </c>
      <c r="T1092" s="534">
        <v>45839</v>
      </c>
      <c r="U1092" s="523"/>
      <c r="V1092" s="535" t="s">
        <v>59</v>
      </c>
    </row>
    <row r="1093" spans="1:22" ht="93.6" x14ac:dyDescent="0.3">
      <c r="A1093" s="536">
        <v>1087</v>
      </c>
      <c r="B1093" s="536" t="s">
        <v>21</v>
      </c>
      <c r="C1093" s="523" t="s">
        <v>183</v>
      </c>
      <c r="D1093" s="523"/>
      <c r="E1093" s="536" t="s">
        <v>88</v>
      </c>
      <c r="F1093" s="523" t="s">
        <v>2310</v>
      </c>
      <c r="G1093" s="523" t="s">
        <v>185</v>
      </c>
      <c r="H1093" s="590"/>
      <c r="I1093" s="523">
        <v>1</v>
      </c>
      <c r="J1093" s="590">
        <v>609.38</v>
      </c>
      <c r="K1093" s="590"/>
      <c r="L1093" s="523">
        <v>1</v>
      </c>
      <c r="M1093" s="590">
        <v>609.38</v>
      </c>
      <c r="N1093" s="6" t="s">
        <v>2311</v>
      </c>
      <c r="O1093" s="539">
        <v>45841</v>
      </c>
      <c r="P1093" s="33" t="str">
        <f>HYPERLINK("https://my.zakupivli.pro/remote/dispatcher/state_purchase_view/60505517", "UA-2025-07-03-006327-a")</f>
        <v>UA-2025-07-03-006327-a</v>
      </c>
      <c r="Q1093" s="560"/>
      <c r="R1093" s="560">
        <v>1</v>
      </c>
      <c r="S1093" s="560">
        <v>609.375</v>
      </c>
      <c r="T1093" s="559">
        <v>45862</v>
      </c>
      <c r="U1093" s="560"/>
      <c r="V1093" s="560"/>
    </row>
    <row r="1094" spans="1:22" ht="62.4" x14ac:dyDescent="0.3">
      <c r="A1094" s="538">
        <v>1088</v>
      </c>
      <c r="B1094" s="538" t="s">
        <v>40</v>
      </c>
      <c r="C1094" s="523" t="s">
        <v>884</v>
      </c>
      <c r="D1094" s="523"/>
      <c r="E1094" s="538" t="s">
        <v>20</v>
      </c>
      <c r="F1094" s="538" t="s">
        <v>2312</v>
      </c>
      <c r="G1094" s="538" t="s">
        <v>184</v>
      </c>
      <c r="H1094" s="590">
        <v>630.56424000000004</v>
      </c>
      <c r="I1094" s="538">
        <v>1</v>
      </c>
      <c r="J1094" s="590">
        <v>630.56424000000004</v>
      </c>
      <c r="K1094" s="590">
        <v>630.56424000000004</v>
      </c>
      <c r="L1094" s="538">
        <v>1</v>
      </c>
      <c r="M1094" s="590">
        <v>630.56424000000004</v>
      </c>
      <c r="N1094" s="6" t="s">
        <v>2316</v>
      </c>
      <c r="O1094" s="539">
        <v>45842</v>
      </c>
      <c r="P1094" s="33" t="str">
        <f>HYPERLINK("https://my.zakupivli.pro/remote/dispatcher/state_purchase_view/60535635", "UA-2025-07-04-006460-a")</f>
        <v>UA-2025-07-04-006460-a</v>
      </c>
      <c r="Q1094" s="538">
        <v>630.56424000000004</v>
      </c>
      <c r="R1094" s="538">
        <v>1</v>
      </c>
      <c r="S1094" s="538">
        <v>630.56424000000004</v>
      </c>
      <c r="T1094" s="524">
        <v>45841</v>
      </c>
      <c r="U1094" s="523"/>
      <c r="V1094" s="538" t="s">
        <v>59</v>
      </c>
    </row>
    <row r="1095" spans="1:22" ht="62.4" x14ac:dyDescent="0.3">
      <c r="A1095" s="538">
        <v>1089</v>
      </c>
      <c r="B1095" s="538" t="s">
        <v>40</v>
      </c>
      <c r="C1095" s="538" t="s">
        <v>884</v>
      </c>
      <c r="D1095" s="523"/>
      <c r="E1095" s="538" t="s">
        <v>20</v>
      </c>
      <c r="F1095" s="538" t="s">
        <v>2313</v>
      </c>
      <c r="G1095" s="538" t="s">
        <v>184</v>
      </c>
      <c r="H1095" s="590">
        <v>509.40688</v>
      </c>
      <c r="I1095" s="538">
        <v>1</v>
      </c>
      <c r="J1095" s="590">
        <v>509.40688</v>
      </c>
      <c r="K1095" s="590">
        <v>509.40688</v>
      </c>
      <c r="L1095" s="538">
        <v>1</v>
      </c>
      <c r="M1095" s="590">
        <v>509.40688</v>
      </c>
      <c r="N1095" s="6" t="s">
        <v>2317</v>
      </c>
      <c r="O1095" s="539">
        <v>45842</v>
      </c>
      <c r="P1095" s="33" t="str">
        <f>HYPERLINK("https://my.zakupivli.pro/remote/dispatcher/state_purchase_view/60535374", "UA-2025-07-04-006294-a")</f>
        <v>UA-2025-07-04-006294-a</v>
      </c>
      <c r="Q1095" s="538">
        <v>509.40688</v>
      </c>
      <c r="R1095" s="538">
        <v>1</v>
      </c>
      <c r="S1095" s="538">
        <v>509.40688</v>
      </c>
      <c r="T1095" s="539">
        <v>45841</v>
      </c>
      <c r="U1095" s="523"/>
      <c r="V1095" s="538" t="s">
        <v>59</v>
      </c>
    </row>
    <row r="1096" spans="1:22" ht="62.4" x14ac:dyDescent="0.3">
      <c r="A1096" s="538">
        <v>1090</v>
      </c>
      <c r="B1096" s="538" t="s">
        <v>40</v>
      </c>
      <c r="C1096" s="523" t="s">
        <v>41</v>
      </c>
      <c r="D1096" s="523"/>
      <c r="E1096" s="538" t="s">
        <v>20</v>
      </c>
      <c r="F1096" s="538" t="s">
        <v>2314</v>
      </c>
      <c r="G1096" s="538" t="s">
        <v>184</v>
      </c>
      <c r="H1096" s="590">
        <v>415.47163</v>
      </c>
      <c r="I1096" s="538">
        <v>1</v>
      </c>
      <c r="J1096" s="590">
        <v>415.47163</v>
      </c>
      <c r="K1096" s="590">
        <v>415.47163</v>
      </c>
      <c r="L1096" s="538">
        <v>1</v>
      </c>
      <c r="M1096" s="590">
        <v>415.47163</v>
      </c>
      <c r="N1096" s="6" t="s">
        <v>2318</v>
      </c>
      <c r="O1096" s="539">
        <v>45842</v>
      </c>
      <c r="P1096" s="33" t="str">
        <f>HYPERLINK("https://my.zakupivli.pro/remote/dispatcher/state_purchase_view/60535125", "UA-2025-07-04-006242-a")</f>
        <v>UA-2025-07-04-006242-a</v>
      </c>
      <c r="Q1096" s="538">
        <v>415.47163</v>
      </c>
      <c r="R1096" s="538">
        <v>1</v>
      </c>
      <c r="S1096" s="538">
        <v>415.47163</v>
      </c>
      <c r="T1096" s="539">
        <v>45841</v>
      </c>
      <c r="U1096" s="523"/>
      <c r="V1096" s="538" t="s">
        <v>59</v>
      </c>
    </row>
    <row r="1097" spans="1:22" ht="62.4" x14ac:dyDescent="0.3">
      <c r="A1097" s="538">
        <v>1091</v>
      </c>
      <c r="B1097" s="538" t="s">
        <v>40</v>
      </c>
      <c r="C1097" s="538" t="s">
        <v>884</v>
      </c>
      <c r="D1097" s="523"/>
      <c r="E1097" s="538" t="s">
        <v>20</v>
      </c>
      <c r="F1097" s="538" t="s">
        <v>2315</v>
      </c>
      <c r="G1097" s="538" t="s">
        <v>184</v>
      </c>
      <c r="H1097" s="590">
        <v>144.30672999999999</v>
      </c>
      <c r="I1097" s="538">
        <v>1</v>
      </c>
      <c r="J1097" s="590">
        <v>144.30672999999999</v>
      </c>
      <c r="K1097" s="590">
        <v>144.30672999999999</v>
      </c>
      <c r="L1097" s="538">
        <v>1</v>
      </c>
      <c r="M1097" s="590">
        <v>144.30672999999999</v>
      </c>
      <c r="N1097" s="6" t="s">
        <v>2319</v>
      </c>
      <c r="O1097" s="541">
        <v>45842</v>
      </c>
      <c r="P1097" s="33" t="str">
        <f>HYPERLINK("https://my.zakupivli.pro/remote/dispatcher/state_purchase_view/60534949", "UA-2025-07-04-006125-a")</f>
        <v>UA-2025-07-04-006125-a</v>
      </c>
      <c r="Q1097" s="540">
        <v>144.30672999999999</v>
      </c>
      <c r="R1097" s="538">
        <v>1</v>
      </c>
      <c r="S1097" s="538">
        <v>144.30672999999999</v>
      </c>
      <c r="T1097" s="539">
        <v>45841</v>
      </c>
      <c r="U1097" s="523"/>
      <c r="V1097" s="538" t="s">
        <v>59</v>
      </c>
    </row>
    <row r="1098" spans="1:22" ht="62.4" x14ac:dyDescent="0.3">
      <c r="A1098" s="540">
        <v>1092</v>
      </c>
      <c r="B1098" s="540" t="s">
        <v>40</v>
      </c>
      <c r="C1098" s="540" t="s">
        <v>884</v>
      </c>
      <c r="D1098" s="523"/>
      <c r="E1098" s="540" t="s">
        <v>20</v>
      </c>
      <c r="F1098" s="523" t="s">
        <v>2320</v>
      </c>
      <c r="G1098" s="540" t="s">
        <v>184</v>
      </c>
      <c r="H1098" s="590">
        <v>947.21605</v>
      </c>
      <c r="I1098" s="540">
        <v>1</v>
      </c>
      <c r="J1098" s="590">
        <v>947.21605</v>
      </c>
      <c r="K1098" s="590">
        <v>947.21605</v>
      </c>
      <c r="L1098" s="540">
        <v>1</v>
      </c>
      <c r="M1098" s="590">
        <v>947.21605</v>
      </c>
      <c r="N1098" s="6" t="s">
        <v>2323</v>
      </c>
      <c r="O1098" s="541">
        <v>45842</v>
      </c>
      <c r="P1098" s="33" t="str">
        <f>HYPERLINK("https://my.zakupivli.pro/remote/dispatcher/state_purchase_view/60540211", "UA-2025-07-04-008474-a")</f>
        <v>UA-2025-07-04-008474-a</v>
      </c>
      <c r="Q1098" s="540">
        <v>947.21605</v>
      </c>
      <c r="R1098" s="540">
        <v>1</v>
      </c>
      <c r="S1098" s="540">
        <v>947.21605</v>
      </c>
      <c r="T1098" s="541">
        <v>45842</v>
      </c>
      <c r="U1098" s="523"/>
      <c r="V1098" s="540" t="s">
        <v>59</v>
      </c>
    </row>
    <row r="1099" spans="1:22" ht="62.4" x14ac:dyDescent="0.3">
      <c r="A1099" s="540">
        <v>1093</v>
      </c>
      <c r="B1099" s="540" t="s">
        <v>40</v>
      </c>
      <c r="C1099" s="540" t="s">
        <v>41</v>
      </c>
      <c r="D1099" s="523"/>
      <c r="E1099" s="540" t="s">
        <v>20</v>
      </c>
      <c r="F1099" s="523" t="s">
        <v>2321</v>
      </c>
      <c r="G1099" s="540" t="s">
        <v>184</v>
      </c>
      <c r="H1099" s="590">
        <v>106.20896999999999</v>
      </c>
      <c r="I1099" s="540">
        <v>1</v>
      </c>
      <c r="J1099" s="590">
        <v>106.20896999999999</v>
      </c>
      <c r="K1099" s="590">
        <v>106.20896999999999</v>
      </c>
      <c r="L1099" s="540">
        <v>1</v>
      </c>
      <c r="M1099" s="590">
        <v>106.20896999999999</v>
      </c>
      <c r="N1099" s="6" t="s">
        <v>2324</v>
      </c>
      <c r="O1099" s="541">
        <v>45842</v>
      </c>
      <c r="P1099" s="33" t="str">
        <f>HYPERLINK("https://my.zakupivli.pro/remote/dispatcher/state_purchase_view/60539749", "UA-2025-07-04-008295-a")</f>
        <v>UA-2025-07-04-008295-a</v>
      </c>
      <c r="Q1099" s="540">
        <v>106.20896999999999</v>
      </c>
      <c r="R1099" s="540">
        <v>1</v>
      </c>
      <c r="S1099" s="540">
        <v>106.20896999999999</v>
      </c>
      <c r="T1099" s="541">
        <v>45842</v>
      </c>
      <c r="U1099" s="523"/>
      <c r="V1099" s="540" t="s">
        <v>59</v>
      </c>
    </row>
    <row r="1100" spans="1:22" ht="62.4" x14ac:dyDescent="0.3">
      <c r="A1100" s="540">
        <v>1094</v>
      </c>
      <c r="B1100" s="540" t="s">
        <v>40</v>
      </c>
      <c r="C1100" s="540" t="s">
        <v>884</v>
      </c>
      <c r="D1100" s="523"/>
      <c r="E1100" s="540" t="s">
        <v>20</v>
      </c>
      <c r="F1100" s="523" t="s">
        <v>2322</v>
      </c>
      <c r="G1100" s="540" t="s">
        <v>184</v>
      </c>
      <c r="H1100" s="590">
        <v>896.16039000000001</v>
      </c>
      <c r="I1100" s="540">
        <v>1</v>
      </c>
      <c r="J1100" s="590">
        <v>896.16039000000001</v>
      </c>
      <c r="K1100" s="590">
        <v>896.16039000000001</v>
      </c>
      <c r="L1100" s="540">
        <v>1</v>
      </c>
      <c r="M1100" s="590">
        <v>896.16039000000001</v>
      </c>
      <c r="N1100" s="6" t="s">
        <v>2325</v>
      </c>
      <c r="O1100" s="543">
        <v>45842</v>
      </c>
      <c r="P1100" s="33" t="str">
        <f>HYPERLINK("https://my.zakupivli.pro/remote/dispatcher/state_purchase_view/60539705", "UA-2025-07-04-008271-a")</f>
        <v>UA-2025-07-04-008271-a</v>
      </c>
      <c r="Q1100" s="542">
        <v>896.16039000000001</v>
      </c>
      <c r="R1100" s="540">
        <v>1</v>
      </c>
      <c r="S1100" s="540">
        <v>896.16039000000001</v>
      </c>
      <c r="T1100" s="541">
        <v>45842</v>
      </c>
      <c r="U1100" s="523"/>
      <c r="V1100" s="540" t="s">
        <v>59</v>
      </c>
    </row>
    <row r="1101" spans="1:22" ht="78" x14ac:dyDescent="0.3">
      <c r="A1101" s="542">
        <v>1095</v>
      </c>
      <c r="B1101" s="542" t="s">
        <v>40</v>
      </c>
      <c r="C1101" s="542" t="s">
        <v>41</v>
      </c>
      <c r="D1101" s="523"/>
      <c r="E1101" s="542" t="s">
        <v>88</v>
      </c>
      <c r="F1101" s="523" t="s">
        <v>2326</v>
      </c>
      <c r="G1101" s="542" t="s">
        <v>184</v>
      </c>
      <c r="H1101" s="590">
        <v>697.25147000000004</v>
      </c>
      <c r="I1101" s="542">
        <v>1</v>
      </c>
      <c r="J1101" s="590">
        <v>697.25147000000004</v>
      </c>
      <c r="K1101" s="590">
        <v>697.25147000000004</v>
      </c>
      <c r="L1101" s="542">
        <v>1</v>
      </c>
      <c r="M1101" s="590">
        <v>697.25147000000004</v>
      </c>
      <c r="N1101" s="6" t="s">
        <v>2328</v>
      </c>
      <c r="O1101" s="543">
        <v>45847</v>
      </c>
      <c r="P1101" s="33" t="str">
        <f>HYPERLINK("https://my.zakupivli.pro/remote/dispatcher/state_purchase_view/60601688", "UA-2025-07-09-000191-a")</f>
        <v>UA-2025-07-09-000191-a</v>
      </c>
      <c r="Q1101" s="557"/>
      <c r="R1101" s="557"/>
      <c r="S1101" s="557"/>
      <c r="T1101" s="558"/>
      <c r="U1101" s="557" t="s">
        <v>1793</v>
      </c>
      <c r="V1101" s="557"/>
    </row>
    <row r="1102" spans="1:22" ht="78" x14ac:dyDescent="0.3">
      <c r="A1102" s="542">
        <v>1096</v>
      </c>
      <c r="B1102" s="542" t="s">
        <v>40</v>
      </c>
      <c r="C1102" s="542" t="s">
        <v>41</v>
      </c>
      <c r="D1102" s="523"/>
      <c r="E1102" s="542" t="s">
        <v>88</v>
      </c>
      <c r="F1102" s="523" t="s">
        <v>2327</v>
      </c>
      <c r="G1102" s="542" t="s">
        <v>184</v>
      </c>
      <c r="H1102" s="590">
        <v>890.91827000000001</v>
      </c>
      <c r="I1102" s="542">
        <v>1</v>
      </c>
      <c r="J1102" s="590">
        <v>890.91827000000001</v>
      </c>
      <c r="K1102" s="590">
        <v>890.91827000000001</v>
      </c>
      <c r="L1102" s="542">
        <v>1</v>
      </c>
      <c r="M1102" s="590">
        <v>890.91827000000001</v>
      </c>
      <c r="N1102" s="6" t="s">
        <v>2329</v>
      </c>
      <c r="O1102" s="545">
        <v>45847</v>
      </c>
      <c r="P1102" s="33" t="str">
        <f>HYPERLINK("https://my.zakupivli.pro/remote/dispatcher/state_purchase_view/60601653", "UA-2025-07-09-000174-a")</f>
        <v>UA-2025-07-09-000174-a</v>
      </c>
      <c r="Q1102" s="557"/>
      <c r="R1102" s="557"/>
      <c r="S1102" s="557"/>
      <c r="T1102" s="558"/>
      <c r="U1102" s="557" t="s">
        <v>1793</v>
      </c>
      <c r="V1102" s="557"/>
    </row>
    <row r="1103" spans="1:22" ht="78" x14ac:dyDescent="0.3">
      <c r="A1103" s="544">
        <v>1097</v>
      </c>
      <c r="B1103" s="544" t="s">
        <v>40</v>
      </c>
      <c r="C1103" s="544" t="s">
        <v>884</v>
      </c>
      <c r="D1103" s="523"/>
      <c r="E1103" s="544" t="s">
        <v>20</v>
      </c>
      <c r="F1103" s="523" t="s">
        <v>2330</v>
      </c>
      <c r="G1103" s="544" t="s">
        <v>184</v>
      </c>
      <c r="H1103" s="590">
        <v>75.106110000000001</v>
      </c>
      <c r="I1103" s="544">
        <v>1</v>
      </c>
      <c r="J1103" s="590">
        <v>75.106110000000001</v>
      </c>
      <c r="K1103" s="590">
        <v>75.106110000000001</v>
      </c>
      <c r="L1103" s="544">
        <v>1</v>
      </c>
      <c r="M1103" s="590">
        <v>75.106110000000001</v>
      </c>
      <c r="N1103" s="6" t="s">
        <v>2333</v>
      </c>
      <c r="O1103" s="545">
        <v>45847</v>
      </c>
      <c r="P1103" s="33" t="str">
        <f>HYPERLINK("https://my.zakupivli.pro/remote/dispatcher/state_purchase_view/60616351", "UA-2025-07-09-006761-a")</f>
        <v>UA-2025-07-09-006761-a</v>
      </c>
      <c r="Q1103" s="544">
        <v>75.106110000000001</v>
      </c>
      <c r="R1103" s="544">
        <v>1</v>
      </c>
      <c r="S1103" s="544">
        <v>75.106110000000001</v>
      </c>
      <c r="T1103" s="545">
        <v>45847</v>
      </c>
      <c r="U1103" s="523"/>
      <c r="V1103" s="544" t="s">
        <v>59</v>
      </c>
    </row>
    <row r="1104" spans="1:22" ht="78" x14ac:dyDescent="0.3">
      <c r="A1104" s="544">
        <v>1098</v>
      </c>
      <c r="B1104" s="544" t="s">
        <v>40</v>
      </c>
      <c r="C1104" s="544" t="s">
        <v>884</v>
      </c>
      <c r="D1104" s="523"/>
      <c r="E1104" s="544" t="s">
        <v>20</v>
      </c>
      <c r="F1104" s="523" t="s">
        <v>2331</v>
      </c>
      <c r="G1104" s="544" t="s">
        <v>184</v>
      </c>
      <c r="H1104" s="590">
        <v>101.82616</v>
      </c>
      <c r="I1104" s="544">
        <v>1</v>
      </c>
      <c r="J1104" s="590">
        <v>101.82616</v>
      </c>
      <c r="K1104" s="590">
        <v>101.82616</v>
      </c>
      <c r="L1104" s="544">
        <v>1</v>
      </c>
      <c r="M1104" s="590">
        <v>101.82616</v>
      </c>
      <c r="N1104" s="6" t="s">
        <v>2334</v>
      </c>
      <c r="O1104" s="545">
        <v>45847</v>
      </c>
      <c r="P1104" s="33" t="str">
        <f>HYPERLINK("https://my.zakupivli.pro/remote/dispatcher/state_purchase_view/60616255", "UA-2025-07-09-006707-a")</f>
        <v>UA-2025-07-09-006707-a</v>
      </c>
      <c r="Q1104" s="544">
        <v>101.82616</v>
      </c>
      <c r="R1104" s="544">
        <v>1</v>
      </c>
      <c r="S1104" s="544">
        <v>101.82616</v>
      </c>
      <c r="T1104" s="545">
        <v>45847</v>
      </c>
      <c r="U1104" s="523"/>
      <c r="V1104" s="544" t="s">
        <v>59</v>
      </c>
    </row>
    <row r="1105" spans="1:22" ht="78" x14ac:dyDescent="0.3">
      <c r="A1105" s="544">
        <v>1099</v>
      </c>
      <c r="B1105" s="544" t="s">
        <v>40</v>
      </c>
      <c r="C1105" s="544" t="s">
        <v>884</v>
      </c>
      <c r="D1105" s="523"/>
      <c r="E1105" s="544" t="s">
        <v>20</v>
      </c>
      <c r="F1105" s="523" t="s">
        <v>2332</v>
      </c>
      <c r="G1105" s="544" t="s">
        <v>184</v>
      </c>
      <c r="H1105" s="590">
        <v>246.63672</v>
      </c>
      <c r="I1105" s="544">
        <v>1</v>
      </c>
      <c r="J1105" s="590">
        <v>246.63672</v>
      </c>
      <c r="K1105" s="590">
        <v>246.63672</v>
      </c>
      <c r="L1105" s="544">
        <v>1</v>
      </c>
      <c r="M1105" s="590">
        <v>246.63672</v>
      </c>
      <c r="N1105" s="6" t="s">
        <v>2335</v>
      </c>
      <c r="O1105" s="547">
        <v>45847</v>
      </c>
      <c r="P1105" s="33" t="str">
        <f>HYPERLINK("https://my.zakupivli.pro/remote/dispatcher/state_purchase_view/60616244", "UA-2025-07-09-006700-a")</f>
        <v>UA-2025-07-09-006700-a</v>
      </c>
      <c r="Q1105" s="548">
        <v>246.63672</v>
      </c>
      <c r="R1105" s="544">
        <v>1</v>
      </c>
      <c r="S1105" s="544">
        <v>246.63672</v>
      </c>
      <c r="T1105" s="545">
        <v>45847</v>
      </c>
      <c r="U1105" s="523"/>
      <c r="V1105" s="544" t="s">
        <v>59</v>
      </c>
    </row>
    <row r="1106" spans="1:22" ht="62.4" x14ac:dyDescent="0.3">
      <c r="A1106" s="548">
        <v>1100</v>
      </c>
      <c r="B1106" s="523" t="s">
        <v>1150</v>
      </c>
      <c r="C1106" s="523" t="s">
        <v>1466</v>
      </c>
      <c r="D1106" s="523"/>
      <c r="E1106" s="548" t="s">
        <v>75</v>
      </c>
      <c r="F1106" s="523" t="s">
        <v>2336</v>
      </c>
      <c r="G1106" s="523" t="s">
        <v>1149</v>
      </c>
      <c r="H1106" s="590">
        <v>99.7</v>
      </c>
      <c r="I1106" s="523">
        <v>1</v>
      </c>
      <c r="J1106" s="590">
        <v>99.7</v>
      </c>
      <c r="K1106" s="590">
        <v>99.7</v>
      </c>
      <c r="L1106" s="523">
        <v>1</v>
      </c>
      <c r="M1106" s="590">
        <v>99.7</v>
      </c>
      <c r="N1106" s="6" t="s">
        <v>2337</v>
      </c>
      <c r="O1106" s="552">
        <v>45848</v>
      </c>
      <c r="P1106" s="33" t="str">
        <f>HYPERLINK("https://my.zakupivli.pro/remote/dispatcher/state_purchase_view/60641481", "UA-2025-07-10-005768-a")</f>
        <v>UA-2025-07-10-005768-a</v>
      </c>
      <c r="Q1106" s="551">
        <v>99.7</v>
      </c>
      <c r="R1106" s="523">
        <v>1</v>
      </c>
      <c r="S1106" s="548">
        <v>99.7</v>
      </c>
      <c r="T1106" s="524">
        <v>45848</v>
      </c>
      <c r="U1106" s="523"/>
      <c r="V1106" s="548" t="s">
        <v>59</v>
      </c>
    </row>
    <row r="1107" spans="1:22" ht="78" x14ac:dyDescent="0.3">
      <c r="A1107" s="551">
        <v>1101</v>
      </c>
      <c r="B1107" s="551" t="s">
        <v>40</v>
      </c>
      <c r="C1107" s="551" t="s">
        <v>884</v>
      </c>
      <c r="D1107" s="523"/>
      <c r="E1107" s="551" t="s">
        <v>20</v>
      </c>
      <c r="F1107" s="523" t="s">
        <v>2345</v>
      </c>
      <c r="G1107" s="551" t="s">
        <v>184</v>
      </c>
      <c r="H1107" s="590">
        <v>300.30211000000003</v>
      </c>
      <c r="I1107" s="523">
        <v>1</v>
      </c>
      <c r="J1107" s="590">
        <v>300.30211000000003</v>
      </c>
      <c r="K1107" s="590">
        <v>300.30211000000003</v>
      </c>
      <c r="L1107" s="523">
        <v>1</v>
      </c>
      <c r="M1107" s="590">
        <v>300.30211000000003</v>
      </c>
      <c r="N1107" s="6" t="s">
        <v>2346</v>
      </c>
      <c r="O1107" s="554">
        <v>45855</v>
      </c>
      <c r="P1107" s="33" t="str">
        <f>HYPERLINK("https://my.zakupivli.pro/remote/dispatcher/state_purchase_view/60773263", "UA-2025-07-17-006467-a")</f>
        <v>UA-2025-07-17-006467-a</v>
      </c>
      <c r="Q1107" s="553">
        <v>300.30211000000003</v>
      </c>
      <c r="R1107" s="523">
        <v>1</v>
      </c>
      <c r="S1107" s="551">
        <v>300.30211000000003</v>
      </c>
      <c r="T1107" s="552">
        <v>45855</v>
      </c>
      <c r="U1107" s="523"/>
      <c r="V1107" s="551" t="s">
        <v>59</v>
      </c>
    </row>
    <row r="1108" spans="1:22" ht="156" x14ac:dyDescent="0.3">
      <c r="A1108" s="553">
        <v>1102</v>
      </c>
      <c r="B1108" s="553" t="s">
        <v>40</v>
      </c>
      <c r="C1108" s="523" t="s">
        <v>517</v>
      </c>
      <c r="D1108" s="523"/>
      <c r="E1108" s="553" t="s">
        <v>20</v>
      </c>
      <c r="F1108" s="523" t="s">
        <v>2347</v>
      </c>
      <c r="G1108" s="553" t="s">
        <v>40</v>
      </c>
      <c r="H1108" s="590">
        <v>1182.9434100000001</v>
      </c>
      <c r="I1108" s="523">
        <v>1</v>
      </c>
      <c r="J1108" s="590">
        <v>1182.9434100000001</v>
      </c>
      <c r="K1108" s="590">
        <v>1182.9434100000001</v>
      </c>
      <c r="L1108" s="523">
        <v>1</v>
      </c>
      <c r="M1108" s="590">
        <v>1182.9434100000001</v>
      </c>
      <c r="N1108" s="6" t="s">
        <v>2348</v>
      </c>
      <c r="O1108" s="556">
        <v>45855</v>
      </c>
      <c r="P1108" s="33" t="str">
        <f>HYPERLINK("https://my.zakupivli.pro/remote/dispatcher/state_purchase_view/60781506", "UA-2025-07-17-010273-a")</f>
        <v>UA-2025-07-17-010273-a</v>
      </c>
      <c r="Q1108" s="555">
        <v>1182.9434100000001</v>
      </c>
      <c r="R1108" s="553">
        <v>1</v>
      </c>
      <c r="S1108" s="553">
        <v>1182.9434100000001</v>
      </c>
      <c r="T1108" s="554">
        <v>45855</v>
      </c>
      <c r="U1108" s="523"/>
      <c r="V1108" s="553" t="s">
        <v>59</v>
      </c>
    </row>
    <row r="1109" spans="1:22" ht="62.4" x14ac:dyDescent="0.3">
      <c r="A1109" s="555">
        <v>1103</v>
      </c>
      <c r="B1109" s="555" t="s">
        <v>40</v>
      </c>
      <c r="C1109" s="555" t="s">
        <v>41</v>
      </c>
      <c r="D1109" s="523"/>
      <c r="E1109" s="555" t="s">
        <v>20</v>
      </c>
      <c r="F1109" s="523" t="s">
        <v>2349</v>
      </c>
      <c r="G1109" s="555" t="s">
        <v>40</v>
      </c>
      <c r="H1109" s="590">
        <v>170.63523000000001</v>
      </c>
      <c r="I1109" s="555">
        <v>1</v>
      </c>
      <c r="J1109" s="590">
        <v>170.63523000000001</v>
      </c>
      <c r="K1109" s="590">
        <v>170.63523000000001</v>
      </c>
      <c r="L1109" s="555">
        <v>1</v>
      </c>
      <c r="M1109" s="590">
        <v>170.63523000000001</v>
      </c>
      <c r="N1109" s="6" t="s">
        <v>2352</v>
      </c>
      <c r="O1109" s="556">
        <v>45860</v>
      </c>
      <c r="P1109" s="33" t="str">
        <f>HYPERLINK("https://my.zakupivli.pro/remote/dispatcher/state_purchase_view/60853228", "UA-2025-07-22-007428-a")</f>
        <v>UA-2025-07-22-007428-a</v>
      </c>
      <c r="Q1109" s="555">
        <v>170.63523000000001</v>
      </c>
      <c r="R1109" s="555">
        <v>1</v>
      </c>
      <c r="S1109" s="555">
        <v>170.63523000000001</v>
      </c>
      <c r="T1109" s="556">
        <v>45860</v>
      </c>
      <c r="U1109" s="523"/>
      <c r="V1109" s="555" t="s">
        <v>59</v>
      </c>
    </row>
    <row r="1110" spans="1:22" ht="62.4" x14ac:dyDescent="0.3">
      <c r="A1110" s="555">
        <v>1104</v>
      </c>
      <c r="B1110" s="555" t="s">
        <v>40</v>
      </c>
      <c r="C1110" s="555" t="s">
        <v>884</v>
      </c>
      <c r="D1110" s="523"/>
      <c r="E1110" s="555" t="s">
        <v>20</v>
      </c>
      <c r="F1110" s="523" t="s">
        <v>2350</v>
      </c>
      <c r="G1110" s="555" t="s">
        <v>40</v>
      </c>
      <c r="H1110" s="590">
        <v>305.76837</v>
      </c>
      <c r="I1110" s="555">
        <v>1</v>
      </c>
      <c r="J1110" s="590">
        <v>305.76837</v>
      </c>
      <c r="K1110" s="590">
        <v>305.76837</v>
      </c>
      <c r="L1110" s="555">
        <v>1</v>
      </c>
      <c r="M1110" s="590">
        <v>305.76837</v>
      </c>
      <c r="N1110" s="6" t="s">
        <v>2353</v>
      </c>
      <c r="O1110" s="556">
        <v>45860</v>
      </c>
      <c r="P1110" s="33" t="str">
        <f>HYPERLINK("https://my.zakupivli.pro/remote/dispatcher/state_purchase_view/60853219", "UA-2025-07-22-007419-a")</f>
        <v>UA-2025-07-22-007419-a</v>
      </c>
      <c r="Q1110" s="555">
        <v>305.76837</v>
      </c>
      <c r="R1110" s="555">
        <v>1</v>
      </c>
      <c r="S1110" s="555">
        <v>305.76837</v>
      </c>
      <c r="T1110" s="556">
        <v>45860</v>
      </c>
      <c r="U1110" s="523"/>
      <c r="V1110" s="555" t="s">
        <v>59</v>
      </c>
    </row>
    <row r="1111" spans="1:22" ht="62.4" x14ac:dyDescent="0.3">
      <c r="A1111" s="555">
        <v>1105</v>
      </c>
      <c r="B1111" s="555" t="s">
        <v>40</v>
      </c>
      <c r="C1111" s="555" t="s">
        <v>884</v>
      </c>
      <c r="D1111" s="523"/>
      <c r="E1111" s="555" t="s">
        <v>20</v>
      </c>
      <c r="F1111" s="523" t="s">
        <v>2351</v>
      </c>
      <c r="G1111" s="555" t="s">
        <v>40</v>
      </c>
      <c r="H1111" s="590">
        <v>201.19290000000001</v>
      </c>
      <c r="I1111" s="555">
        <v>1</v>
      </c>
      <c r="J1111" s="590">
        <v>201.19290000000001</v>
      </c>
      <c r="K1111" s="590">
        <v>201.19290000000001</v>
      </c>
      <c r="L1111" s="555">
        <v>1</v>
      </c>
      <c r="M1111" s="590">
        <v>201.19290000000001</v>
      </c>
      <c r="N1111" s="6" t="s">
        <v>2354</v>
      </c>
      <c r="O1111" s="558">
        <v>45860</v>
      </c>
      <c r="P1111" s="33" t="str">
        <f>HYPERLINK("https://my.zakupivli.pro/remote/dispatcher/state_purchase_view/60852937", "UA-2025-07-22-007339-a")</f>
        <v>UA-2025-07-22-007339-a</v>
      </c>
      <c r="Q1111" s="557">
        <v>201.19290000000001</v>
      </c>
      <c r="R1111" s="555">
        <v>1</v>
      </c>
      <c r="S1111" s="555">
        <v>201.19290000000001</v>
      </c>
      <c r="T1111" s="556">
        <v>45860</v>
      </c>
      <c r="U1111" s="523"/>
      <c r="V1111" s="555" t="s">
        <v>59</v>
      </c>
    </row>
    <row r="1112" spans="1:22" ht="62.4" x14ac:dyDescent="0.3">
      <c r="A1112" s="557">
        <v>1106</v>
      </c>
      <c r="B1112" s="557" t="s">
        <v>40</v>
      </c>
      <c r="C1112" s="557" t="s">
        <v>884</v>
      </c>
      <c r="D1112" s="523"/>
      <c r="E1112" s="557" t="s">
        <v>20</v>
      </c>
      <c r="F1112" s="523" t="s">
        <v>2355</v>
      </c>
      <c r="G1112" s="557" t="s">
        <v>40</v>
      </c>
      <c r="H1112" s="590">
        <v>88.999700000000004</v>
      </c>
      <c r="I1112" s="557">
        <v>1</v>
      </c>
      <c r="J1112" s="590">
        <v>88.999700000000004</v>
      </c>
      <c r="K1112" s="590">
        <v>88.999700000000004</v>
      </c>
      <c r="L1112" s="557">
        <v>1</v>
      </c>
      <c r="M1112" s="590">
        <v>88.999700000000004</v>
      </c>
      <c r="N1112" s="6" t="s">
        <v>2360</v>
      </c>
      <c r="O1112" s="558">
        <v>45862</v>
      </c>
      <c r="P1112" s="33" t="str">
        <f>HYPERLINK("https://my.zakupivli.pro/remote/dispatcher/state_purchase_view/60904735", "UA-2025-07-24-006216-a")</f>
        <v>UA-2025-07-24-006216-a</v>
      </c>
      <c r="Q1112" s="557">
        <v>88.999700000000004</v>
      </c>
      <c r="R1112" s="557">
        <v>1</v>
      </c>
      <c r="S1112" s="557">
        <v>88.999700000000004</v>
      </c>
      <c r="T1112" s="558">
        <v>45862</v>
      </c>
      <c r="U1112" s="523"/>
      <c r="V1112" s="557" t="s">
        <v>59</v>
      </c>
    </row>
    <row r="1113" spans="1:22" ht="62.4" x14ac:dyDescent="0.3">
      <c r="A1113" s="557">
        <v>1107</v>
      </c>
      <c r="B1113" s="557" t="s">
        <v>40</v>
      </c>
      <c r="C1113" s="557" t="s">
        <v>884</v>
      </c>
      <c r="D1113" s="523"/>
      <c r="E1113" s="557" t="s">
        <v>20</v>
      </c>
      <c r="F1113" s="523" t="s">
        <v>2356</v>
      </c>
      <c r="G1113" s="557" t="s">
        <v>40</v>
      </c>
      <c r="H1113" s="590">
        <v>301.32303000000002</v>
      </c>
      <c r="I1113" s="557">
        <v>1</v>
      </c>
      <c r="J1113" s="590">
        <v>301.32303000000002</v>
      </c>
      <c r="K1113" s="590">
        <v>301.32303000000002</v>
      </c>
      <c r="L1113" s="557">
        <v>1</v>
      </c>
      <c r="M1113" s="590">
        <v>301.32303000000002</v>
      </c>
      <c r="N1113" s="6" t="s">
        <v>2361</v>
      </c>
      <c r="O1113" s="558">
        <v>45862</v>
      </c>
      <c r="P1113" s="33" t="str">
        <f>HYPERLINK("https://my.zakupivli.pro/remote/dispatcher/state_purchase_view/60904345", "UA-2025-07-24-006045-a")</f>
        <v>UA-2025-07-24-006045-a</v>
      </c>
      <c r="Q1113" s="557">
        <v>301.32303000000002</v>
      </c>
      <c r="R1113" s="557">
        <v>1</v>
      </c>
      <c r="S1113" s="557">
        <v>301.32303000000002</v>
      </c>
      <c r="T1113" s="558">
        <v>45862</v>
      </c>
      <c r="U1113" s="523"/>
      <c r="V1113" s="557" t="s">
        <v>59</v>
      </c>
    </row>
    <row r="1114" spans="1:22" ht="78" x14ac:dyDescent="0.3">
      <c r="A1114" s="557">
        <v>1108</v>
      </c>
      <c r="B1114" s="557" t="s">
        <v>40</v>
      </c>
      <c r="C1114" s="557" t="s">
        <v>884</v>
      </c>
      <c r="D1114" s="523"/>
      <c r="E1114" s="557" t="s">
        <v>20</v>
      </c>
      <c r="F1114" s="523" t="s">
        <v>2357</v>
      </c>
      <c r="G1114" s="557" t="s">
        <v>40</v>
      </c>
      <c r="H1114" s="590">
        <v>425.29005999999998</v>
      </c>
      <c r="I1114" s="557">
        <v>1</v>
      </c>
      <c r="J1114" s="590">
        <v>425.29005999999998</v>
      </c>
      <c r="K1114" s="590">
        <v>425.29005999999998</v>
      </c>
      <c r="L1114" s="557">
        <v>1</v>
      </c>
      <c r="M1114" s="590">
        <v>425.29005999999998</v>
      </c>
      <c r="N1114" s="6" t="s">
        <v>2362</v>
      </c>
      <c r="O1114" s="558">
        <v>45862</v>
      </c>
      <c r="P1114" s="33" t="str">
        <f>HYPERLINK("https://my.zakupivli.pro/remote/dispatcher/state_purchase_view/60904191", "UA-2025-07-24-005950-a")</f>
        <v>UA-2025-07-24-005950-a</v>
      </c>
      <c r="Q1114" s="557">
        <v>425.29005999999998</v>
      </c>
      <c r="R1114" s="557">
        <v>1</v>
      </c>
      <c r="S1114" s="557">
        <v>425.29005999999998</v>
      </c>
      <c r="T1114" s="558">
        <v>45862</v>
      </c>
      <c r="U1114" s="523"/>
      <c r="V1114" s="557" t="s">
        <v>59</v>
      </c>
    </row>
    <row r="1115" spans="1:22" ht="62.4" x14ac:dyDescent="0.3">
      <c r="A1115" s="557">
        <v>1109</v>
      </c>
      <c r="B1115" s="557" t="s">
        <v>40</v>
      </c>
      <c r="C1115" s="557" t="s">
        <v>884</v>
      </c>
      <c r="D1115" s="523"/>
      <c r="E1115" s="557" t="s">
        <v>20</v>
      </c>
      <c r="F1115" s="523" t="s">
        <v>2358</v>
      </c>
      <c r="G1115" s="557" t="s">
        <v>40</v>
      </c>
      <c r="H1115" s="590">
        <v>531.37986999999998</v>
      </c>
      <c r="I1115" s="557">
        <v>1</v>
      </c>
      <c r="J1115" s="590">
        <v>531.37986999999998</v>
      </c>
      <c r="K1115" s="590">
        <v>531.37986999999998</v>
      </c>
      <c r="L1115" s="557">
        <v>1</v>
      </c>
      <c r="M1115" s="590">
        <v>531.37986999999998</v>
      </c>
      <c r="N1115" s="6" t="s">
        <v>2363</v>
      </c>
      <c r="O1115" s="558">
        <v>45862</v>
      </c>
      <c r="P1115" s="33" t="str">
        <f>HYPERLINK("https://my.zakupivli.pro/remote/dispatcher/state_purchase_view/60904007", "UA-2025-07-24-005897-a")</f>
        <v>UA-2025-07-24-005897-a</v>
      </c>
      <c r="Q1115" s="557">
        <v>531.37986999999998</v>
      </c>
      <c r="R1115" s="557">
        <v>1</v>
      </c>
      <c r="S1115" s="557">
        <v>531.37986999999998</v>
      </c>
      <c r="T1115" s="558">
        <v>45862</v>
      </c>
      <c r="U1115" s="523"/>
      <c r="V1115" s="557" t="s">
        <v>59</v>
      </c>
    </row>
    <row r="1116" spans="1:22" ht="62.4" x14ac:dyDescent="0.3">
      <c r="A1116" s="557">
        <v>1110</v>
      </c>
      <c r="B1116" s="557" t="s">
        <v>40</v>
      </c>
      <c r="C1116" s="523" t="s">
        <v>73</v>
      </c>
      <c r="D1116" s="523"/>
      <c r="E1116" s="557" t="s">
        <v>75</v>
      </c>
      <c r="F1116" s="523" t="s">
        <v>2359</v>
      </c>
      <c r="G1116" s="557" t="s">
        <v>40</v>
      </c>
      <c r="H1116" s="590">
        <v>448.52573999999998</v>
      </c>
      <c r="I1116" s="557">
        <v>1</v>
      </c>
      <c r="J1116" s="590">
        <v>448.52573999999998</v>
      </c>
      <c r="K1116" s="590">
        <v>448.52573999999998</v>
      </c>
      <c r="L1116" s="557">
        <v>1</v>
      </c>
      <c r="M1116" s="590">
        <v>448.52573999999998</v>
      </c>
      <c r="N1116" s="6" t="s">
        <v>2364</v>
      </c>
      <c r="O1116" s="562">
        <v>45862</v>
      </c>
      <c r="P1116" s="33" t="str">
        <f>HYPERLINK("https://my.zakupivli.pro/remote/dispatcher/state_purchase_view/60891328", "UA-2025-07-24-000121-a")</f>
        <v>UA-2025-07-24-000121-a</v>
      </c>
      <c r="Q1116" s="561">
        <v>448.52573999999998</v>
      </c>
      <c r="R1116" s="557">
        <v>1</v>
      </c>
      <c r="S1116" s="557">
        <v>448.52573999999998</v>
      </c>
      <c r="T1116" s="558">
        <v>45861</v>
      </c>
      <c r="U1116" s="523"/>
      <c r="V1116" s="557" t="s">
        <v>59</v>
      </c>
    </row>
    <row r="1117" spans="1:22" ht="62.4" x14ac:dyDescent="0.3">
      <c r="A1117" s="561">
        <v>1111</v>
      </c>
      <c r="B1117" s="561" t="s">
        <v>40</v>
      </c>
      <c r="C1117" s="561" t="s">
        <v>884</v>
      </c>
      <c r="D1117" s="523"/>
      <c r="E1117" s="561" t="s">
        <v>20</v>
      </c>
      <c r="F1117" s="523" t="s">
        <v>2365</v>
      </c>
      <c r="G1117" s="561" t="s">
        <v>40</v>
      </c>
      <c r="H1117" s="590">
        <v>211.64109999999999</v>
      </c>
      <c r="I1117" s="561">
        <v>1</v>
      </c>
      <c r="J1117" s="590">
        <v>211.64109999999999</v>
      </c>
      <c r="K1117" s="590">
        <v>211.64109999999999</v>
      </c>
      <c r="L1117" s="561">
        <v>1</v>
      </c>
      <c r="M1117" s="590">
        <v>211.64109999999999</v>
      </c>
      <c r="N1117" s="6" t="s">
        <v>2368</v>
      </c>
      <c r="O1117" s="562">
        <v>45866</v>
      </c>
      <c r="P1117" s="33" t="str">
        <f>HYPERLINK("https://my.zakupivli.pro/remote/dispatcher/state_purchase_view/60962145", "UA-2025-07-28-009575-a")</f>
        <v>UA-2025-07-28-009575-a</v>
      </c>
      <c r="Q1117" s="561">
        <v>211.64109999999999</v>
      </c>
      <c r="R1117" s="561">
        <v>1</v>
      </c>
      <c r="S1117" s="561">
        <v>211.64109999999999</v>
      </c>
      <c r="T1117" s="562">
        <v>45866</v>
      </c>
      <c r="U1117" s="523"/>
      <c r="V1117" s="561" t="s">
        <v>59</v>
      </c>
    </row>
    <row r="1118" spans="1:22" ht="62.4" x14ac:dyDescent="0.3">
      <c r="A1118" s="561">
        <v>1112</v>
      </c>
      <c r="B1118" s="561" t="s">
        <v>40</v>
      </c>
      <c r="C1118" s="561" t="s">
        <v>884</v>
      </c>
      <c r="D1118" s="523"/>
      <c r="E1118" s="561" t="s">
        <v>20</v>
      </c>
      <c r="F1118" s="523" t="s">
        <v>2366</v>
      </c>
      <c r="G1118" s="561" t="s">
        <v>40</v>
      </c>
      <c r="H1118" s="590">
        <v>392.01067</v>
      </c>
      <c r="I1118" s="561">
        <v>1</v>
      </c>
      <c r="J1118" s="590">
        <v>392.01067</v>
      </c>
      <c r="K1118" s="590">
        <v>392.01067</v>
      </c>
      <c r="L1118" s="561">
        <v>1</v>
      </c>
      <c r="M1118" s="590">
        <v>392.01067</v>
      </c>
      <c r="N1118" s="6" t="s">
        <v>2369</v>
      </c>
      <c r="O1118" s="562">
        <v>45866</v>
      </c>
      <c r="P1118" s="33" t="str">
        <f>HYPERLINK("https://my.zakupivli.pro/remote/dispatcher/state_purchase_view/60961942", "UA-2025-07-28-009442-a")</f>
        <v>UA-2025-07-28-009442-a</v>
      </c>
      <c r="Q1118" s="561">
        <v>392.01067</v>
      </c>
      <c r="R1118" s="561">
        <v>1</v>
      </c>
      <c r="S1118" s="561">
        <v>392.01067</v>
      </c>
      <c r="T1118" s="562">
        <v>45866</v>
      </c>
      <c r="U1118" s="523"/>
      <c r="V1118" s="561" t="s">
        <v>59</v>
      </c>
    </row>
    <row r="1119" spans="1:22" ht="62.4" x14ac:dyDescent="0.3">
      <c r="A1119" s="561">
        <v>1113</v>
      </c>
      <c r="B1119" s="561" t="s">
        <v>40</v>
      </c>
      <c r="C1119" s="561" t="s">
        <v>884</v>
      </c>
      <c r="D1119" s="523"/>
      <c r="E1119" s="561" t="s">
        <v>20</v>
      </c>
      <c r="F1119" s="523" t="s">
        <v>2367</v>
      </c>
      <c r="G1119" s="561" t="s">
        <v>40</v>
      </c>
      <c r="H1119" s="590">
        <v>300.80259000000001</v>
      </c>
      <c r="I1119" s="561">
        <v>1</v>
      </c>
      <c r="J1119" s="590">
        <v>300.80259000000001</v>
      </c>
      <c r="K1119" s="590">
        <v>300.80259000000001</v>
      </c>
      <c r="L1119" s="561">
        <v>1</v>
      </c>
      <c r="M1119" s="590">
        <v>300.80259000000001</v>
      </c>
      <c r="N1119" s="6" t="s">
        <v>2370</v>
      </c>
      <c r="O1119" s="564">
        <v>45866</v>
      </c>
      <c r="P1119" s="33" t="str">
        <f>HYPERLINK("https://my.zakupivli.pro/remote/dispatcher/state_purchase_view/60961667", "UA-2025-07-28-009339-a")</f>
        <v>UA-2025-07-28-009339-a</v>
      </c>
      <c r="Q1119" s="563">
        <v>300.80259000000001</v>
      </c>
      <c r="R1119" s="561">
        <v>1</v>
      </c>
      <c r="S1119" s="561">
        <v>300.80259000000001</v>
      </c>
      <c r="T1119" s="562">
        <v>45866</v>
      </c>
      <c r="U1119" s="523"/>
      <c r="V1119" s="561" t="s">
        <v>59</v>
      </c>
    </row>
    <row r="1120" spans="1:22" ht="62.4" x14ac:dyDescent="0.3">
      <c r="A1120" s="563">
        <v>1114</v>
      </c>
      <c r="B1120" s="563" t="s">
        <v>40</v>
      </c>
      <c r="C1120" s="563" t="s">
        <v>884</v>
      </c>
      <c r="D1120" s="523"/>
      <c r="E1120" s="563" t="s">
        <v>20</v>
      </c>
      <c r="F1120" s="523" t="s">
        <v>2371</v>
      </c>
      <c r="G1120" s="563" t="s">
        <v>40</v>
      </c>
      <c r="H1120" s="590">
        <v>298.61579999999998</v>
      </c>
      <c r="I1120" s="563">
        <v>1</v>
      </c>
      <c r="J1120" s="590">
        <v>298.61579999999998</v>
      </c>
      <c r="K1120" s="590">
        <v>298.61579999999998</v>
      </c>
      <c r="L1120" s="563">
        <v>1</v>
      </c>
      <c r="M1120" s="590">
        <v>298.61579999999998</v>
      </c>
      <c r="N1120" s="6" t="s">
        <v>2375</v>
      </c>
      <c r="O1120" s="564">
        <v>45867</v>
      </c>
      <c r="P1120" s="33" t="str">
        <f>HYPERLINK("https://my.zakupivli.pro/remote/dispatcher/state_purchase_view/60983117", "UA-2025-07-29-008026-a")</f>
        <v>UA-2025-07-29-008026-a</v>
      </c>
      <c r="Q1120" s="563">
        <v>298.61579999999998</v>
      </c>
      <c r="R1120" s="563">
        <v>1</v>
      </c>
      <c r="S1120" s="563">
        <v>298.61579999999998</v>
      </c>
      <c r="T1120" s="524">
        <v>45867</v>
      </c>
      <c r="U1120" s="523"/>
      <c r="V1120" s="563" t="s">
        <v>59</v>
      </c>
    </row>
    <row r="1121" spans="1:22" ht="62.4" x14ac:dyDescent="0.3">
      <c r="A1121" s="563">
        <v>1115</v>
      </c>
      <c r="B1121" s="563" t="s">
        <v>40</v>
      </c>
      <c r="C1121" s="523" t="s">
        <v>41</v>
      </c>
      <c r="D1121" s="523"/>
      <c r="E1121" s="563" t="s">
        <v>20</v>
      </c>
      <c r="F1121" s="523" t="s">
        <v>2372</v>
      </c>
      <c r="G1121" s="563" t="s">
        <v>40</v>
      </c>
      <c r="H1121" s="590">
        <v>47.162419999999997</v>
      </c>
      <c r="I1121" s="563">
        <v>1</v>
      </c>
      <c r="J1121" s="590">
        <v>47.162419999999997</v>
      </c>
      <c r="K1121" s="590">
        <v>47.162419999999997</v>
      </c>
      <c r="L1121" s="563">
        <v>1</v>
      </c>
      <c r="M1121" s="590">
        <v>47.162419999999997</v>
      </c>
      <c r="N1121" s="6" t="s">
        <v>2376</v>
      </c>
      <c r="O1121" s="564">
        <v>45867</v>
      </c>
      <c r="P1121" s="33" t="str">
        <f>HYPERLINK("https://my.zakupivli.pro/remote/dispatcher/state_purchase_view/60973872", "UA-2025-07-29-003807-a")</f>
        <v>UA-2025-07-29-003807-a</v>
      </c>
      <c r="Q1121" s="563">
        <v>47.162419999999997</v>
      </c>
      <c r="R1121" s="563">
        <v>1</v>
      </c>
      <c r="S1121" s="563">
        <v>47.162419999999997</v>
      </c>
      <c r="T1121" s="564">
        <v>45867</v>
      </c>
      <c r="U1121" s="523"/>
      <c r="V1121" s="563" t="s">
        <v>59</v>
      </c>
    </row>
    <row r="1122" spans="1:22" ht="62.4" x14ac:dyDescent="0.3">
      <c r="A1122" s="563">
        <v>1116</v>
      </c>
      <c r="B1122" s="563" t="s">
        <v>40</v>
      </c>
      <c r="C1122" s="563" t="s">
        <v>884</v>
      </c>
      <c r="D1122" s="523"/>
      <c r="E1122" s="563" t="s">
        <v>20</v>
      </c>
      <c r="F1122" s="523" t="s">
        <v>2373</v>
      </c>
      <c r="G1122" s="563" t="s">
        <v>40</v>
      </c>
      <c r="H1122" s="590">
        <v>400.91667999999999</v>
      </c>
      <c r="I1122" s="563">
        <v>1</v>
      </c>
      <c r="J1122" s="590">
        <v>400.91667999999999</v>
      </c>
      <c r="K1122" s="590">
        <v>400.91667999999999</v>
      </c>
      <c r="L1122" s="563">
        <v>1</v>
      </c>
      <c r="M1122" s="590">
        <v>400.91667999999999</v>
      </c>
      <c r="N1122" s="6" t="s">
        <v>2377</v>
      </c>
      <c r="O1122" s="564">
        <v>45867</v>
      </c>
      <c r="P1122" s="33" t="str">
        <f>HYPERLINK("https://my.zakupivli.pro/remote/dispatcher/state_purchase_view/60971624", "UA-2025-07-29-002744-a")</f>
        <v>UA-2025-07-29-002744-a</v>
      </c>
      <c r="Q1122" s="563">
        <v>400.91667999999999</v>
      </c>
      <c r="R1122" s="563">
        <v>1</v>
      </c>
      <c r="S1122" s="563">
        <v>400.91667999999999</v>
      </c>
      <c r="T1122" s="564">
        <v>45867</v>
      </c>
      <c r="U1122" s="523"/>
      <c r="V1122" s="563" t="s">
        <v>59</v>
      </c>
    </row>
    <row r="1123" spans="1:22" ht="62.4" x14ac:dyDescent="0.3">
      <c r="A1123" s="563">
        <v>1117</v>
      </c>
      <c r="B1123" s="563" t="s">
        <v>40</v>
      </c>
      <c r="C1123" s="563" t="s">
        <v>884</v>
      </c>
      <c r="D1123" s="523"/>
      <c r="E1123" s="563" t="s">
        <v>20</v>
      </c>
      <c r="F1123" s="563" t="s">
        <v>2374</v>
      </c>
      <c r="G1123" s="563" t="s">
        <v>40</v>
      </c>
      <c r="H1123" s="590">
        <v>263.78917999999999</v>
      </c>
      <c r="I1123" s="563">
        <v>1</v>
      </c>
      <c r="J1123" s="590">
        <v>263.78917999999999</v>
      </c>
      <c r="K1123" s="590">
        <v>263.78917999999999</v>
      </c>
      <c r="L1123" s="563">
        <v>1</v>
      </c>
      <c r="M1123" s="590">
        <v>263.78917999999999</v>
      </c>
      <c r="N1123" s="6" t="s">
        <v>2378</v>
      </c>
      <c r="O1123" s="566">
        <v>45867</v>
      </c>
      <c r="P1123" s="33" t="str">
        <f>HYPERLINK("https://my.zakupivli.pro/remote/dispatcher/state_purchase_view/60969813", "UA-2025-07-29-001884-a")</f>
        <v>UA-2025-07-29-001884-a</v>
      </c>
      <c r="Q1123" s="565">
        <v>263.78917999999999</v>
      </c>
      <c r="R1123" s="563">
        <v>1</v>
      </c>
      <c r="S1123" s="563">
        <v>263.78917999999999</v>
      </c>
      <c r="T1123" s="564">
        <v>45867</v>
      </c>
      <c r="U1123" s="523"/>
      <c r="V1123" s="563" t="s">
        <v>59</v>
      </c>
    </row>
    <row r="1124" spans="1:22" ht="78" x14ac:dyDescent="0.3">
      <c r="A1124" s="565">
        <v>1118</v>
      </c>
      <c r="B1124" s="565" t="s">
        <v>40</v>
      </c>
      <c r="C1124" s="565" t="s">
        <v>884</v>
      </c>
      <c r="D1124" s="523"/>
      <c r="E1124" s="565" t="s">
        <v>20</v>
      </c>
      <c r="F1124" s="523" t="s">
        <v>2379</v>
      </c>
      <c r="G1124" s="565" t="s">
        <v>40</v>
      </c>
      <c r="H1124" s="590">
        <v>126.76421999999999</v>
      </c>
      <c r="I1124" s="523">
        <v>1</v>
      </c>
      <c r="J1124" s="590">
        <v>126.76421999999999</v>
      </c>
      <c r="K1124" s="590">
        <v>126.76421999999999</v>
      </c>
      <c r="L1124" s="565">
        <v>1</v>
      </c>
      <c r="M1124" s="590">
        <v>126.76421999999999</v>
      </c>
      <c r="N1124" s="6" t="s">
        <v>2382</v>
      </c>
      <c r="O1124" s="566">
        <v>45868</v>
      </c>
      <c r="P1124" s="33" t="str">
        <f>HYPERLINK("https://my.zakupivli.pro/remote/dispatcher/state_purchase_view/61011521", "UA-2025-07-30-009282-a")</f>
        <v>UA-2025-07-30-009282-a</v>
      </c>
      <c r="Q1124" s="565">
        <v>126.76421999999999</v>
      </c>
      <c r="R1124" s="565">
        <v>1</v>
      </c>
      <c r="S1124" s="565">
        <v>126.76421999999999</v>
      </c>
      <c r="T1124" s="524">
        <v>45868</v>
      </c>
      <c r="U1124" s="523"/>
      <c r="V1124" s="565" t="s">
        <v>59</v>
      </c>
    </row>
    <row r="1125" spans="1:22" ht="62.4" x14ac:dyDescent="0.3">
      <c r="A1125" s="565">
        <v>1119</v>
      </c>
      <c r="B1125" s="565" t="s">
        <v>40</v>
      </c>
      <c r="C1125" s="565" t="s">
        <v>41</v>
      </c>
      <c r="D1125" s="523"/>
      <c r="E1125" s="565" t="s">
        <v>20</v>
      </c>
      <c r="F1125" s="523" t="s">
        <v>2380</v>
      </c>
      <c r="G1125" s="565" t="s">
        <v>40</v>
      </c>
      <c r="H1125" s="590">
        <v>82.390910000000005</v>
      </c>
      <c r="I1125" s="523">
        <v>1</v>
      </c>
      <c r="J1125" s="590">
        <v>82.390910000000005</v>
      </c>
      <c r="K1125" s="590">
        <v>82.390910000000005</v>
      </c>
      <c r="L1125" s="565">
        <v>1</v>
      </c>
      <c r="M1125" s="590">
        <v>82.390910000000005</v>
      </c>
      <c r="N1125" s="6" t="s">
        <v>2383</v>
      </c>
      <c r="O1125" s="566">
        <v>45868</v>
      </c>
      <c r="P1125" s="33" t="str">
        <f>HYPERLINK("https://my.zakupivli.pro/remote/dispatcher/state_purchase_view/61011379", "UA-2025-07-30-009195-a")</f>
        <v>UA-2025-07-30-009195-a</v>
      </c>
      <c r="Q1125" s="565">
        <v>82.390910000000005</v>
      </c>
      <c r="R1125" s="565">
        <v>1</v>
      </c>
      <c r="S1125" s="565">
        <v>82.390910000000005</v>
      </c>
      <c r="T1125" s="566">
        <v>45868</v>
      </c>
      <c r="U1125" s="523"/>
      <c r="V1125" s="565" t="s">
        <v>59</v>
      </c>
    </row>
    <row r="1126" spans="1:22" ht="62.4" x14ac:dyDescent="0.3">
      <c r="A1126" s="565">
        <v>1120</v>
      </c>
      <c r="B1126" s="523" t="s">
        <v>21</v>
      </c>
      <c r="C1126" s="523" t="s">
        <v>412</v>
      </c>
      <c r="D1126" s="523"/>
      <c r="E1126" s="565" t="s">
        <v>20</v>
      </c>
      <c r="F1126" s="523" t="s">
        <v>2381</v>
      </c>
      <c r="G1126" s="565" t="s">
        <v>21</v>
      </c>
      <c r="H1126" s="590"/>
      <c r="I1126" s="523">
        <v>10</v>
      </c>
      <c r="J1126" s="590">
        <v>71.656499999999994</v>
      </c>
      <c r="K1126" s="590"/>
      <c r="L1126" s="565">
        <v>10</v>
      </c>
      <c r="M1126" s="590">
        <v>71.656499999999994</v>
      </c>
      <c r="N1126" s="6" t="s">
        <v>2384</v>
      </c>
      <c r="O1126" s="568">
        <v>45868</v>
      </c>
      <c r="P1126" s="33" t="str">
        <f>HYPERLINK("https://my.zakupivli.pro/remote/dispatcher/state_purchase_view/60998951", "UA-2025-07-30-003593-a")</f>
        <v>UA-2025-07-30-003593-a</v>
      </c>
      <c r="Q1126" s="567"/>
      <c r="R1126" s="565">
        <v>10</v>
      </c>
      <c r="S1126" s="565">
        <v>71.656499999999994</v>
      </c>
      <c r="T1126" s="566">
        <v>45868</v>
      </c>
      <c r="U1126" s="523"/>
      <c r="V1126" s="565" t="s">
        <v>59</v>
      </c>
    </row>
    <row r="1127" spans="1:22" ht="62.4" x14ac:dyDescent="0.3">
      <c r="A1127" s="567">
        <v>1121</v>
      </c>
      <c r="B1127" s="567" t="s">
        <v>40</v>
      </c>
      <c r="C1127" s="523" t="s">
        <v>73</v>
      </c>
      <c r="D1127" s="523"/>
      <c r="E1127" s="567" t="s">
        <v>75</v>
      </c>
      <c r="F1127" s="523" t="s">
        <v>2385</v>
      </c>
      <c r="G1127" s="567" t="s">
        <v>40</v>
      </c>
      <c r="H1127" s="590">
        <v>249.3767</v>
      </c>
      <c r="I1127" s="567">
        <v>1</v>
      </c>
      <c r="J1127" s="590">
        <v>249.3767</v>
      </c>
      <c r="K1127" s="590">
        <v>249.3767</v>
      </c>
      <c r="L1127" s="523">
        <v>1</v>
      </c>
      <c r="M1127" s="590">
        <v>249.3767</v>
      </c>
      <c r="N1127" s="6" t="s">
        <v>2386</v>
      </c>
      <c r="O1127" s="570">
        <v>45869</v>
      </c>
      <c r="P1127" s="33" t="str">
        <f>HYPERLINK("https://my.zakupivli.pro/remote/dispatcher/state_purchase_view/61014811", "UA-2025-07-31-000211-a")</f>
        <v>UA-2025-07-31-000211-a</v>
      </c>
      <c r="Q1127" s="569">
        <v>249.3767</v>
      </c>
      <c r="R1127" s="567">
        <v>1</v>
      </c>
      <c r="S1127" s="567">
        <v>249.3767</v>
      </c>
      <c r="T1127" s="568">
        <v>45868</v>
      </c>
      <c r="U1127" s="523"/>
      <c r="V1127" s="567" t="s">
        <v>59</v>
      </c>
    </row>
    <row r="1128" spans="1:22" ht="62.4" x14ac:dyDescent="0.3">
      <c r="A1128" s="569">
        <v>1122</v>
      </c>
      <c r="B1128" s="569" t="s">
        <v>40</v>
      </c>
      <c r="C1128" s="569" t="s">
        <v>884</v>
      </c>
      <c r="D1128" s="523"/>
      <c r="E1128" s="569" t="s">
        <v>20</v>
      </c>
      <c r="F1128" s="523" t="s">
        <v>2387</v>
      </c>
      <c r="G1128" s="569" t="s">
        <v>40</v>
      </c>
      <c r="H1128" s="590">
        <v>692.43578000000002</v>
      </c>
      <c r="I1128" s="569">
        <v>1</v>
      </c>
      <c r="J1128" s="590">
        <v>692.43578000000002</v>
      </c>
      <c r="K1128" s="590">
        <v>692.43578000000002</v>
      </c>
      <c r="L1128" s="569">
        <v>1</v>
      </c>
      <c r="M1128" s="590">
        <v>692.43578000000002</v>
      </c>
      <c r="N1128" s="3" t="s">
        <v>2389</v>
      </c>
      <c r="O1128" s="574">
        <v>45870</v>
      </c>
      <c r="P1128" s="33" t="str">
        <f>HYPERLINK("https://my.zakupivli.pro/remote/dispatcher/state_purchase_view/61050178", "UA-2025-08-01-006413-a")</f>
        <v>UA-2025-08-01-006413-a</v>
      </c>
      <c r="Q1128" s="569">
        <v>692.43578000000002</v>
      </c>
      <c r="R1128" s="569">
        <v>1</v>
      </c>
      <c r="S1128" s="569">
        <v>692.43578000000002</v>
      </c>
      <c r="T1128" s="524">
        <v>45869</v>
      </c>
      <c r="U1128" s="523"/>
      <c r="V1128" s="569" t="s">
        <v>59</v>
      </c>
    </row>
    <row r="1129" spans="1:22" ht="62.4" x14ac:dyDescent="0.3">
      <c r="A1129" s="569">
        <v>1123</v>
      </c>
      <c r="B1129" s="569" t="s">
        <v>40</v>
      </c>
      <c r="C1129" s="569" t="s">
        <v>884</v>
      </c>
      <c r="D1129" s="523"/>
      <c r="E1129" s="569" t="s">
        <v>20</v>
      </c>
      <c r="F1129" s="523" t="s">
        <v>2388</v>
      </c>
      <c r="G1129" s="569" t="s">
        <v>40</v>
      </c>
      <c r="H1129" s="590">
        <v>74.417590000000004</v>
      </c>
      <c r="I1129" s="569">
        <v>1</v>
      </c>
      <c r="J1129" s="590">
        <v>74.417590000000004</v>
      </c>
      <c r="K1129" s="590">
        <v>74.417590000000004</v>
      </c>
      <c r="L1129" s="569">
        <v>1</v>
      </c>
      <c r="M1129" s="590">
        <v>74.417590000000004</v>
      </c>
      <c r="N1129" s="3" t="s">
        <v>2390</v>
      </c>
      <c r="O1129" s="574">
        <v>45870</v>
      </c>
      <c r="P1129" s="33" t="str">
        <f>HYPERLINK("https://my.zakupivli.pro/remote/dispatcher/state_purchase_view/61049183", "UA-2025-08-01-005922-a")</f>
        <v>UA-2025-08-01-005922-a</v>
      </c>
      <c r="Q1129" s="572">
        <v>74.417590000000004</v>
      </c>
      <c r="R1129" s="569">
        <v>1</v>
      </c>
      <c r="S1129" s="569">
        <v>74.417590000000004</v>
      </c>
      <c r="T1129" s="570">
        <v>45870</v>
      </c>
      <c r="U1129" s="523"/>
      <c r="V1129" s="569" t="s">
        <v>59</v>
      </c>
    </row>
    <row r="1130" spans="1:22" ht="62.4" x14ac:dyDescent="0.3">
      <c r="A1130" s="572">
        <v>1124</v>
      </c>
      <c r="B1130" s="572" t="s">
        <v>40</v>
      </c>
      <c r="C1130" s="572" t="s">
        <v>41</v>
      </c>
      <c r="D1130" s="523"/>
      <c r="E1130" s="572" t="s">
        <v>20</v>
      </c>
      <c r="F1130" s="523" t="s">
        <v>2391</v>
      </c>
      <c r="G1130" s="572" t="s">
        <v>40</v>
      </c>
      <c r="H1130" s="590">
        <v>376.76895000000002</v>
      </c>
      <c r="I1130" s="572">
        <v>1</v>
      </c>
      <c r="J1130" s="590">
        <v>376.76895000000002</v>
      </c>
      <c r="K1130" s="590">
        <v>376.76895000000002</v>
      </c>
      <c r="L1130" s="572">
        <v>1</v>
      </c>
      <c r="M1130" s="590">
        <v>376.76895000000002</v>
      </c>
      <c r="N1130" s="3" t="s">
        <v>2392</v>
      </c>
      <c r="O1130" s="574">
        <v>45873</v>
      </c>
      <c r="P1130" s="33" t="str">
        <f>HYPERLINK("https://my.zakupivli.pro/remote/dispatcher/state_purchase_view/61077928", "UA-2025-08-04-007795-a")</f>
        <v>UA-2025-08-04-007795-a</v>
      </c>
      <c r="Q1130" s="572">
        <v>376.76895000000002</v>
      </c>
      <c r="R1130" s="572">
        <v>1</v>
      </c>
      <c r="S1130" s="572">
        <v>376.76895000000002</v>
      </c>
      <c r="T1130" s="571">
        <v>45873</v>
      </c>
      <c r="U1130" s="523"/>
      <c r="V1130" s="572" t="s">
        <v>59</v>
      </c>
    </row>
    <row r="1131" spans="1:22" ht="62.4" x14ac:dyDescent="0.3">
      <c r="A1131" s="573">
        <v>1125</v>
      </c>
      <c r="B1131" s="573" t="s">
        <v>40</v>
      </c>
      <c r="C1131" s="573" t="s">
        <v>884</v>
      </c>
      <c r="D1131" s="523"/>
      <c r="E1131" s="573" t="s">
        <v>20</v>
      </c>
      <c r="F1131" s="523" t="s">
        <v>2393</v>
      </c>
      <c r="G1131" s="573" t="s">
        <v>40</v>
      </c>
      <c r="H1131" s="590">
        <v>313.09586999999999</v>
      </c>
      <c r="I1131" s="573">
        <v>1</v>
      </c>
      <c r="J1131" s="590">
        <v>313.09586999999999</v>
      </c>
      <c r="K1131" s="590">
        <v>313.09586999999999</v>
      </c>
      <c r="L1131" s="573">
        <v>1</v>
      </c>
      <c r="M1131" s="590">
        <v>313.09586999999999</v>
      </c>
      <c r="N1131" s="577" t="s">
        <v>2396</v>
      </c>
      <c r="O1131" s="574">
        <v>45875</v>
      </c>
      <c r="P1131" s="33" t="str">
        <f>HYPERLINK("https://my.zakupivli.pro/remote/dispatcher/state_purchase_view/61130931", "UA-2025-08-06-006869-a")</f>
        <v>UA-2025-08-06-006869-a</v>
      </c>
      <c r="Q1131" s="573">
        <v>313.09586999999999</v>
      </c>
      <c r="R1131" s="573">
        <v>1</v>
      </c>
      <c r="S1131" s="573">
        <v>313.09586999999999</v>
      </c>
      <c r="T1131" s="574">
        <v>45875</v>
      </c>
      <c r="U1131" s="523"/>
      <c r="V1131" s="573" t="s">
        <v>59</v>
      </c>
    </row>
    <row r="1132" spans="1:22" ht="62.4" x14ac:dyDescent="0.3">
      <c r="A1132" s="573">
        <v>1126</v>
      </c>
      <c r="B1132" s="573" t="s">
        <v>40</v>
      </c>
      <c r="C1132" s="573" t="s">
        <v>884</v>
      </c>
      <c r="D1132" s="523"/>
      <c r="E1132" s="573" t="s">
        <v>20</v>
      </c>
      <c r="F1132" s="523" t="s">
        <v>2394</v>
      </c>
      <c r="G1132" s="573" t="s">
        <v>40</v>
      </c>
      <c r="H1132" s="590">
        <v>136.65071</v>
      </c>
      <c r="I1132" s="573">
        <v>1</v>
      </c>
      <c r="J1132" s="590">
        <v>136.65071</v>
      </c>
      <c r="K1132" s="590">
        <v>136.65071</v>
      </c>
      <c r="L1132" s="573">
        <v>1</v>
      </c>
      <c r="M1132" s="590">
        <v>136.65071</v>
      </c>
      <c r="N1132" s="578" t="s">
        <v>2397</v>
      </c>
      <c r="O1132" s="574">
        <v>45875</v>
      </c>
      <c r="P1132" s="33" t="str">
        <f>HYPERLINK("https://my.zakupivli.pro/remote/dispatcher/state_purchase_view/61130826", "UA-2025-08-06-006805-a")</f>
        <v>UA-2025-08-06-006805-a</v>
      </c>
      <c r="Q1132" s="573">
        <v>136.65071</v>
      </c>
      <c r="R1132" s="573">
        <v>1</v>
      </c>
      <c r="S1132" s="573">
        <v>136.65071</v>
      </c>
      <c r="T1132" s="574">
        <v>45875</v>
      </c>
      <c r="U1132" s="523"/>
      <c r="V1132" s="573" t="s">
        <v>59</v>
      </c>
    </row>
    <row r="1133" spans="1:22" ht="62.4" x14ac:dyDescent="0.3">
      <c r="A1133" s="573">
        <v>1127</v>
      </c>
      <c r="B1133" s="573" t="s">
        <v>40</v>
      </c>
      <c r="C1133" s="573" t="s">
        <v>884</v>
      </c>
      <c r="D1133" s="523"/>
      <c r="E1133" s="573" t="s">
        <v>20</v>
      </c>
      <c r="F1133" s="523" t="s">
        <v>2395</v>
      </c>
      <c r="G1133" s="573" t="s">
        <v>40</v>
      </c>
      <c r="H1133" s="590">
        <v>197.73087000000001</v>
      </c>
      <c r="I1133" s="573">
        <v>1</v>
      </c>
      <c r="J1133" s="590">
        <v>197.73087000000001</v>
      </c>
      <c r="K1133" s="590">
        <v>197.73087000000001</v>
      </c>
      <c r="L1133" s="573">
        <v>1</v>
      </c>
      <c r="M1133" s="590">
        <v>197.73087000000001</v>
      </c>
      <c r="N1133" s="578" t="s">
        <v>2398</v>
      </c>
      <c r="O1133" s="576">
        <v>45875</v>
      </c>
      <c r="P1133" s="33" t="str">
        <f>HYPERLINK("https://my.zakupivli.pro/remote/dispatcher/state_purchase_view/61122012", "UA-2025-08-06-002944-a")</f>
        <v>UA-2025-08-06-002944-a</v>
      </c>
      <c r="Q1133" s="575">
        <v>197.73087000000001</v>
      </c>
      <c r="R1133" s="573">
        <v>1</v>
      </c>
      <c r="S1133" s="573">
        <v>197.73087000000001</v>
      </c>
      <c r="T1133" s="574">
        <v>45875</v>
      </c>
      <c r="U1133" s="523"/>
      <c r="V1133" s="573" t="s">
        <v>59</v>
      </c>
    </row>
    <row r="1134" spans="1:22" ht="62.4" x14ac:dyDescent="0.3">
      <c r="A1134" s="575">
        <v>1128</v>
      </c>
      <c r="B1134" s="575" t="s">
        <v>40</v>
      </c>
      <c r="C1134" s="523" t="s">
        <v>884</v>
      </c>
      <c r="D1134" s="523"/>
      <c r="E1134" s="575" t="s">
        <v>20</v>
      </c>
      <c r="F1134" s="523" t="s">
        <v>2399</v>
      </c>
      <c r="G1134" s="575" t="s">
        <v>40</v>
      </c>
      <c r="H1134" s="590">
        <v>189.1266</v>
      </c>
      <c r="I1134" s="575">
        <v>1</v>
      </c>
      <c r="J1134" s="590">
        <v>189.1266</v>
      </c>
      <c r="K1134" s="590">
        <v>189.1266</v>
      </c>
      <c r="L1134" s="575">
        <v>1</v>
      </c>
      <c r="M1134" s="590">
        <v>189.1266</v>
      </c>
      <c r="N1134" s="6" t="s">
        <v>2404</v>
      </c>
      <c r="O1134" s="576">
        <v>45876</v>
      </c>
      <c r="P1134" s="33" t="str">
        <f>HYPERLINK("https://my.zakupivli.pro/remote/dispatcher/state_purchase_view/61158555", "UA-2025-08-07-007040-a")</f>
        <v>UA-2025-08-07-007040-a</v>
      </c>
      <c r="Q1134" s="575">
        <v>189.1266</v>
      </c>
      <c r="R1134" s="575">
        <v>1</v>
      </c>
      <c r="S1134" s="575">
        <v>189.1266</v>
      </c>
      <c r="T1134" s="576">
        <v>45875</v>
      </c>
      <c r="U1134" s="523"/>
      <c r="V1134" s="575" t="s">
        <v>59</v>
      </c>
    </row>
    <row r="1135" spans="1:22" ht="62.4" x14ac:dyDescent="0.3">
      <c r="A1135" s="575">
        <v>1129</v>
      </c>
      <c r="B1135" s="575" t="s">
        <v>40</v>
      </c>
      <c r="C1135" s="523" t="s">
        <v>41</v>
      </c>
      <c r="D1135" s="523"/>
      <c r="E1135" s="575" t="s">
        <v>20</v>
      </c>
      <c r="F1135" s="523" t="s">
        <v>2400</v>
      </c>
      <c r="G1135" s="575" t="s">
        <v>40</v>
      </c>
      <c r="H1135" s="590">
        <v>185.38766000000001</v>
      </c>
      <c r="I1135" s="575">
        <v>1</v>
      </c>
      <c r="J1135" s="590">
        <v>185.38766000000001</v>
      </c>
      <c r="K1135" s="590">
        <v>185.38766000000001</v>
      </c>
      <c r="L1135" s="575">
        <v>1</v>
      </c>
      <c r="M1135" s="590">
        <v>185.38766000000001</v>
      </c>
      <c r="N1135" s="6" t="s">
        <v>2405</v>
      </c>
      <c r="O1135" s="576">
        <v>45876</v>
      </c>
      <c r="P1135" s="33" t="str">
        <f>HYPERLINK("https://my.zakupivli.pro/remote/dispatcher/state_purchase_view/61158360", "UA-2025-08-07-006917-a")</f>
        <v>UA-2025-08-07-006917-a</v>
      </c>
      <c r="Q1135" s="575">
        <v>185.38766000000001</v>
      </c>
      <c r="R1135" s="575">
        <v>1</v>
      </c>
      <c r="S1135" s="575">
        <v>185.38766000000001</v>
      </c>
      <c r="T1135" s="576">
        <v>45875</v>
      </c>
      <c r="U1135" s="523"/>
      <c r="V1135" s="575" t="s">
        <v>59</v>
      </c>
    </row>
    <row r="1136" spans="1:22" ht="62.4" x14ac:dyDescent="0.3">
      <c r="A1136" s="575">
        <v>1130</v>
      </c>
      <c r="B1136" s="575" t="s">
        <v>40</v>
      </c>
      <c r="C1136" s="575" t="s">
        <v>884</v>
      </c>
      <c r="D1136" s="523"/>
      <c r="E1136" s="575" t="s">
        <v>20</v>
      </c>
      <c r="F1136" s="523" t="s">
        <v>2401</v>
      </c>
      <c r="G1136" s="575" t="s">
        <v>40</v>
      </c>
      <c r="H1136" s="590">
        <v>246.82657</v>
      </c>
      <c r="I1136" s="575">
        <v>1</v>
      </c>
      <c r="J1136" s="590">
        <v>246.82657</v>
      </c>
      <c r="K1136" s="590">
        <v>246.82657</v>
      </c>
      <c r="L1136" s="575">
        <v>1</v>
      </c>
      <c r="M1136" s="590">
        <v>246.82657</v>
      </c>
      <c r="N1136" s="6" t="s">
        <v>2406</v>
      </c>
      <c r="O1136" s="576">
        <v>45876</v>
      </c>
      <c r="P1136" s="33" t="str">
        <f>HYPERLINK("https://my.zakupivli.pro/remote/dispatcher/state_purchase_view/61157905", "UA-2025-08-07-006729-a")</f>
        <v>UA-2025-08-07-006729-a</v>
      </c>
      <c r="Q1136" s="575">
        <v>246.82657</v>
      </c>
      <c r="R1136" s="575">
        <v>1</v>
      </c>
      <c r="S1136" s="575">
        <v>246.82657</v>
      </c>
      <c r="T1136" s="576">
        <v>45875</v>
      </c>
      <c r="U1136" s="523"/>
      <c r="V1136" s="575" t="s">
        <v>59</v>
      </c>
    </row>
    <row r="1137" spans="1:22" ht="93.6" x14ac:dyDescent="0.3">
      <c r="A1137" s="575">
        <v>1131</v>
      </c>
      <c r="B1137" s="575" t="s">
        <v>40</v>
      </c>
      <c r="C1137" s="575" t="s">
        <v>884</v>
      </c>
      <c r="D1137" s="523"/>
      <c r="E1137" s="575" t="s">
        <v>20</v>
      </c>
      <c r="F1137" s="523" t="s">
        <v>2402</v>
      </c>
      <c r="G1137" s="575" t="s">
        <v>40</v>
      </c>
      <c r="H1137" s="590">
        <v>1245.2857300000001</v>
      </c>
      <c r="I1137" s="575">
        <v>1</v>
      </c>
      <c r="J1137" s="590">
        <v>1245.2857300000001</v>
      </c>
      <c r="K1137" s="590">
        <v>1245.2857300000001</v>
      </c>
      <c r="L1137" s="575">
        <v>1</v>
      </c>
      <c r="M1137" s="590">
        <v>1245.2857300000001</v>
      </c>
      <c r="N1137" s="6" t="s">
        <v>2407</v>
      </c>
      <c r="O1137" s="576">
        <v>45876</v>
      </c>
      <c r="P1137" s="33" t="str">
        <f>HYPERLINK("https://my.zakupivli.pro/remote/dispatcher/state_purchase_view/61143988", "UA-2025-08-07-000717-a")</f>
        <v>UA-2025-08-07-000717-a</v>
      </c>
      <c r="Q1137" s="575">
        <v>1245.2857300000001</v>
      </c>
      <c r="R1137" s="575">
        <v>1</v>
      </c>
      <c r="S1137" s="575">
        <v>1245.2857300000001</v>
      </c>
      <c r="T1137" s="576">
        <v>45875</v>
      </c>
      <c r="U1137" s="523"/>
      <c r="V1137" s="575" t="s">
        <v>59</v>
      </c>
    </row>
    <row r="1138" spans="1:22" ht="93.6" x14ac:dyDescent="0.3">
      <c r="A1138" s="575">
        <v>1132</v>
      </c>
      <c r="B1138" s="575" t="s">
        <v>40</v>
      </c>
      <c r="C1138" s="575" t="s">
        <v>41</v>
      </c>
      <c r="D1138" s="523"/>
      <c r="E1138" s="575" t="s">
        <v>20</v>
      </c>
      <c r="F1138" s="523" t="s">
        <v>2403</v>
      </c>
      <c r="G1138" s="575" t="s">
        <v>40</v>
      </c>
      <c r="H1138" s="590">
        <v>67.448989999999995</v>
      </c>
      <c r="I1138" s="575">
        <v>1</v>
      </c>
      <c r="J1138" s="590">
        <v>67.448989999999995</v>
      </c>
      <c r="K1138" s="590">
        <v>67.448989999999995</v>
      </c>
      <c r="L1138" s="575">
        <v>1</v>
      </c>
      <c r="M1138" s="590">
        <v>67.448989999999995</v>
      </c>
      <c r="N1138" s="6" t="s">
        <v>2408</v>
      </c>
      <c r="O1138" s="580">
        <v>45876</v>
      </c>
      <c r="P1138" s="33" t="str">
        <f>HYPERLINK("https://my.zakupivli.pro/remote/dispatcher/state_purchase_view/61143872", "UA-2025-08-07-000635-a")</f>
        <v>UA-2025-08-07-000635-a</v>
      </c>
      <c r="Q1138" s="579">
        <v>67.448989999999995</v>
      </c>
      <c r="R1138" s="575">
        <v>1</v>
      </c>
      <c r="S1138" s="575">
        <v>67.448989999999995</v>
      </c>
      <c r="T1138" s="576">
        <v>45875</v>
      </c>
      <c r="U1138" s="523"/>
      <c r="V1138" s="575" t="s">
        <v>59</v>
      </c>
    </row>
    <row r="1139" spans="1:22" ht="62.4" x14ac:dyDescent="0.3">
      <c r="A1139" s="579">
        <v>1133</v>
      </c>
      <c r="B1139" s="579" t="s">
        <v>40</v>
      </c>
      <c r="C1139" s="579" t="s">
        <v>41</v>
      </c>
      <c r="D1139" s="523"/>
      <c r="E1139" s="579" t="s">
        <v>20</v>
      </c>
      <c r="F1139" s="523" t="s">
        <v>2409</v>
      </c>
      <c r="G1139" s="579" t="s">
        <v>40</v>
      </c>
      <c r="H1139" s="590">
        <v>162.08608000000001</v>
      </c>
      <c r="I1139" s="579">
        <v>1</v>
      </c>
      <c r="J1139" s="590">
        <v>162.08608000000001</v>
      </c>
      <c r="K1139" s="590">
        <v>162.08608000000001</v>
      </c>
      <c r="L1139" s="579">
        <v>1</v>
      </c>
      <c r="M1139" s="590">
        <v>162.08608000000001</v>
      </c>
      <c r="N1139" s="6" t="s">
        <v>2410</v>
      </c>
      <c r="O1139" s="582">
        <v>45881</v>
      </c>
      <c r="P1139" s="33" t="str">
        <f>HYPERLINK("https://my.zakupivli.pro/remote/dispatcher/state_purchase_view/61224916", "UA-2025-08-12-000427-a")</f>
        <v>UA-2025-08-12-000427-a</v>
      </c>
      <c r="Q1139" s="581">
        <v>162.08608000000001</v>
      </c>
      <c r="R1139" s="579">
        <v>1</v>
      </c>
      <c r="S1139" s="579">
        <v>162.08608000000001</v>
      </c>
      <c r="T1139" s="524">
        <v>45880</v>
      </c>
      <c r="U1139" s="523"/>
      <c r="V1139" s="579" t="s">
        <v>59</v>
      </c>
    </row>
    <row r="1140" spans="1:22" ht="78" x14ac:dyDescent="0.3">
      <c r="A1140" s="581">
        <v>1134</v>
      </c>
      <c r="B1140" s="581" t="s">
        <v>40</v>
      </c>
      <c r="C1140" s="523" t="s">
        <v>73</v>
      </c>
      <c r="D1140" s="523"/>
      <c r="E1140" s="581" t="s">
        <v>75</v>
      </c>
      <c r="F1140" s="581" t="s">
        <v>2411</v>
      </c>
      <c r="G1140" s="581" t="s">
        <v>40</v>
      </c>
      <c r="H1140" s="590">
        <v>600.84594000000004</v>
      </c>
      <c r="I1140" s="581">
        <v>1</v>
      </c>
      <c r="J1140" s="590">
        <v>600.84594000000004</v>
      </c>
      <c r="K1140" s="590">
        <v>600.84594000000004</v>
      </c>
      <c r="L1140" s="581">
        <v>1</v>
      </c>
      <c r="M1140" s="590">
        <v>600.84594000000004</v>
      </c>
      <c r="N1140" s="6" t="s">
        <v>2414</v>
      </c>
      <c r="O1140" s="582">
        <v>45882</v>
      </c>
      <c r="P1140" s="33" t="str">
        <f>HYPERLINK("https://my.zakupivli.pro/remote/dispatcher/state_purchase_view/61271746", "UA-2025-08-13-008530-a")</f>
        <v>UA-2025-08-13-008530-a</v>
      </c>
      <c r="Q1140" s="581">
        <v>600.84594000000004</v>
      </c>
      <c r="R1140" s="581">
        <v>1</v>
      </c>
      <c r="S1140" s="581">
        <v>600.84594000000004</v>
      </c>
      <c r="T1140" s="524">
        <v>45882</v>
      </c>
      <c r="U1140" s="523"/>
      <c r="V1140" s="581" t="s">
        <v>59</v>
      </c>
    </row>
    <row r="1141" spans="1:22" ht="78" x14ac:dyDescent="0.3">
      <c r="A1141" s="581">
        <v>1135</v>
      </c>
      <c r="B1141" s="581" t="s">
        <v>40</v>
      </c>
      <c r="C1141" s="581" t="s">
        <v>884</v>
      </c>
      <c r="D1141" s="523"/>
      <c r="E1141" s="581" t="s">
        <v>20</v>
      </c>
      <c r="F1141" s="523" t="s">
        <v>2412</v>
      </c>
      <c r="G1141" s="581" t="s">
        <v>40</v>
      </c>
      <c r="H1141" s="590">
        <v>428.56072999999998</v>
      </c>
      <c r="I1141" s="581">
        <v>1</v>
      </c>
      <c r="J1141" s="590">
        <v>428.56072999999998</v>
      </c>
      <c r="K1141" s="590">
        <v>428.56072999999998</v>
      </c>
      <c r="L1141" s="581">
        <v>1</v>
      </c>
      <c r="M1141" s="590">
        <v>428.56072999999998</v>
      </c>
      <c r="N1141" s="6" t="s">
        <v>2415</v>
      </c>
      <c r="O1141" s="582">
        <v>45882</v>
      </c>
      <c r="P1141" s="33" t="str">
        <f>HYPERLINK("https://my.zakupivli.pro/remote/dispatcher/state_purchase_view/61268878", "UA-2025-08-13-007291-a")</f>
        <v>UA-2025-08-13-007291-a</v>
      </c>
      <c r="Q1141" s="581">
        <v>428.56072999999998</v>
      </c>
      <c r="R1141" s="581">
        <v>1</v>
      </c>
      <c r="S1141" s="581">
        <v>428.56072999999998</v>
      </c>
      <c r="T1141" s="582">
        <v>45882</v>
      </c>
      <c r="U1141" s="523"/>
      <c r="V1141" s="581" t="s">
        <v>59</v>
      </c>
    </row>
    <row r="1142" spans="1:22" ht="62.4" x14ac:dyDescent="0.3">
      <c r="A1142" s="581">
        <v>1136</v>
      </c>
      <c r="B1142" s="581" t="s">
        <v>40</v>
      </c>
      <c r="C1142" s="581" t="s">
        <v>41</v>
      </c>
      <c r="D1142" s="523"/>
      <c r="E1142" s="581" t="s">
        <v>20</v>
      </c>
      <c r="F1142" s="523" t="s">
        <v>2413</v>
      </c>
      <c r="G1142" s="581" t="s">
        <v>40</v>
      </c>
      <c r="H1142" s="590">
        <v>79.076059999999998</v>
      </c>
      <c r="I1142" s="581">
        <v>1</v>
      </c>
      <c r="J1142" s="590">
        <v>79.076059999999998</v>
      </c>
      <c r="K1142" s="590">
        <v>79.076059999999998</v>
      </c>
      <c r="L1142" s="581">
        <v>1</v>
      </c>
      <c r="M1142" s="590">
        <v>79.076059999999998</v>
      </c>
      <c r="N1142" s="6" t="s">
        <v>2416</v>
      </c>
      <c r="O1142" s="584">
        <v>45882</v>
      </c>
      <c r="P1142" s="33" t="str">
        <f>HYPERLINK("https://my.zakupivli.pro/remote/dispatcher/state_purchase_view/61268850", "UA-2025-08-13-007263-a")</f>
        <v>UA-2025-08-13-007263-a</v>
      </c>
      <c r="Q1142" s="583">
        <v>79.076059999999998</v>
      </c>
      <c r="R1142" s="581">
        <v>1</v>
      </c>
      <c r="S1142" s="581">
        <v>79.076059999999998</v>
      </c>
      <c r="T1142" s="582">
        <v>45882</v>
      </c>
      <c r="U1142" s="523"/>
      <c r="V1142" s="581" t="s">
        <v>59</v>
      </c>
    </row>
    <row r="1143" spans="1:22" ht="78" x14ac:dyDescent="0.3">
      <c r="A1143" s="583">
        <v>1137</v>
      </c>
      <c r="B1143" s="583" t="s">
        <v>40</v>
      </c>
      <c r="C1143" s="583" t="s">
        <v>73</v>
      </c>
      <c r="D1143" s="523"/>
      <c r="E1143" s="583" t="s">
        <v>75</v>
      </c>
      <c r="F1143" s="523" t="s">
        <v>2417</v>
      </c>
      <c r="G1143" s="583" t="s">
        <v>40</v>
      </c>
      <c r="H1143" s="590">
        <v>208.28203999999999</v>
      </c>
      <c r="I1143" s="583">
        <v>1</v>
      </c>
      <c r="J1143" s="590">
        <v>208.28203999999999</v>
      </c>
      <c r="K1143" s="590">
        <v>208.28203999999999</v>
      </c>
      <c r="L1143" s="583">
        <v>1</v>
      </c>
      <c r="M1143" s="590">
        <v>208.28203999999999</v>
      </c>
      <c r="N1143" s="6" t="s">
        <v>2419</v>
      </c>
      <c r="O1143" s="584">
        <v>45883</v>
      </c>
      <c r="P1143" s="33" t="str">
        <f>HYPERLINK("https://my.zakupivli.pro/remote/dispatcher/state_purchase_view/61302632", "UA-2025-08-14-009960-a")</f>
        <v>UA-2025-08-14-009960-a</v>
      </c>
      <c r="Q1143" s="583">
        <v>208.28203999999999</v>
      </c>
      <c r="R1143" s="583">
        <v>1</v>
      </c>
      <c r="S1143" s="583">
        <v>208.28203999999999</v>
      </c>
      <c r="T1143" s="584">
        <v>45883</v>
      </c>
      <c r="U1143" s="523"/>
      <c r="V1143" s="583" t="s">
        <v>59</v>
      </c>
    </row>
    <row r="1144" spans="1:22" ht="62.4" x14ac:dyDescent="0.3">
      <c r="A1144" s="583">
        <v>1138</v>
      </c>
      <c r="B1144" s="583" t="s">
        <v>40</v>
      </c>
      <c r="C1144" s="583" t="s">
        <v>41</v>
      </c>
      <c r="D1144" s="523"/>
      <c r="E1144" s="583" t="s">
        <v>20</v>
      </c>
      <c r="F1144" s="523" t="s">
        <v>2418</v>
      </c>
      <c r="G1144" s="583" t="s">
        <v>40</v>
      </c>
      <c r="H1144" s="590">
        <v>114.00954</v>
      </c>
      <c r="I1144" s="583">
        <v>1</v>
      </c>
      <c r="J1144" s="590">
        <v>114.00954</v>
      </c>
      <c r="K1144" s="590">
        <v>114.00954</v>
      </c>
      <c r="L1144" s="583">
        <v>1</v>
      </c>
      <c r="M1144" s="590">
        <v>114.00954</v>
      </c>
      <c r="N1144" s="6" t="s">
        <v>2420</v>
      </c>
      <c r="O1144" s="584">
        <v>45883</v>
      </c>
      <c r="P1144" s="33" t="str">
        <f>HYPERLINK("https://my.zakupivli.pro/remote/dispatcher/state_purchase_view/61285293", "UA-2025-08-14-002001-a")</f>
        <v>UA-2025-08-14-002001-a</v>
      </c>
      <c r="Q1144" s="583">
        <v>114.00954</v>
      </c>
      <c r="R1144" s="583">
        <v>1</v>
      </c>
      <c r="S1144" s="583">
        <v>114.00954</v>
      </c>
      <c r="T1144" s="584">
        <v>45883</v>
      </c>
      <c r="U1144" s="523"/>
      <c r="V1144" s="583" t="s">
        <v>59</v>
      </c>
    </row>
    <row r="1145" spans="1:22" ht="62.4" x14ac:dyDescent="0.3">
      <c r="A1145" s="586">
        <v>1139</v>
      </c>
      <c r="B1145" s="523" t="s">
        <v>40</v>
      </c>
      <c r="C1145" s="523" t="s">
        <v>73</v>
      </c>
      <c r="D1145" s="523"/>
      <c r="E1145" s="523" t="s">
        <v>2426</v>
      </c>
      <c r="F1145" s="523" t="s">
        <v>2423</v>
      </c>
      <c r="G1145" s="586" t="s">
        <v>40</v>
      </c>
      <c r="H1145" s="590">
        <v>1303.1409166666667</v>
      </c>
      <c r="I1145" s="586">
        <v>1</v>
      </c>
      <c r="J1145" s="590">
        <v>1303.1409166666667</v>
      </c>
      <c r="K1145" s="590">
        <v>1303.1409166666667</v>
      </c>
      <c r="L1145" s="586">
        <v>1</v>
      </c>
      <c r="M1145" s="590">
        <v>1303.1409166666667</v>
      </c>
      <c r="N1145" s="6" t="s">
        <v>2427</v>
      </c>
      <c r="O1145" s="585">
        <v>45887</v>
      </c>
      <c r="P1145" s="33" t="str">
        <f>HYPERLINK("https://my.zakupivli.pro/remote/dispatcher/state_purchase_view/61349840", "UA-2025-08-18-006435-a")</f>
        <v>UA-2025-08-18-006435-a</v>
      </c>
      <c r="Q1145" s="590">
        <v>1303.1409166666667</v>
      </c>
      <c r="R1145" s="586">
        <v>1</v>
      </c>
      <c r="S1145" s="590">
        <v>1303.1409166666667</v>
      </c>
      <c r="T1145" s="524">
        <v>45887</v>
      </c>
      <c r="U1145" s="523"/>
      <c r="V1145" s="586" t="s">
        <v>59</v>
      </c>
    </row>
    <row r="1146" spans="1:22" ht="62.4" x14ac:dyDescent="0.3">
      <c r="A1146" s="586">
        <v>1140</v>
      </c>
      <c r="B1146" s="523" t="s">
        <v>40</v>
      </c>
      <c r="C1146" s="523" t="s">
        <v>73</v>
      </c>
      <c r="D1146" s="523"/>
      <c r="E1146" s="523" t="s">
        <v>2426</v>
      </c>
      <c r="F1146" s="523" t="s">
        <v>2424</v>
      </c>
      <c r="G1146" s="586" t="s">
        <v>40</v>
      </c>
      <c r="H1146" s="590">
        <v>1603.6755000000003</v>
      </c>
      <c r="I1146" s="586">
        <v>1</v>
      </c>
      <c r="J1146" s="590">
        <v>1603.6755000000003</v>
      </c>
      <c r="K1146" s="590">
        <v>1603.6755000000003</v>
      </c>
      <c r="L1146" s="586">
        <v>1</v>
      </c>
      <c r="M1146" s="590">
        <v>1603.6755000000003</v>
      </c>
      <c r="N1146" s="6" t="s">
        <v>2428</v>
      </c>
      <c r="O1146" s="585">
        <v>45887</v>
      </c>
      <c r="P1146" s="33" t="str">
        <f>HYPERLINK("https://my.zakupivli.pro/remote/dispatcher/state_purchase_view/61348521", "UA-2025-08-18-005825-a")</f>
        <v>UA-2025-08-18-005825-a</v>
      </c>
      <c r="Q1146" s="590">
        <v>1603.6755000000003</v>
      </c>
      <c r="R1146" s="586">
        <v>1</v>
      </c>
      <c r="S1146" s="590">
        <v>1603.6755000000003</v>
      </c>
      <c r="T1146" s="524">
        <v>45887</v>
      </c>
      <c r="U1146" s="523"/>
      <c r="V1146" s="586" t="s">
        <v>59</v>
      </c>
    </row>
    <row r="1147" spans="1:22" ht="62.4" x14ac:dyDescent="0.3">
      <c r="A1147" s="586">
        <v>1141</v>
      </c>
      <c r="B1147" s="523" t="s">
        <v>40</v>
      </c>
      <c r="C1147" s="523" t="s">
        <v>73</v>
      </c>
      <c r="D1147" s="523"/>
      <c r="E1147" s="523" t="s">
        <v>2426</v>
      </c>
      <c r="F1147" s="523" t="s">
        <v>2425</v>
      </c>
      <c r="G1147" s="586" t="s">
        <v>40</v>
      </c>
      <c r="H1147" s="590">
        <v>2430.2316666666666</v>
      </c>
      <c r="I1147" s="586">
        <v>1</v>
      </c>
      <c r="J1147" s="590">
        <v>2430.2316666666666</v>
      </c>
      <c r="K1147" s="590">
        <v>2430.2316666666666</v>
      </c>
      <c r="L1147" s="586">
        <v>1</v>
      </c>
      <c r="M1147" s="590">
        <v>2430.2316666666666</v>
      </c>
      <c r="N1147" s="6" t="s">
        <v>2429</v>
      </c>
      <c r="O1147" s="585">
        <v>45887</v>
      </c>
      <c r="P1147" s="33" t="str">
        <f>HYPERLINK("https://my.zakupivli.pro/remote/dispatcher/state_purchase_view/61345643", "UA-2025-08-18-004442-a")</f>
        <v>UA-2025-08-18-004442-a</v>
      </c>
      <c r="Q1147" s="590">
        <v>2430.2316666666666</v>
      </c>
      <c r="R1147" s="586">
        <v>1</v>
      </c>
      <c r="S1147" s="590">
        <v>2430.2316666666666</v>
      </c>
      <c r="T1147" s="524">
        <v>45887</v>
      </c>
      <c r="U1147" s="523"/>
      <c r="V1147" s="586" t="s">
        <v>59</v>
      </c>
    </row>
    <row r="1148" spans="1:22" ht="62.4" x14ac:dyDescent="0.3">
      <c r="A1148" s="586">
        <v>1142</v>
      </c>
      <c r="B1148" s="523" t="s">
        <v>40</v>
      </c>
      <c r="C1148" s="523" t="s">
        <v>41</v>
      </c>
      <c r="D1148" s="523"/>
      <c r="E1148" s="586" t="s">
        <v>20</v>
      </c>
      <c r="F1148" s="523" t="s">
        <v>2421</v>
      </c>
      <c r="G1148" s="586" t="s">
        <v>40</v>
      </c>
      <c r="H1148" s="590">
        <v>4475.6973333333335</v>
      </c>
      <c r="I1148" s="586">
        <v>1</v>
      </c>
      <c r="J1148" s="590">
        <v>4475.6973333333335</v>
      </c>
      <c r="K1148" s="590">
        <v>4475.6973333333335</v>
      </c>
      <c r="L1148" s="586">
        <v>1</v>
      </c>
      <c r="M1148" s="590">
        <v>4475.6973333333335</v>
      </c>
      <c r="N1148" s="6" t="s">
        <v>2430</v>
      </c>
      <c r="O1148" s="585">
        <v>45890</v>
      </c>
      <c r="P1148" s="33" t="str">
        <f>HYPERLINK("https://my.zakupivli.pro/remote/dispatcher/state_purchase_view/61470402", "UA-2025-08-22-009012-a")</f>
        <v>UA-2025-08-22-009012-a</v>
      </c>
      <c r="Q1148" s="590">
        <v>4475.6973333333335</v>
      </c>
      <c r="R1148" s="586">
        <v>1</v>
      </c>
      <c r="S1148" s="590">
        <v>4475.6973333333335</v>
      </c>
      <c r="T1148" s="524">
        <v>45890</v>
      </c>
      <c r="U1148" s="523"/>
      <c r="V1148" s="586" t="s">
        <v>59</v>
      </c>
    </row>
    <row r="1149" spans="1:22" ht="78" x14ac:dyDescent="0.3">
      <c r="A1149" s="586">
        <v>1143</v>
      </c>
      <c r="B1149" s="523" t="s">
        <v>40</v>
      </c>
      <c r="C1149" s="523" t="s">
        <v>884</v>
      </c>
      <c r="D1149" s="523"/>
      <c r="E1149" s="586" t="s">
        <v>20</v>
      </c>
      <c r="F1149" s="523" t="s">
        <v>2422</v>
      </c>
      <c r="G1149" s="586" t="s">
        <v>40</v>
      </c>
      <c r="H1149" s="590">
        <v>3507.0559166666667</v>
      </c>
      <c r="I1149" s="586">
        <v>1</v>
      </c>
      <c r="J1149" s="590">
        <v>3507.0559166666667</v>
      </c>
      <c r="K1149" s="590">
        <v>3507.0559166666667</v>
      </c>
      <c r="L1149" s="586">
        <v>1</v>
      </c>
      <c r="M1149" s="590">
        <v>3507.0559166666667</v>
      </c>
      <c r="N1149" s="6" t="s">
        <v>2431</v>
      </c>
      <c r="O1149" s="585">
        <v>45890</v>
      </c>
      <c r="P1149" s="33" t="str">
        <f>HYPERLINK("https://my.zakupivli.pro/remote/dispatcher/state_purchase_view/61469452", "UA-2025-08-22-008690-a")</f>
        <v>UA-2025-08-22-008690-a</v>
      </c>
      <c r="Q1149" s="590">
        <v>3507.0559166666667</v>
      </c>
      <c r="R1149" s="586">
        <v>1</v>
      </c>
      <c r="S1149" s="590">
        <v>3507.0559166666667</v>
      </c>
      <c r="T1149" s="524">
        <v>45890</v>
      </c>
      <c r="U1149" s="523"/>
      <c r="V1149" s="586" t="s">
        <v>59</v>
      </c>
    </row>
    <row r="1150" spans="1:22" x14ac:dyDescent="0.3">
      <c r="A1150" s="523"/>
      <c r="B1150" s="523"/>
      <c r="C1150" s="523"/>
      <c r="D1150" s="523"/>
      <c r="E1150" s="523"/>
      <c r="F1150" s="523"/>
      <c r="G1150" s="523"/>
      <c r="H1150" s="590"/>
      <c r="I1150" s="523"/>
      <c r="J1150" s="590"/>
      <c r="K1150" s="590"/>
      <c r="L1150" s="523"/>
      <c r="M1150" s="590"/>
      <c r="N1150" s="523"/>
      <c r="O1150" s="524"/>
      <c r="P1150" s="523"/>
      <c r="Q1150" s="523"/>
      <c r="R1150" s="523"/>
      <c r="S1150" s="523"/>
      <c r="T1150" s="524"/>
      <c r="U1150" s="523"/>
      <c r="V1150" s="523"/>
    </row>
    <row r="1151" spans="1:22" x14ac:dyDescent="0.3">
      <c r="A1151" s="523"/>
      <c r="B1151" s="523"/>
      <c r="C1151" s="523"/>
      <c r="D1151" s="523"/>
      <c r="E1151" s="523"/>
      <c r="F1151" s="523"/>
      <c r="G1151" s="523"/>
      <c r="H1151" s="590"/>
      <c r="I1151" s="523"/>
      <c r="J1151" s="590"/>
      <c r="K1151" s="590"/>
      <c r="L1151" s="523"/>
      <c r="M1151" s="590"/>
      <c r="N1151" s="523"/>
      <c r="O1151" s="524"/>
      <c r="P1151" s="523"/>
      <c r="Q1151" s="523"/>
      <c r="R1151" s="523"/>
      <c r="S1151" s="523"/>
      <c r="T1151" s="524"/>
      <c r="U1151" s="523"/>
      <c r="V1151" s="523"/>
    </row>
    <row r="1152" spans="1:22" x14ac:dyDescent="0.3">
      <c r="A1152" s="523"/>
      <c r="B1152" s="523"/>
      <c r="C1152" s="523"/>
      <c r="D1152" s="523"/>
      <c r="E1152" s="523"/>
      <c r="F1152" s="523"/>
      <c r="G1152" s="523"/>
      <c r="H1152" s="590"/>
      <c r="I1152" s="523"/>
      <c r="J1152" s="590"/>
      <c r="K1152" s="590"/>
      <c r="L1152" s="523"/>
      <c r="M1152" s="590"/>
      <c r="N1152" s="523"/>
      <c r="O1152" s="524"/>
      <c r="P1152" s="523"/>
      <c r="Q1152" s="523"/>
      <c r="R1152" s="523"/>
      <c r="S1152" s="523"/>
      <c r="T1152" s="524"/>
      <c r="U1152" s="523"/>
      <c r="V1152" s="523"/>
    </row>
    <row r="1153" spans="1:22" x14ac:dyDescent="0.3">
      <c r="A1153" s="523"/>
      <c r="B1153" s="523"/>
      <c r="C1153" s="523"/>
      <c r="D1153" s="523"/>
      <c r="E1153" s="523"/>
      <c r="F1153" s="523"/>
      <c r="G1153" s="523"/>
      <c r="H1153" s="590"/>
      <c r="I1153" s="523"/>
      <c r="J1153" s="590"/>
      <c r="K1153" s="590"/>
      <c r="L1153" s="523"/>
      <c r="M1153" s="590"/>
      <c r="N1153" s="523"/>
      <c r="O1153" s="524"/>
      <c r="P1153" s="523"/>
      <c r="Q1153" s="523"/>
      <c r="R1153" s="523"/>
      <c r="S1153" s="523"/>
      <c r="T1153" s="524"/>
      <c r="U1153" s="523"/>
      <c r="V1153" s="523"/>
    </row>
    <row r="1154" spans="1:22" x14ac:dyDescent="0.3">
      <c r="A1154" s="523"/>
      <c r="B1154" s="523"/>
      <c r="C1154" s="523"/>
      <c r="D1154" s="523"/>
      <c r="E1154" s="523"/>
      <c r="F1154" s="523"/>
      <c r="G1154" s="523"/>
      <c r="H1154" s="590"/>
      <c r="I1154" s="523"/>
      <c r="J1154" s="590"/>
      <c r="K1154" s="590"/>
      <c r="L1154" s="523"/>
      <c r="M1154" s="590"/>
      <c r="N1154" s="523"/>
      <c r="O1154" s="524"/>
      <c r="P1154" s="523"/>
      <c r="Q1154" s="523"/>
      <c r="R1154" s="523"/>
      <c r="S1154" s="523"/>
      <c r="T1154" s="524"/>
      <c r="U1154" s="523"/>
      <c r="V1154" s="523"/>
    </row>
    <row r="1155" spans="1:22" x14ac:dyDescent="0.3">
      <c r="A1155" s="523"/>
      <c r="B1155" s="523"/>
      <c r="C1155" s="523"/>
      <c r="D1155" s="523"/>
      <c r="E1155" s="523"/>
      <c r="F1155" s="523"/>
      <c r="G1155" s="523"/>
      <c r="H1155" s="590"/>
      <c r="I1155" s="523"/>
      <c r="J1155" s="590"/>
      <c r="K1155" s="590"/>
      <c r="L1155" s="523"/>
      <c r="M1155" s="590"/>
      <c r="N1155" s="523"/>
      <c r="O1155" s="524"/>
      <c r="P1155" s="523"/>
      <c r="Q1155" s="523"/>
      <c r="R1155" s="523"/>
      <c r="S1155" s="523"/>
      <c r="T1155" s="524"/>
      <c r="U1155" s="523"/>
      <c r="V1155" s="523"/>
    </row>
    <row r="1156" spans="1:22" x14ac:dyDescent="0.3">
      <c r="A1156" s="523"/>
      <c r="B1156" s="523"/>
      <c r="C1156" s="523"/>
      <c r="D1156" s="523"/>
      <c r="E1156" s="523"/>
      <c r="F1156" s="523"/>
      <c r="G1156" s="523"/>
      <c r="H1156" s="590"/>
      <c r="I1156" s="523"/>
      <c r="J1156" s="590"/>
      <c r="K1156" s="590"/>
      <c r="L1156" s="523"/>
      <c r="M1156" s="590"/>
      <c r="N1156" s="523"/>
      <c r="O1156" s="524"/>
      <c r="P1156" s="523"/>
      <c r="Q1156" s="523"/>
      <c r="R1156" s="523"/>
      <c r="S1156" s="523"/>
      <c r="T1156" s="524"/>
      <c r="U1156" s="523"/>
      <c r="V1156" s="523"/>
    </row>
    <row r="1157" spans="1:22" x14ac:dyDescent="0.3">
      <c r="A1157" s="523"/>
      <c r="B1157" s="523"/>
      <c r="C1157" s="523"/>
      <c r="D1157" s="523"/>
      <c r="E1157" s="523"/>
      <c r="F1157" s="523"/>
      <c r="G1157" s="523"/>
      <c r="H1157" s="590"/>
      <c r="I1157" s="523"/>
      <c r="J1157" s="590"/>
      <c r="K1157" s="590"/>
      <c r="L1157" s="523"/>
      <c r="M1157" s="590"/>
      <c r="N1157" s="523"/>
      <c r="O1157" s="524"/>
      <c r="P1157" s="523"/>
      <c r="Q1157" s="523"/>
      <c r="R1157" s="523"/>
      <c r="S1157" s="523"/>
      <c r="T1157" s="524"/>
      <c r="U1157" s="523"/>
      <c r="V1157" s="523"/>
    </row>
    <row r="1158" spans="1:22" x14ac:dyDescent="0.3">
      <c r="A1158" s="523"/>
      <c r="B1158" s="523"/>
      <c r="C1158" s="523"/>
      <c r="D1158" s="523"/>
      <c r="E1158" s="523"/>
      <c r="F1158" s="523"/>
      <c r="G1158" s="523"/>
      <c r="H1158" s="590"/>
      <c r="I1158" s="523"/>
      <c r="J1158" s="590"/>
      <c r="K1158" s="590"/>
      <c r="L1158" s="523"/>
      <c r="M1158" s="590"/>
      <c r="N1158" s="523"/>
      <c r="O1158" s="524"/>
      <c r="P1158" s="523"/>
      <c r="Q1158" s="523"/>
      <c r="R1158" s="523"/>
      <c r="S1158" s="523"/>
      <c r="T1158" s="524"/>
      <c r="U1158" s="523"/>
      <c r="V1158" s="523"/>
    </row>
    <row r="1159" spans="1:22" x14ac:dyDescent="0.3">
      <c r="A1159" s="523"/>
      <c r="B1159" s="523"/>
      <c r="C1159" s="523"/>
      <c r="D1159" s="523"/>
      <c r="E1159" s="523"/>
      <c r="F1159" s="523"/>
      <c r="G1159" s="523"/>
      <c r="H1159" s="590"/>
      <c r="I1159" s="523"/>
      <c r="J1159" s="590"/>
      <c r="K1159" s="590"/>
      <c r="L1159" s="523"/>
      <c r="M1159" s="590"/>
      <c r="N1159" s="523"/>
      <c r="O1159" s="524"/>
      <c r="P1159" s="523"/>
      <c r="Q1159" s="523"/>
      <c r="R1159" s="523"/>
      <c r="S1159" s="523"/>
      <c r="T1159" s="524"/>
      <c r="U1159" s="523"/>
      <c r="V1159" s="523"/>
    </row>
    <row r="1160" spans="1:22" x14ac:dyDescent="0.3">
      <c r="A1160" s="523"/>
      <c r="B1160" s="523"/>
      <c r="C1160" s="523"/>
      <c r="D1160" s="523"/>
      <c r="E1160" s="523"/>
      <c r="F1160" s="523"/>
      <c r="G1160" s="523"/>
      <c r="H1160" s="590"/>
      <c r="I1160" s="523"/>
      <c r="J1160" s="590"/>
      <c r="K1160" s="590"/>
      <c r="L1160" s="523"/>
      <c r="M1160" s="590"/>
      <c r="N1160" s="523"/>
      <c r="O1160" s="524"/>
      <c r="P1160" s="523"/>
      <c r="Q1160" s="523"/>
      <c r="R1160" s="523"/>
      <c r="S1160" s="523"/>
      <c r="T1160" s="524"/>
      <c r="U1160" s="523"/>
      <c r="V1160" s="523"/>
    </row>
    <row r="1161" spans="1:22" x14ac:dyDescent="0.3">
      <c r="A1161" s="523"/>
      <c r="B1161" s="523"/>
      <c r="C1161" s="523"/>
      <c r="D1161" s="523"/>
      <c r="E1161" s="523"/>
      <c r="F1161" s="523"/>
      <c r="G1161" s="523"/>
      <c r="H1161" s="590"/>
      <c r="I1161" s="523"/>
      <c r="J1161" s="590"/>
      <c r="K1161" s="590"/>
      <c r="L1161" s="523"/>
      <c r="M1161" s="590"/>
      <c r="N1161" s="523"/>
      <c r="O1161" s="524"/>
      <c r="P1161" s="523"/>
      <c r="Q1161" s="523"/>
      <c r="R1161" s="523"/>
      <c r="S1161" s="523"/>
      <c r="T1161" s="524"/>
      <c r="U1161" s="523"/>
      <c r="V1161" s="523"/>
    </row>
    <row r="1162" spans="1:22" x14ac:dyDescent="0.3">
      <c r="A1162" s="523"/>
      <c r="B1162" s="523"/>
      <c r="C1162" s="523"/>
      <c r="D1162" s="523"/>
      <c r="E1162" s="523"/>
      <c r="F1162" s="523"/>
      <c r="G1162" s="523"/>
      <c r="H1162" s="590"/>
      <c r="I1162" s="523"/>
      <c r="J1162" s="590"/>
      <c r="K1162" s="590"/>
      <c r="L1162" s="523"/>
      <c r="M1162" s="590"/>
      <c r="N1162" s="523"/>
      <c r="O1162" s="524"/>
      <c r="P1162" s="523"/>
      <c r="Q1162" s="523"/>
      <c r="R1162" s="523"/>
      <c r="S1162" s="523"/>
      <c r="T1162" s="524"/>
      <c r="U1162" s="523"/>
      <c r="V1162" s="523"/>
    </row>
    <row r="1163" spans="1:22" x14ac:dyDescent="0.3">
      <c r="A1163" s="523"/>
      <c r="B1163" s="523"/>
      <c r="C1163" s="523"/>
      <c r="D1163" s="523"/>
      <c r="E1163" s="523"/>
      <c r="F1163" s="523"/>
      <c r="G1163" s="523"/>
      <c r="H1163" s="590"/>
      <c r="I1163" s="523"/>
      <c r="J1163" s="590"/>
      <c r="K1163" s="590"/>
      <c r="L1163" s="523"/>
      <c r="M1163" s="590"/>
      <c r="N1163" s="523"/>
      <c r="O1163" s="524"/>
      <c r="P1163" s="523"/>
      <c r="Q1163" s="523"/>
      <c r="R1163" s="523"/>
      <c r="S1163" s="523"/>
      <c r="T1163" s="524"/>
      <c r="U1163" s="523"/>
      <c r="V1163" s="523"/>
    </row>
    <row r="1164" spans="1:22" x14ac:dyDescent="0.3">
      <c r="A1164" s="523"/>
      <c r="B1164" s="523"/>
      <c r="C1164" s="523"/>
      <c r="D1164" s="523"/>
      <c r="E1164" s="523"/>
      <c r="F1164" s="523"/>
      <c r="G1164" s="523"/>
      <c r="H1164" s="590"/>
      <c r="I1164" s="523"/>
      <c r="J1164" s="590"/>
      <c r="K1164" s="590"/>
      <c r="L1164" s="523"/>
      <c r="M1164" s="590"/>
      <c r="N1164" s="523"/>
      <c r="O1164" s="524"/>
      <c r="P1164" s="523"/>
      <c r="Q1164" s="523"/>
      <c r="R1164" s="523"/>
      <c r="S1164" s="523"/>
      <c r="T1164" s="524"/>
      <c r="U1164" s="523"/>
      <c r="V1164" s="523"/>
    </row>
    <row r="1165" spans="1:22" x14ac:dyDescent="0.3">
      <c r="A1165" s="523"/>
      <c r="B1165" s="523"/>
      <c r="C1165" s="523"/>
      <c r="D1165" s="523"/>
      <c r="E1165" s="523"/>
      <c r="F1165" s="523"/>
      <c r="G1165" s="523"/>
      <c r="H1165" s="590"/>
      <c r="I1165" s="523"/>
      <c r="J1165" s="590"/>
      <c r="K1165" s="590"/>
      <c r="L1165" s="523"/>
      <c r="M1165" s="590"/>
      <c r="N1165" s="523"/>
      <c r="O1165" s="524"/>
      <c r="P1165" s="523"/>
      <c r="Q1165" s="523"/>
      <c r="R1165" s="523"/>
      <c r="S1165" s="523"/>
      <c r="T1165" s="524"/>
      <c r="U1165" s="523"/>
      <c r="V1165" s="523"/>
    </row>
    <row r="1166" spans="1:22" x14ac:dyDescent="0.3">
      <c r="A1166" s="523"/>
      <c r="B1166" s="523"/>
      <c r="C1166" s="523"/>
      <c r="D1166" s="523"/>
      <c r="E1166" s="523"/>
      <c r="F1166" s="523"/>
      <c r="G1166" s="523"/>
      <c r="H1166" s="590"/>
      <c r="I1166" s="523"/>
      <c r="J1166" s="590"/>
      <c r="K1166" s="590"/>
      <c r="L1166" s="523"/>
      <c r="M1166" s="590"/>
      <c r="N1166" s="523"/>
      <c r="O1166" s="524"/>
      <c r="P1166" s="523"/>
      <c r="Q1166" s="523"/>
      <c r="R1166" s="523"/>
      <c r="S1166" s="523"/>
      <c r="T1166" s="524"/>
      <c r="U1166" s="523"/>
      <c r="V1166" s="523"/>
    </row>
    <row r="1167" spans="1:22" x14ac:dyDescent="0.3">
      <c r="A1167" s="523"/>
      <c r="B1167" s="523"/>
      <c r="C1167" s="523"/>
      <c r="D1167" s="523"/>
      <c r="E1167" s="523"/>
      <c r="F1167" s="523"/>
      <c r="G1167" s="523"/>
      <c r="H1167" s="590"/>
      <c r="I1167" s="523"/>
      <c r="J1167" s="590"/>
      <c r="K1167" s="590"/>
      <c r="L1167" s="523"/>
      <c r="M1167" s="590"/>
      <c r="N1167" s="523"/>
      <c r="O1167" s="524"/>
      <c r="P1167" s="523"/>
      <c r="Q1167" s="523"/>
      <c r="R1167" s="523"/>
      <c r="S1167" s="523"/>
      <c r="T1167" s="524"/>
      <c r="U1167" s="523"/>
      <c r="V1167" s="523"/>
    </row>
    <row r="1168" spans="1:22" x14ac:dyDescent="0.3">
      <c r="A1168" s="523"/>
      <c r="B1168" s="523"/>
      <c r="C1168" s="523"/>
      <c r="D1168" s="523"/>
      <c r="E1168" s="523"/>
      <c r="F1168" s="523"/>
      <c r="G1168" s="523"/>
      <c r="H1168" s="590"/>
      <c r="I1168" s="523"/>
      <c r="J1168" s="590"/>
      <c r="K1168" s="590"/>
      <c r="L1168" s="523"/>
      <c r="M1168" s="590"/>
      <c r="N1168" s="523"/>
      <c r="O1168" s="524"/>
      <c r="P1168" s="523"/>
      <c r="Q1168" s="523"/>
      <c r="R1168" s="523"/>
      <c r="S1168" s="523"/>
      <c r="T1168" s="524"/>
      <c r="U1168" s="523"/>
      <c r="V1168" s="523"/>
    </row>
    <row r="1169" spans="1:22" x14ac:dyDescent="0.3">
      <c r="A1169" s="523"/>
      <c r="B1169" s="523"/>
      <c r="C1169" s="523"/>
      <c r="D1169" s="523"/>
      <c r="E1169" s="523"/>
      <c r="F1169" s="523"/>
      <c r="G1169" s="523"/>
      <c r="H1169" s="590"/>
      <c r="I1169" s="523"/>
      <c r="J1169" s="590"/>
      <c r="K1169" s="590"/>
      <c r="L1169" s="523"/>
      <c r="M1169" s="590"/>
      <c r="N1169" s="523"/>
      <c r="O1169" s="524"/>
      <c r="P1169" s="523"/>
      <c r="Q1169" s="523"/>
      <c r="R1169" s="523"/>
      <c r="S1169" s="523"/>
      <c r="T1169" s="524"/>
      <c r="U1169" s="523"/>
      <c r="V1169" s="523"/>
    </row>
    <row r="1170" spans="1:22" x14ac:dyDescent="0.3">
      <c r="A1170" s="523"/>
      <c r="B1170" s="523"/>
      <c r="C1170" s="523"/>
      <c r="D1170" s="523"/>
      <c r="E1170" s="523"/>
      <c r="F1170" s="523"/>
      <c r="G1170" s="523"/>
      <c r="H1170" s="590"/>
      <c r="I1170" s="523"/>
      <c r="J1170" s="590"/>
      <c r="K1170" s="590"/>
      <c r="L1170" s="523"/>
      <c r="M1170" s="590"/>
      <c r="N1170" s="523"/>
      <c r="O1170" s="524"/>
      <c r="P1170" s="523"/>
      <c r="Q1170" s="523"/>
      <c r="R1170" s="523"/>
      <c r="S1170" s="523"/>
      <c r="T1170" s="524"/>
      <c r="U1170" s="523"/>
      <c r="V1170" s="523"/>
    </row>
    <row r="1171" spans="1:22" x14ac:dyDescent="0.3">
      <c r="A1171" s="523"/>
      <c r="B1171" s="523"/>
      <c r="C1171" s="523"/>
      <c r="D1171" s="523"/>
      <c r="E1171" s="523"/>
      <c r="F1171" s="523"/>
      <c r="G1171" s="523"/>
      <c r="H1171" s="590"/>
      <c r="I1171" s="523"/>
      <c r="J1171" s="590"/>
      <c r="K1171" s="590"/>
      <c r="L1171" s="523"/>
      <c r="M1171" s="590"/>
      <c r="N1171" s="523"/>
      <c r="O1171" s="524"/>
      <c r="P1171" s="523"/>
      <c r="Q1171" s="523"/>
      <c r="R1171" s="523"/>
      <c r="S1171" s="523"/>
      <c r="T1171" s="524"/>
      <c r="U1171" s="523"/>
      <c r="V1171" s="523"/>
    </row>
    <row r="1172" spans="1:22" x14ac:dyDescent="0.3">
      <c r="A1172" s="523"/>
      <c r="B1172" s="523"/>
      <c r="C1172" s="523"/>
      <c r="D1172" s="523"/>
      <c r="E1172" s="523"/>
      <c r="F1172" s="523"/>
      <c r="G1172" s="523"/>
      <c r="H1172" s="590"/>
      <c r="I1172" s="523"/>
      <c r="J1172" s="590"/>
      <c r="K1172" s="590"/>
      <c r="L1172" s="523"/>
      <c r="M1172" s="590"/>
      <c r="N1172" s="523"/>
      <c r="O1172" s="524"/>
      <c r="P1172" s="523"/>
      <c r="Q1172" s="523"/>
      <c r="R1172" s="523"/>
      <c r="S1172" s="523"/>
      <c r="T1172" s="524"/>
      <c r="U1172" s="523"/>
      <c r="V1172" s="523"/>
    </row>
    <row r="1173" spans="1:22" x14ac:dyDescent="0.3">
      <c r="A1173" s="523"/>
      <c r="B1173" s="523"/>
      <c r="C1173" s="523"/>
      <c r="D1173" s="523"/>
      <c r="E1173" s="523"/>
      <c r="F1173" s="523"/>
      <c r="G1173" s="523"/>
      <c r="H1173" s="590"/>
      <c r="I1173" s="523"/>
      <c r="J1173" s="590"/>
      <c r="K1173" s="590"/>
      <c r="L1173" s="523"/>
      <c r="M1173" s="590"/>
      <c r="N1173" s="523"/>
      <c r="O1173" s="524"/>
      <c r="P1173" s="523"/>
      <c r="Q1173" s="523"/>
      <c r="R1173" s="523"/>
      <c r="S1173" s="523"/>
      <c r="T1173" s="524"/>
      <c r="U1173" s="523"/>
      <c r="V1173" s="523"/>
    </row>
    <row r="1174" spans="1:22" x14ac:dyDescent="0.3">
      <c r="A1174" s="523"/>
      <c r="B1174" s="523"/>
      <c r="C1174" s="523"/>
      <c r="D1174" s="523"/>
      <c r="E1174" s="523"/>
      <c r="F1174" s="523"/>
      <c r="G1174" s="523"/>
      <c r="H1174" s="590"/>
      <c r="I1174" s="523"/>
      <c r="J1174" s="590"/>
      <c r="K1174" s="590"/>
      <c r="L1174" s="523"/>
      <c r="M1174" s="590"/>
      <c r="N1174" s="523"/>
      <c r="O1174" s="524"/>
      <c r="P1174" s="523"/>
      <c r="Q1174" s="523"/>
      <c r="R1174" s="523"/>
      <c r="S1174" s="523"/>
      <c r="T1174" s="524"/>
      <c r="U1174" s="523"/>
      <c r="V1174" s="523"/>
    </row>
    <row r="1175" spans="1:22" x14ac:dyDescent="0.3">
      <c r="A1175" s="523"/>
      <c r="B1175" s="523"/>
      <c r="C1175" s="523"/>
      <c r="D1175" s="523"/>
      <c r="E1175" s="523"/>
      <c r="F1175" s="523"/>
      <c r="G1175" s="523"/>
      <c r="H1175" s="590"/>
      <c r="I1175" s="523"/>
      <c r="J1175" s="590"/>
      <c r="K1175" s="590"/>
      <c r="L1175" s="523"/>
      <c r="M1175" s="590"/>
      <c r="N1175" s="523"/>
      <c r="O1175" s="524"/>
      <c r="P1175" s="523"/>
      <c r="Q1175" s="523"/>
      <c r="R1175" s="523"/>
      <c r="S1175" s="523"/>
      <c r="T1175" s="524"/>
      <c r="U1175" s="523"/>
      <c r="V1175" s="523"/>
    </row>
    <row r="1176" spans="1:22" x14ac:dyDescent="0.3">
      <c r="A1176" s="523"/>
      <c r="B1176" s="523"/>
      <c r="C1176" s="523"/>
      <c r="D1176" s="523"/>
      <c r="E1176" s="523"/>
      <c r="F1176" s="523"/>
      <c r="G1176" s="523"/>
      <c r="H1176" s="590"/>
      <c r="I1176" s="523"/>
      <c r="J1176" s="590"/>
      <c r="K1176" s="590"/>
      <c r="L1176" s="523"/>
      <c r="M1176" s="590"/>
      <c r="N1176" s="523"/>
      <c r="O1176" s="524"/>
      <c r="P1176" s="523"/>
      <c r="Q1176" s="523"/>
      <c r="R1176" s="523"/>
      <c r="S1176" s="523"/>
      <c r="T1176" s="524"/>
      <c r="U1176" s="523"/>
      <c r="V1176" s="523"/>
    </row>
    <row r="1177" spans="1:22" x14ac:dyDescent="0.3">
      <c r="A1177" s="523"/>
      <c r="B1177" s="523"/>
      <c r="C1177" s="523"/>
      <c r="D1177" s="523"/>
      <c r="E1177" s="523"/>
      <c r="F1177" s="523"/>
      <c r="G1177" s="523"/>
      <c r="H1177" s="590"/>
      <c r="I1177" s="523"/>
      <c r="J1177" s="590"/>
      <c r="K1177" s="590"/>
      <c r="L1177" s="523"/>
      <c r="M1177" s="590"/>
      <c r="N1177" s="523"/>
      <c r="O1177" s="524"/>
      <c r="P1177" s="523"/>
      <c r="Q1177" s="523"/>
      <c r="R1177" s="523"/>
      <c r="S1177" s="523"/>
      <c r="T1177" s="524"/>
      <c r="U1177" s="523"/>
      <c r="V1177" s="523"/>
    </row>
    <row r="1178" spans="1:22" x14ac:dyDescent="0.3">
      <c r="A1178" s="523"/>
      <c r="B1178" s="523"/>
      <c r="C1178" s="523"/>
      <c r="D1178" s="523"/>
      <c r="E1178" s="523"/>
      <c r="F1178" s="523"/>
      <c r="G1178" s="523"/>
      <c r="H1178" s="590"/>
      <c r="I1178" s="523"/>
      <c r="J1178" s="590"/>
      <c r="K1178" s="590"/>
      <c r="L1178" s="523"/>
      <c r="M1178" s="590"/>
      <c r="N1178" s="523"/>
      <c r="O1178" s="524"/>
      <c r="P1178" s="523"/>
      <c r="Q1178" s="523"/>
      <c r="R1178" s="523"/>
      <c r="S1178" s="523"/>
      <c r="T1178" s="524"/>
      <c r="U1178" s="523"/>
      <c r="V1178" s="523"/>
    </row>
    <row r="1179" spans="1:22" x14ac:dyDescent="0.3">
      <c r="A1179" s="523"/>
      <c r="B1179" s="523"/>
      <c r="C1179" s="523"/>
      <c r="D1179" s="523"/>
      <c r="E1179" s="523"/>
      <c r="F1179" s="523"/>
      <c r="G1179" s="523"/>
      <c r="H1179" s="590"/>
      <c r="I1179" s="523"/>
      <c r="J1179" s="590"/>
      <c r="K1179" s="590"/>
      <c r="L1179" s="523"/>
      <c r="M1179" s="590"/>
      <c r="N1179" s="523"/>
      <c r="O1179" s="524"/>
      <c r="P1179" s="523"/>
      <c r="Q1179" s="523"/>
      <c r="R1179" s="523"/>
      <c r="S1179" s="523"/>
      <c r="T1179" s="524"/>
      <c r="U1179" s="523"/>
      <c r="V1179" s="523"/>
    </row>
    <row r="1180" spans="1:22" x14ac:dyDescent="0.3">
      <c r="A1180" s="523"/>
      <c r="B1180" s="523"/>
      <c r="C1180" s="523"/>
      <c r="D1180" s="523"/>
      <c r="E1180" s="523"/>
      <c r="F1180" s="523"/>
      <c r="G1180" s="523"/>
      <c r="H1180" s="590"/>
      <c r="I1180" s="523"/>
      <c r="J1180" s="590"/>
      <c r="K1180" s="590"/>
      <c r="L1180" s="523"/>
      <c r="M1180" s="590"/>
      <c r="N1180" s="523"/>
      <c r="O1180" s="524"/>
      <c r="P1180" s="523"/>
      <c r="Q1180" s="523"/>
      <c r="R1180" s="523"/>
      <c r="S1180" s="523"/>
      <c r="T1180" s="524"/>
      <c r="U1180" s="523"/>
      <c r="V1180" s="523"/>
    </row>
    <row r="1181" spans="1:22" x14ac:dyDescent="0.3">
      <c r="A1181" s="523"/>
      <c r="B1181" s="523"/>
      <c r="C1181" s="523"/>
      <c r="D1181" s="523"/>
      <c r="E1181" s="523"/>
      <c r="F1181" s="523"/>
      <c r="G1181" s="523"/>
      <c r="H1181" s="590"/>
      <c r="I1181" s="523"/>
      <c r="J1181" s="590"/>
      <c r="K1181" s="590"/>
      <c r="L1181" s="523"/>
      <c r="M1181" s="590"/>
      <c r="N1181" s="523"/>
      <c r="O1181" s="524"/>
      <c r="P1181" s="523"/>
      <c r="Q1181" s="523"/>
      <c r="R1181" s="523"/>
      <c r="S1181" s="523"/>
      <c r="T1181" s="524"/>
      <c r="U1181" s="523"/>
      <c r="V1181" s="523"/>
    </row>
    <row r="1182" spans="1:22" x14ac:dyDescent="0.3">
      <c r="A1182" s="523"/>
      <c r="B1182" s="523"/>
      <c r="C1182" s="523"/>
      <c r="D1182" s="523"/>
      <c r="E1182" s="523"/>
      <c r="F1182" s="523"/>
      <c r="G1182" s="523"/>
      <c r="H1182" s="590"/>
      <c r="I1182" s="523"/>
      <c r="J1182" s="590"/>
      <c r="K1182" s="590"/>
      <c r="L1182" s="523"/>
      <c r="M1182" s="590"/>
      <c r="N1182" s="523"/>
      <c r="O1182" s="524"/>
      <c r="P1182" s="523"/>
      <c r="Q1182" s="523"/>
      <c r="R1182" s="523"/>
      <c r="S1182" s="523"/>
      <c r="T1182" s="524"/>
      <c r="U1182" s="523"/>
      <c r="V1182" s="523"/>
    </row>
    <row r="1183" spans="1:22" x14ac:dyDescent="0.3">
      <c r="A1183" s="523"/>
      <c r="B1183" s="523"/>
      <c r="C1183" s="523"/>
      <c r="D1183" s="523"/>
      <c r="E1183" s="523"/>
      <c r="F1183" s="523"/>
      <c r="G1183" s="523"/>
      <c r="H1183" s="590"/>
      <c r="I1183" s="523"/>
      <c r="J1183" s="590"/>
      <c r="K1183" s="590"/>
      <c r="L1183" s="523"/>
      <c r="M1183" s="590"/>
      <c r="N1183" s="523"/>
      <c r="O1183" s="524"/>
      <c r="P1183" s="523"/>
      <c r="Q1183" s="523"/>
      <c r="R1183" s="523"/>
      <c r="S1183" s="523"/>
      <c r="T1183" s="524"/>
      <c r="U1183" s="523"/>
      <c r="V1183" s="523"/>
    </row>
    <row r="1184" spans="1:22" x14ac:dyDescent="0.3">
      <c r="A1184" s="523"/>
      <c r="B1184" s="523"/>
      <c r="C1184" s="523"/>
      <c r="D1184" s="523"/>
      <c r="E1184" s="523"/>
      <c r="F1184" s="523"/>
      <c r="G1184" s="523"/>
      <c r="H1184" s="590"/>
      <c r="I1184" s="523"/>
      <c r="J1184" s="590"/>
      <c r="K1184" s="590"/>
      <c r="L1184" s="523"/>
      <c r="M1184" s="590"/>
      <c r="N1184" s="523"/>
      <c r="O1184" s="524"/>
      <c r="P1184" s="523"/>
      <c r="Q1184" s="523"/>
      <c r="R1184" s="523"/>
      <c r="S1184" s="523"/>
      <c r="T1184" s="524"/>
      <c r="U1184" s="523"/>
      <c r="V1184" s="523"/>
    </row>
    <row r="1185" spans="1:22" x14ac:dyDescent="0.3">
      <c r="A1185" s="523"/>
      <c r="B1185" s="523"/>
      <c r="C1185" s="523"/>
      <c r="D1185" s="523"/>
      <c r="E1185" s="523"/>
      <c r="F1185" s="523"/>
      <c r="G1185" s="523"/>
      <c r="H1185" s="590"/>
      <c r="I1185" s="523"/>
      <c r="J1185" s="590"/>
      <c r="K1185" s="590"/>
      <c r="L1185" s="523"/>
      <c r="M1185" s="590"/>
      <c r="N1185" s="523"/>
      <c r="O1185" s="524"/>
      <c r="P1185" s="523"/>
      <c r="Q1185" s="523"/>
      <c r="R1185" s="523"/>
      <c r="S1185" s="523"/>
      <c r="T1185" s="524"/>
      <c r="U1185" s="523"/>
      <c r="V1185" s="523"/>
    </row>
    <row r="1186" spans="1:22" x14ac:dyDescent="0.3">
      <c r="A1186" s="523"/>
      <c r="B1186" s="523"/>
      <c r="C1186" s="523"/>
      <c r="D1186" s="523"/>
      <c r="E1186" s="523"/>
      <c r="F1186" s="523"/>
      <c r="G1186" s="523"/>
      <c r="H1186" s="590"/>
      <c r="I1186" s="523"/>
      <c r="J1186" s="590"/>
      <c r="K1186" s="590"/>
      <c r="L1186" s="523"/>
      <c r="M1186" s="590"/>
      <c r="N1186" s="523"/>
      <c r="O1186" s="524"/>
      <c r="P1186" s="523"/>
      <c r="Q1186" s="523"/>
      <c r="R1186" s="523"/>
      <c r="S1186" s="523"/>
      <c r="T1186" s="524"/>
      <c r="U1186" s="523"/>
      <c r="V1186" s="523"/>
    </row>
    <row r="1187" spans="1:22" x14ac:dyDescent="0.3">
      <c r="A1187" s="523"/>
      <c r="B1187" s="523"/>
      <c r="C1187" s="523"/>
      <c r="D1187" s="523"/>
      <c r="E1187" s="523"/>
      <c r="F1187" s="523"/>
      <c r="G1187" s="523"/>
      <c r="H1187" s="590"/>
      <c r="I1187" s="523"/>
      <c r="J1187" s="590"/>
      <c r="K1187" s="590"/>
      <c r="L1187" s="523"/>
      <c r="M1187" s="590"/>
      <c r="N1187" s="523"/>
      <c r="O1187" s="524"/>
      <c r="P1187" s="523"/>
      <c r="Q1187" s="523"/>
      <c r="R1187" s="523"/>
      <c r="S1187" s="523"/>
      <c r="T1187" s="524"/>
      <c r="U1187" s="523"/>
      <c r="V1187" s="523"/>
    </row>
    <row r="1188" spans="1:22" x14ac:dyDescent="0.3">
      <c r="A1188" s="523"/>
      <c r="B1188" s="523"/>
      <c r="C1188" s="523"/>
      <c r="D1188" s="523"/>
      <c r="E1188" s="523"/>
      <c r="F1188" s="523"/>
      <c r="G1188" s="523"/>
      <c r="H1188" s="590"/>
      <c r="I1188" s="523"/>
      <c r="J1188" s="590"/>
      <c r="K1188" s="590"/>
      <c r="L1188" s="523"/>
      <c r="M1188" s="590"/>
      <c r="N1188" s="523"/>
      <c r="O1188" s="524"/>
      <c r="P1188" s="523"/>
      <c r="Q1188" s="523"/>
      <c r="R1188" s="523"/>
      <c r="S1188" s="523"/>
      <c r="T1188" s="524"/>
      <c r="U1188" s="523"/>
      <c r="V1188" s="523"/>
    </row>
    <row r="1189" spans="1:22" x14ac:dyDescent="0.3">
      <c r="A1189" s="523"/>
      <c r="B1189" s="523"/>
      <c r="C1189" s="523"/>
      <c r="D1189" s="523"/>
      <c r="E1189" s="523"/>
      <c r="F1189" s="523"/>
      <c r="G1189" s="523"/>
      <c r="H1189" s="590"/>
      <c r="I1189" s="523"/>
      <c r="J1189" s="590"/>
      <c r="K1189" s="590"/>
      <c r="L1189" s="523"/>
      <c r="M1189" s="590"/>
      <c r="N1189" s="523"/>
      <c r="O1189" s="524"/>
      <c r="P1189" s="523"/>
      <c r="Q1189" s="523"/>
      <c r="R1189" s="523"/>
      <c r="S1189" s="523"/>
      <c r="T1189" s="524"/>
      <c r="U1189" s="523"/>
      <c r="V1189" s="523"/>
    </row>
    <row r="1190" spans="1:22" x14ac:dyDescent="0.3">
      <c r="A1190" s="523"/>
      <c r="B1190" s="523"/>
      <c r="C1190" s="523"/>
      <c r="D1190" s="523"/>
      <c r="E1190" s="523"/>
      <c r="F1190" s="523"/>
      <c r="G1190" s="523"/>
      <c r="H1190" s="590"/>
      <c r="I1190" s="523"/>
      <c r="J1190" s="590"/>
      <c r="K1190" s="590"/>
      <c r="L1190" s="523"/>
      <c r="M1190" s="590"/>
      <c r="N1190" s="523"/>
      <c r="O1190" s="524"/>
      <c r="P1190" s="523"/>
      <c r="Q1190" s="523"/>
      <c r="R1190" s="523"/>
      <c r="S1190" s="523"/>
      <c r="T1190" s="524"/>
      <c r="U1190" s="523"/>
      <c r="V1190" s="523"/>
    </row>
    <row r="1191" spans="1:22" x14ac:dyDescent="0.3">
      <c r="A1191" s="523"/>
      <c r="B1191" s="523"/>
      <c r="C1191" s="523"/>
      <c r="D1191" s="523"/>
      <c r="E1191" s="523"/>
      <c r="F1191" s="523"/>
      <c r="G1191" s="523"/>
      <c r="H1191" s="590"/>
      <c r="I1191" s="523"/>
      <c r="J1191" s="590"/>
      <c r="K1191" s="590"/>
      <c r="L1191" s="523"/>
      <c r="M1191" s="590"/>
      <c r="N1191" s="523"/>
      <c r="O1191" s="524"/>
      <c r="P1191" s="523"/>
      <c r="Q1191" s="523"/>
      <c r="R1191" s="523"/>
      <c r="S1191" s="523"/>
      <c r="T1191" s="524"/>
      <c r="U1191" s="523"/>
      <c r="V1191" s="523"/>
    </row>
    <row r="1192" spans="1:22" x14ac:dyDescent="0.3">
      <c r="A1192" s="523"/>
      <c r="B1192" s="523"/>
      <c r="C1192" s="523"/>
      <c r="D1192" s="523"/>
      <c r="E1192" s="523"/>
      <c r="F1192" s="523"/>
      <c r="G1192" s="523"/>
      <c r="H1192" s="590"/>
      <c r="I1192" s="523"/>
      <c r="J1192" s="590"/>
      <c r="K1192" s="590"/>
      <c r="L1192" s="523"/>
      <c r="M1192" s="590"/>
      <c r="N1192" s="523"/>
      <c r="O1192" s="524"/>
      <c r="P1192" s="523"/>
      <c r="Q1192" s="523"/>
      <c r="R1192" s="523"/>
      <c r="S1192" s="523"/>
      <c r="T1192" s="524"/>
      <c r="U1192" s="523"/>
      <c r="V1192" s="523"/>
    </row>
    <row r="1193" spans="1:22" x14ac:dyDescent="0.3">
      <c r="A1193" s="523"/>
      <c r="B1193" s="523"/>
      <c r="C1193" s="523"/>
      <c r="D1193" s="523"/>
      <c r="E1193" s="523"/>
      <c r="F1193" s="523"/>
      <c r="G1193" s="523"/>
      <c r="H1193" s="590"/>
      <c r="I1193" s="523"/>
      <c r="J1193" s="590"/>
      <c r="K1193" s="590"/>
      <c r="L1193" s="523"/>
      <c r="M1193" s="590"/>
      <c r="N1193" s="523"/>
      <c r="O1193" s="524"/>
      <c r="P1193" s="523"/>
      <c r="Q1193" s="523"/>
      <c r="R1193" s="523"/>
      <c r="S1193" s="523"/>
      <c r="T1193" s="524"/>
      <c r="U1193" s="523"/>
      <c r="V1193" s="523"/>
    </row>
    <row r="1194" spans="1:22" x14ac:dyDescent="0.3">
      <c r="A1194" s="523"/>
      <c r="B1194" s="523"/>
      <c r="C1194" s="523"/>
      <c r="D1194" s="523"/>
      <c r="E1194" s="523"/>
      <c r="F1194" s="523"/>
      <c r="G1194" s="523"/>
      <c r="H1194" s="590"/>
      <c r="I1194" s="523"/>
      <c r="J1194" s="590"/>
      <c r="K1194" s="590"/>
      <c r="L1194" s="523"/>
      <c r="M1194" s="590"/>
      <c r="N1194" s="523"/>
      <c r="O1194" s="524"/>
      <c r="P1194" s="523"/>
      <c r="Q1194" s="523"/>
      <c r="R1194" s="523"/>
      <c r="S1194" s="523"/>
      <c r="T1194" s="524"/>
      <c r="U1194" s="523"/>
      <c r="V1194" s="523"/>
    </row>
    <row r="1195" spans="1:22" x14ac:dyDescent="0.3">
      <c r="A1195" s="523"/>
      <c r="B1195" s="523"/>
      <c r="C1195" s="523"/>
      <c r="D1195" s="523"/>
      <c r="E1195" s="523"/>
      <c r="F1195" s="523"/>
      <c r="G1195" s="523"/>
      <c r="H1195" s="590"/>
      <c r="I1195" s="523"/>
      <c r="J1195" s="590"/>
      <c r="K1195" s="590"/>
      <c r="L1195" s="523"/>
      <c r="M1195" s="590"/>
      <c r="N1195" s="523"/>
      <c r="O1195" s="524"/>
      <c r="P1195" s="523"/>
      <c r="Q1195" s="523"/>
      <c r="R1195" s="523"/>
      <c r="S1195" s="523"/>
      <c r="T1195" s="524"/>
      <c r="U1195" s="523"/>
      <c r="V1195" s="523"/>
    </row>
    <row r="1196" spans="1:22" x14ac:dyDescent="0.3">
      <c r="A1196" s="523"/>
      <c r="B1196" s="523"/>
      <c r="C1196" s="523"/>
      <c r="D1196" s="523"/>
      <c r="E1196" s="523"/>
      <c r="F1196" s="523"/>
      <c r="G1196" s="523"/>
      <c r="H1196" s="590"/>
      <c r="I1196" s="523"/>
      <c r="J1196" s="590"/>
      <c r="K1196" s="590"/>
      <c r="L1196" s="523"/>
      <c r="M1196" s="590"/>
      <c r="N1196" s="523"/>
      <c r="O1196" s="524"/>
      <c r="P1196" s="523"/>
      <c r="Q1196" s="523"/>
      <c r="R1196" s="523"/>
      <c r="S1196" s="523"/>
      <c r="T1196" s="524"/>
      <c r="U1196" s="523"/>
      <c r="V1196" s="523"/>
    </row>
    <row r="1197" spans="1:22" x14ac:dyDescent="0.3">
      <c r="A1197" s="523"/>
      <c r="B1197" s="523"/>
      <c r="C1197" s="523"/>
      <c r="D1197" s="523"/>
      <c r="E1197" s="523"/>
      <c r="F1197" s="523"/>
      <c r="G1197" s="523"/>
      <c r="H1197" s="590"/>
      <c r="I1197" s="523"/>
      <c r="J1197" s="590"/>
      <c r="K1197" s="590"/>
      <c r="L1197" s="523"/>
      <c r="M1197" s="590"/>
      <c r="N1197" s="523"/>
      <c r="O1197" s="524"/>
      <c r="P1197" s="523"/>
      <c r="Q1197" s="523"/>
      <c r="R1197" s="523"/>
      <c r="S1197" s="523"/>
      <c r="T1197" s="524"/>
      <c r="U1197" s="523"/>
      <c r="V1197" s="523"/>
    </row>
    <row r="1198" spans="1:22" x14ac:dyDescent="0.3">
      <c r="A1198" s="523"/>
      <c r="B1198" s="523"/>
      <c r="C1198" s="523"/>
      <c r="D1198" s="523"/>
      <c r="E1198" s="523"/>
      <c r="F1198" s="523"/>
      <c r="G1198" s="523"/>
      <c r="H1198" s="590"/>
      <c r="I1198" s="523"/>
      <c r="J1198" s="590"/>
      <c r="K1198" s="590"/>
      <c r="L1198" s="523"/>
      <c r="M1198" s="590"/>
      <c r="N1198" s="523"/>
      <c r="O1198" s="524"/>
      <c r="P1198" s="523"/>
      <c r="Q1198" s="523"/>
      <c r="R1198" s="523"/>
      <c r="S1198" s="523"/>
      <c r="T1198" s="524"/>
      <c r="U1198" s="523"/>
      <c r="V1198" s="523"/>
    </row>
    <row r="1199" spans="1:22" x14ac:dyDescent="0.3">
      <c r="A1199" s="523"/>
      <c r="B1199" s="523"/>
      <c r="C1199" s="523"/>
      <c r="D1199" s="523"/>
      <c r="E1199" s="523"/>
      <c r="F1199" s="523"/>
      <c r="G1199" s="523"/>
      <c r="H1199" s="590"/>
      <c r="I1199" s="523"/>
      <c r="J1199" s="590"/>
      <c r="K1199" s="590"/>
      <c r="L1199" s="523"/>
      <c r="M1199" s="590"/>
      <c r="N1199" s="523"/>
      <c r="O1199" s="524"/>
      <c r="P1199" s="523"/>
      <c r="Q1199" s="523"/>
      <c r="R1199" s="523"/>
      <c r="S1199" s="523"/>
      <c r="T1199" s="524"/>
      <c r="U1199" s="523"/>
      <c r="V1199" s="523"/>
    </row>
    <row r="1200" spans="1:22" x14ac:dyDescent="0.3">
      <c r="A1200" s="523"/>
      <c r="B1200" s="523"/>
      <c r="C1200" s="523"/>
      <c r="D1200" s="523"/>
      <c r="E1200" s="523"/>
      <c r="F1200" s="523"/>
      <c r="G1200" s="523"/>
      <c r="H1200" s="590"/>
      <c r="I1200" s="523"/>
      <c r="J1200" s="590"/>
      <c r="K1200" s="590"/>
      <c r="L1200" s="523"/>
      <c r="M1200" s="590"/>
      <c r="N1200" s="523"/>
      <c r="O1200" s="524"/>
      <c r="P1200" s="523"/>
      <c r="Q1200" s="523"/>
      <c r="R1200" s="523"/>
      <c r="S1200" s="523"/>
      <c r="T1200" s="524"/>
      <c r="U1200" s="523"/>
      <c r="V1200" s="523"/>
    </row>
    <row r="1201" spans="1:22" x14ac:dyDescent="0.3">
      <c r="A1201" s="523"/>
      <c r="B1201" s="523"/>
      <c r="C1201" s="523"/>
      <c r="D1201" s="523"/>
      <c r="E1201" s="523"/>
      <c r="F1201" s="523"/>
      <c r="G1201" s="523"/>
      <c r="H1201" s="590"/>
      <c r="I1201" s="523"/>
      <c r="J1201" s="590"/>
      <c r="K1201" s="590"/>
      <c r="L1201" s="523"/>
      <c r="M1201" s="590"/>
      <c r="N1201" s="523"/>
      <c r="O1201" s="524"/>
      <c r="P1201" s="523"/>
      <c r="Q1201" s="523"/>
      <c r="R1201" s="523"/>
      <c r="S1201" s="523"/>
      <c r="T1201" s="524"/>
      <c r="U1201" s="523"/>
      <c r="V1201" s="523"/>
    </row>
    <row r="1202" spans="1:22" x14ac:dyDescent="0.3">
      <c r="A1202" s="523"/>
      <c r="B1202" s="523"/>
      <c r="C1202" s="523"/>
      <c r="D1202" s="523"/>
      <c r="E1202" s="523"/>
      <c r="F1202" s="523"/>
      <c r="G1202" s="523"/>
      <c r="H1202" s="590"/>
      <c r="I1202" s="523"/>
      <c r="J1202" s="590"/>
      <c r="K1202" s="590"/>
      <c r="L1202" s="523"/>
      <c r="M1202" s="590"/>
      <c r="N1202" s="523"/>
      <c r="O1202" s="524"/>
      <c r="P1202" s="523"/>
      <c r="Q1202" s="523"/>
      <c r="R1202" s="523"/>
      <c r="S1202" s="523"/>
      <c r="T1202" s="524"/>
      <c r="U1202" s="523"/>
      <c r="V1202" s="523"/>
    </row>
    <row r="1203" spans="1:22" x14ac:dyDescent="0.3">
      <c r="A1203" s="523"/>
      <c r="B1203" s="523"/>
      <c r="C1203" s="523"/>
      <c r="D1203" s="523"/>
      <c r="E1203" s="523"/>
      <c r="F1203" s="523"/>
      <c r="G1203" s="523"/>
      <c r="H1203" s="590"/>
      <c r="I1203" s="523"/>
      <c r="J1203" s="590"/>
      <c r="K1203" s="590"/>
      <c r="L1203" s="523"/>
      <c r="M1203" s="590"/>
      <c r="N1203" s="523"/>
      <c r="O1203" s="524"/>
      <c r="P1203" s="523"/>
      <c r="Q1203" s="523"/>
      <c r="R1203" s="523"/>
      <c r="S1203" s="523"/>
      <c r="T1203" s="524"/>
      <c r="U1203" s="523"/>
      <c r="V1203" s="523"/>
    </row>
    <row r="1204" spans="1:22" x14ac:dyDescent="0.3">
      <c r="A1204" s="523"/>
      <c r="B1204" s="523"/>
      <c r="C1204" s="523"/>
      <c r="D1204" s="523"/>
      <c r="E1204" s="523"/>
      <c r="F1204" s="523"/>
      <c r="G1204" s="523"/>
      <c r="H1204" s="590"/>
      <c r="I1204" s="523"/>
      <c r="J1204" s="590"/>
      <c r="K1204" s="590"/>
      <c r="L1204" s="523"/>
      <c r="M1204" s="590"/>
      <c r="N1204" s="523"/>
      <c r="O1204" s="524"/>
      <c r="P1204" s="523"/>
      <c r="Q1204" s="523"/>
      <c r="R1204" s="523"/>
      <c r="S1204" s="523"/>
      <c r="T1204" s="524"/>
      <c r="U1204" s="523"/>
      <c r="V1204" s="523"/>
    </row>
    <row r="1205" spans="1:22" x14ac:dyDescent="0.3">
      <c r="A1205" s="523"/>
      <c r="B1205" s="523"/>
      <c r="C1205" s="523"/>
      <c r="D1205" s="523"/>
      <c r="E1205" s="523"/>
      <c r="F1205" s="523"/>
      <c r="G1205" s="523"/>
      <c r="H1205" s="590"/>
      <c r="I1205" s="523"/>
      <c r="J1205" s="590"/>
      <c r="K1205" s="590"/>
      <c r="L1205" s="523"/>
      <c r="M1205" s="590"/>
      <c r="N1205" s="523"/>
      <c r="O1205" s="524"/>
      <c r="P1205" s="523"/>
      <c r="Q1205" s="523"/>
      <c r="R1205" s="523"/>
      <c r="S1205" s="523"/>
      <c r="T1205" s="524"/>
      <c r="U1205" s="523"/>
      <c r="V1205" s="523"/>
    </row>
    <row r="1206" spans="1:22" x14ac:dyDescent="0.3">
      <c r="A1206" s="523"/>
      <c r="B1206" s="523"/>
      <c r="C1206" s="523"/>
      <c r="D1206" s="523"/>
      <c r="E1206" s="523"/>
      <c r="F1206" s="523"/>
      <c r="G1206" s="523"/>
      <c r="H1206" s="590"/>
      <c r="I1206" s="523"/>
      <c r="J1206" s="590"/>
      <c r="K1206" s="590"/>
      <c r="L1206" s="523"/>
      <c r="M1206" s="590"/>
      <c r="N1206" s="523"/>
      <c r="O1206" s="524"/>
      <c r="P1206" s="523"/>
      <c r="Q1206" s="523"/>
      <c r="R1206" s="523"/>
      <c r="S1206" s="523"/>
      <c r="T1206" s="524"/>
      <c r="U1206" s="523"/>
      <c r="V1206" s="523"/>
    </row>
    <row r="1207" spans="1:22" x14ac:dyDescent="0.3">
      <c r="A1207" s="523"/>
      <c r="B1207" s="523"/>
      <c r="C1207" s="523"/>
      <c r="D1207" s="523"/>
      <c r="E1207" s="523"/>
      <c r="F1207" s="523"/>
      <c r="G1207" s="523"/>
      <c r="H1207" s="590"/>
      <c r="I1207" s="523"/>
      <c r="J1207" s="590"/>
      <c r="K1207" s="590"/>
      <c r="L1207" s="523"/>
      <c r="M1207" s="590"/>
      <c r="N1207" s="523"/>
      <c r="O1207" s="524"/>
      <c r="P1207" s="523"/>
      <c r="Q1207" s="523"/>
      <c r="R1207" s="523"/>
      <c r="S1207" s="523"/>
      <c r="T1207" s="524"/>
      <c r="U1207" s="523"/>
      <c r="V1207" s="523"/>
    </row>
    <row r="1208" spans="1:22" x14ac:dyDescent="0.3">
      <c r="A1208" s="523"/>
      <c r="B1208" s="523"/>
      <c r="C1208" s="523"/>
      <c r="D1208" s="523"/>
      <c r="E1208" s="523"/>
      <c r="F1208" s="523"/>
      <c r="G1208" s="523"/>
      <c r="H1208" s="590"/>
      <c r="I1208" s="523"/>
      <c r="J1208" s="590"/>
      <c r="K1208" s="590"/>
      <c r="L1208" s="523"/>
      <c r="M1208" s="590"/>
      <c r="N1208" s="523"/>
      <c r="O1208" s="524"/>
      <c r="P1208" s="523"/>
      <c r="Q1208" s="523"/>
      <c r="R1208" s="523"/>
      <c r="S1208" s="523"/>
      <c r="T1208" s="524"/>
      <c r="U1208" s="523"/>
      <c r="V1208" s="523"/>
    </row>
    <row r="1209" spans="1:22" x14ac:dyDescent="0.3">
      <c r="A1209" s="523"/>
      <c r="B1209" s="523"/>
      <c r="C1209" s="523"/>
      <c r="D1209" s="523"/>
      <c r="E1209" s="523"/>
      <c r="F1209" s="523"/>
      <c r="G1209" s="523"/>
      <c r="H1209" s="590"/>
      <c r="I1209" s="523"/>
      <c r="J1209" s="590"/>
      <c r="K1209" s="590"/>
      <c r="L1209" s="523"/>
      <c r="M1209" s="590"/>
      <c r="N1209" s="523"/>
      <c r="O1209" s="524"/>
      <c r="P1209" s="523"/>
      <c r="Q1209" s="523"/>
      <c r="R1209" s="523"/>
      <c r="S1209" s="523"/>
      <c r="T1209" s="524"/>
      <c r="U1209" s="523"/>
      <c r="V1209" s="523"/>
    </row>
    <row r="1210" spans="1:22" x14ac:dyDescent="0.3">
      <c r="A1210" s="523"/>
      <c r="B1210" s="523"/>
      <c r="C1210" s="523"/>
      <c r="D1210" s="523"/>
      <c r="E1210" s="523"/>
      <c r="F1210" s="523"/>
      <c r="G1210" s="523"/>
      <c r="H1210" s="590"/>
      <c r="I1210" s="523"/>
      <c r="J1210" s="590"/>
      <c r="K1210" s="590"/>
      <c r="L1210" s="523"/>
      <c r="M1210" s="590"/>
      <c r="N1210" s="523"/>
      <c r="O1210" s="524"/>
      <c r="P1210" s="523"/>
      <c r="Q1210" s="523"/>
      <c r="R1210" s="523"/>
      <c r="S1210" s="523"/>
      <c r="T1210" s="524"/>
      <c r="U1210" s="523"/>
      <c r="V1210" s="523"/>
    </row>
    <row r="1211" spans="1:22" x14ac:dyDescent="0.3">
      <c r="A1211" s="523"/>
      <c r="B1211" s="523"/>
      <c r="C1211" s="523"/>
      <c r="D1211" s="523"/>
      <c r="E1211" s="523"/>
      <c r="F1211" s="523"/>
      <c r="G1211" s="523"/>
      <c r="H1211" s="590"/>
      <c r="I1211" s="523"/>
      <c r="J1211" s="590"/>
      <c r="K1211" s="590"/>
      <c r="L1211" s="523"/>
      <c r="M1211" s="590"/>
      <c r="N1211" s="523"/>
      <c r="O1211" s="524"/>
      <c r="P1211" s="523"/>
      <c r="Q1211" s="523"/>
      <c r="R1211" s="523"/>
      <c r="S1211" s="523"/>
      <c r="T1211" s="524"/>
      <c r="U1211" s="523"/>
      <c r="V1211" s="523"/>
    </row>
    <row r="1212" spans="1:22" x14ac:dyDescent="0.3">
      <c r="A1212" s="523"/>
      <c r="B1212" s="523"/>
      <c r="C1212" s="523"/>
      <c r="D1212" s="523"/>
      <c r="E1212" s="523"/>
      <c r="F1212" s="523"/>
      <c r="G1212" s="523"/>
      <c r="H1212" s="590"/>
      <c r="I1212" s="523"/>
      <c r="J1212" s="590"/>
      <c r="K1212" s="590"/>
      <c r="L1212" s="523"/>
      <c r="M1212" s="590"/>
      <c r="N1212" s="523"/>
      <c r="O1212" s="524"/>
      <c r="P1212" s="523"/>
      <c r="Q1212" s="523"/>
      <c r="R1212" s="523"/>
      <c r="S1212" s="523"/>
      <c r="T1212" s="524"/>
      <c r="U1212" s="523"/>
      <c r="V1212" s="523"/>
    </row>
    <row r="1213" spans="1:22" x14ac:dyDescent="0.3">
      <c r="A1213" s="523"/>
      <c r="B1213" s="523"/>
      <c r="C1213" s="523"/>
      <c r="D1213" s="523"/>
      <c r="E1213" s="523"/>
      <c r="F1213" s="523"/>
      <c r="G1213" s="523"/>
      <c r="H1213" s="590"/>
      <c r="I1213" s="523"/>
      <c r="J1213" s="590"/>
      <c r="K1213" s="590"/>
      <c r="L1213" s="523"/>
      <c r="M1213" s="590"/>
      <c r="N1213" s="523"/>
      <c r="O1213" s="524"/>
      <c r="P1213" s="523"/>
      <c r="Q1213" s="523"/>
      <c r="R1213" s="523"/>
      <c r="S1213" s="523"/>
      <c r="T1213" s="524"/>
      <c r="U1213" s="523"/>
      <c r="V1213" s="523"/>
    </row>
    <row r="1214" spans="1:22" x14ac:dyDescent="0.3">
      <c r="A1214" s="523"/>
      <c r="B1214" s="523"/>
      <c r="C1214" s="523"/>
      <c r="D1214" s="523"/>
      <c r="E1214" s="523"/>
      <c r="F1214" s="523"/>
      <c r="G1214" s="523"/>
      <c r="H1214" s="590"/>
      <c r="I1214" s="523"/>
      <c r="J1214" s="590"/>
      <c r="K1214" s="590"/>
      <c r="L1214" s="523"/>
      <c r="M1214" s="590"/>
      <c r="N1214" s="523"/>
      <c r="O1214" s="524"/>
      <c r="P1214" s="523"/>
      <c r="Q1214" s="523"/>
      <c r="R1214" s="523"/>
      <c r="S1214" s="523"/>
      <c r="T1214" s="524"/>
      <c r="U1214" s="523"/>
      <c r="V1214" s="523"/>
    </row>
    <row r="1215" spans="1:22" x14ac:dyDescent="0.3">
      <c r="A1215" s="523"/>
      <c r="B1215" s="523"/>
      <c r="C1215" s="523"/>
      <c r="D1215" s="523"/>
      <c r="E1215" s="523"/>
      <c r="F1215" s="523"/>
      <c r="G1215" s="523"/>
      <c r="H1215" s="590"/>
      <c r="I1215" s="523"/>
      <c r="J1215" s="590"/>
      <c r="K1215" s="590"/>
      <c r="L1215" s="523"/>
      <c r="M1215" s="590"/>
      <c r="N1215" s="523"/>
      <c r="O1215" s="524"/>
      <c r="P1215" s="523"/>
      <c r="Q1215" s="523"/>
      <c r="R1215" s="523"/>
      <c r="S1215" s="523"/>
      <c r="T1215" s="524"/>
      <c r="U1215" s="523"/>
      <c r="V1215" s="523"/>
    </row>
    <row r="1216" spans="1:22" x14ac:dyDescent="0.3">
      <c r="A1216" s="523"/>
      <c r="B1216" s="523"/>
      <c r="C1216" s="523"/>
      <c r="D1216" s="523"/>
      <c r="E1216" s="523"/>
      <c r="F1216" s="523"/>
      <c r="G1216" s="523"/>
      <c r="H1216" s="590"/>
      <c r="I1216" s="523"/>
      <c r="J1216" s="590"/>
      <c r="K1216" s="590"/>
      <c r="L1216" s="523"/>
      <c r="M1216" s="590"/>
      <c r="N1216" s="523"/>
      <c r="O1216" s="524"/>
      <c r="P1216" s="523"/>
      <c r="Q1216" s="523"/>
      <c r="R1216" s="523"/>
      <c r="S1216" s="523"/>
      <c r="T1216" s="524"/>
      <c r="U1216" s="523"/>
      <c r="V1216" s="523"/>
    </row>
    <row r="1217" spans="1:22" x14ac:dyDescent="0.3">
      <c r="A1217" s="523"/>
      <c r="B1217" s="523"/>
      <c r="C1217" s="523"/>
      <c r="D1217" s="523"/>
      <c r="E1217" s="523"/>
      <c r="F1217" s="523"/>
      <c r="G1217" s="523"/>
      <c r="H1217" s="590"/>
      <c r="I1217" s="523"/>
      <c r="J1217" s="590"/>
      <c r="K1217" s="590"/>
      <c r="L1217" s="523"/>
      <c r="M1217" s="590"/>
      <c r="N1217" s="523"/>
      <c r="O1217" s="524"/>
      <c r="P1217" s="523"/>
      <c r="Q1217" s="523"/>
      <c r="R1217" s="523"/>
      <c r="S1217" s="523"/>
      <c r="T1217" s="524"/>
      <c r="U1217" s="523"/>
      <c r="V1217" s="523"/>
    </row>
    <row r="1218" spans="1:22" x14ac:dyDescent="0.3">
      <c r="A1218" s="523"/>
      <c r="B1218" s="523"/>
      <c r="C1218" s="523"/>
      <c r="D1218" s="523"/>
      <c r="E1218" s="523"/>
      <c r="F1218" s="523"/>
      <c r="G1218" s="523"/>
      <c r="H1218" s="590"/>
      <c r="I1218" s="523"/>
      <c r="J1218" s="590"/>
      <c r="K1218" s="590"/>
      <c r="L1218" s="523"/>
      <c r="M1218" s="590"/>
      <c r="N1218" s="523"/>
      <c r="O1218" s="524"/>
      <c r="P1218" s="523"/>
      <c r="Q1218" s="523"/>
      <c r="R1218" s="523"/>
      <c r="S1218" s="523"/>
      <c r="T1218" s="524"/>
      <c r="U1218" s="523"/>
      <c r="V1218" s="523"/>
    </row>
    <row r="1219" spans="1:22" x14ac:dyDescent="0.3">
      <c r="A1219" s="523"/>
      <c r="B1219" s="523"/>
      <c r="C1219" s="523"/>
      <c r="D1219" s="523"/>
      <c r="E1219" s="523"/>
      <c r="F1219" s="523"/>
      <c r="G1219" s="523"/>
      <c r="H1219" s="590"/>
      <c r="I1219" s="523"/>
      <c r="J1219" s="590"/>
      <c r="K1219" s="590"/>
      <c r="L1219" s="523"/>
      <c r="M1219" s="590"/>
      <c r="N1219" s="523"/>
      <c r="O1219" s="524"/>
      <c r="P1219" s="523"/>
      <c r="Q1219" s="523"/>
      <c r="R1219" s="523"/>
      <c r="S1219" s="523"/>
      <c r="T1219" s="524"/>
      <c r="U1219" s="523"/>
      <c r="V1219" s="523"/>
    </row>
    <row r="1220" spans="1:22" x14ac:dyDescent="0.3">
      <c r="A1220" s="523"/>
      <c r="B1220" s="523"/>
      <c r="C1220" s="523"/>
      <c r="D1220" s="523"/>
      <c r="E1220" s="523"/>
      <c r="F1220" s="523"/>
      <c r="G1220" s="523"/>
      <c r="H1220" s="590"/>
      <c r="I1220" s="523"/>
      <c r="J1220" s="590"/>
      <c r="K1220" s="590"/>
      <c r="L1220" s="523"/>
      <c r="M1220" s="590"/>
      <c r="N1220" s="523"/>
      <c r="O1220" s="524"/>
      <c r="P1220" s="523"/>
      <c r="Q1220" s="523"/>
      <c r="R1220" s="523"/>
      <c r="S1220" s="523"/>
      <c r="T1220" s="524"/>
      <c r="U1220" s="523"/>
      <c r="V1220" s="523"/>
    </row>
    <row r="1221" spans="1:22" x14ac:dyDescent="0.3">
      <c r="A1221" s="523"/>
      <c r="B1221" s="523"/>
      <c r="C1221" s="523"/>
      <c r="D1221" s="523"/>
      <c r="E1221" s="523"/>
      <c r="F1221" s="523"/>
      <c r="G1221" s="523"/>
      <c r="H1221" s="590"/>
      <c r="I1221" s="523"/>
      <c r="J1221" s="590"/>
      <c r="K1221" s="590"/>
      <c r="L1221" s="523"/>
      <c r="M1221" s="590"/>
      <c r="N1221" s="523"/>
      <c r="O1221" s="524"/>
      <c r="P1221" s="523"/>
      <c r="Q1221" s="523"/>
      <c r="R1221" s="523"/>
      <c r="S1221" s="523"/>
      <c r="T1221" s="524"/>
      <c r="U1221" s="523"/>
      <c r="V1221" s="523"/>
    </row>
    <row r="1222" spans="1:22" x14ac:dyDescent="0.3">
      <c r="A1222" s="523"/>
      <c r="B1222" s="523"/>
      <c r="C1222" s="523"/>
      <c r="D1222" s="523"/>
      <c r="E1222" s="523"/>
      <c r="F1222" s="523"/>
      <c r="G1222" s="523"/>
      <c r="H1222" s="590"/>
      <c r="I1222" s="523"/>
      <c r="J1222" s="590"/>
      <c r="K1222" s="590"/>
      <c r="L1222" s="523"/>
      <c r="M1222" s="590"/>
      <c r="N1222" s="523"/>
      <c r="O1222" s="524"/>
      <c r="P1222" s="523"/>
      <c r="Q1222" s="523"/>
      <c r="R1222" s="523"/>
      <c r="S1222" s="523"/>
      <c r="T1222" s="524"/>
      <c r="U1222" s="523"/>
      <c r="V1222" s="523"/>
    </row>
    <row r="1223" spans="1:22" x14ac:dyDescent="0.3">
      <c r="A1223" s="523"/>
      <c r="B1223" s="523"/>
      <c r="C1223" s="523"/>
      <c r="D1223" s="523"/>
      <c r="E1223" s="523"/>
      <c r="F1223" s="523"/>
      <c r="G1223" s="523"/>
      <c r="H1223" s="590"/>
      <c r="I1223" s="523"/>
      <c r="J1223" s="590"/>
      <c r="K1223" s="590"/>
      <c r="L1223" s="523"/>
      <c r="M1223" s="590"/>
      <c r="N1223" s="523"/>
      <c r="O1223" s="524"/>
      <c r="P1223" s="523"/>
      <c r="Q1223" s="523"/>
      <c r="R1223" s="523"/>
      <c r="S1223" s="523"/>
      <c r="T1223" s="524"/>
      <c r="U1223" s="523"/>
      <c r="V1223" s="523"/>
    </row>
    <row r="1224" spans="1:22" x14ac:dyDescent="0.3">
      <c r="A1224" s="523"/>
      <c r="B1224" s="523"/>
      <c r="C1224" s="523"/>
      <c r="D1224" s="523"/>
      <c r="E1224" s="523"/>
      <c r="F1224" s="523"/>
      <c r="G1224" s="523"/>
      <c r="H1224" s="590"/>
      <c r="I1224" s="523"/>
      <c r="J1224" s="590"/>
      <c r="K1224" s="590"/>
      <c r="L1224" s="523"/>
      <c r="M1224" s="590"/>
      <c r="N1224" s="523"/>
      <c r="O1224" s="524"/>
      <c r="P1224" s="523"/>
      <c r="Q1224" s="523"/>
      <c r="R1224" s="523"/>
      <c r="S1224" s="523"/>
      <c r="T1224" s="524"/>
      <c r="U1224" s="523"/>
      <c r="V1224" s="523"/>
    </row>
    <row r="1225" spans="1:22" x14ac:dyDescent="0.3">
      <c r="A1225" s="523"/>
      <c r="B1225" s="523"/>
      <c r="C1225" s="523"/>
      <c r="D1225" s="523"/>
      <c r="E1225" s="523"/>
      <c r="F1225" s="523"/>
      <c r="G1225" s="523"/>
      <c r="H1225" s="590"/>
      <c r="I1225" s="523"/>
      <c r="J1225" s="590"/>
      <c r="K1225" s="590"/>
      <c r="L1225" s="523"/>
      <c r="M1225" s="590"/>
      <c r="N1225" s="523"/>
      <c r="O1225" s="524"/>
      <c r="P1225" s="523"/>
      <c r="Q1225" s="523"/>
      <c r="R1225" s="523"/>
      <c r="S1225" s="523"/>
      <c r="T1225" s="524"/>
      <c r="U1225" s="523"/>
      <c r="V1225" s="523"/>
    </row>
    <row r="1226" spans="1:22" x14ac:dyDescent="0.3">
      <c r="A1226" s="523"/>
      <c r="B1226" s="523"/>
      <c r="C1226" s="523"/>
      <c r="D1226" s="523"/>
      <c r="E1226" s="523"/>
      <c r="F1226" s="523"/>
      <c r="G1226" s="523"/>
      <c r="H1226" s="590"/>
      <c r="I1226" s="523"/>
      <c r="J1226" s="590"/>
      <c r="K1226" s="590"/>
      <c r="L1226" s="523"/>
      <c r="M1226" s="590"/>
      <c r="N1226" s="523"/>
      <c r="O1226" s="524"/>
      <c r="P1226" s="523"/>
      <c r="Q1226" s="523"/>
      <c r="R1226" s="523"/>
      <c r="S1226" s="523"/>
      <c r="T1226" s="524"/>
      <c r="U1226" s="523"/>
      <c r="V1226" s="523"/>
    </row>
    <row r="1227" spans="1:22" x14ac:dyDescent="0.3">
      <c r="A1227" s="523"/>
      <c r="B1227" s="523"/>
      <c r="C1227" s="523"/>
      <c r="D1227" s="523"/>
      <c r="E1227" s="523"/>
      <c r="F1227" s="523"/>
      <c r="G1227" s="523"/>
      <c r="H1227" s="590"/>
      <c r="I1227" s="523"/>
      <c r="J1227" s="590"/>
      <c r="K1227" s="590"/>
      <c r="L1227" s="523"/>
      <c r="M1227" s="590"/>
      <c r="N1227" s="523"/>
      <c r="O1227" s="524"/>
      <c r="P1227" s="523"/>
      <c r="Q1227" s="523"/>
      <c r="R1227" s="523"/>
      <c r="S1227" s="523"/>
      <c r="T1227" s="524"/>
      <c r="U1227" s="523"/>
      <c r="V1227" s="523"/>
    </row>
    <row r="1228" spans="1:22" x14ac:dyDescent="0.3">
      <c r="A1228" s="523"/>
      <c r="B1228" s="523"/>
      <c r="C1228" s="523"/>
      <c r="D1228" s="523"/>
      <c r="E1228" s="523"/>
      <c r="F1228" s="523"/>
      <c r="G1228" s="523"/>
      <c r="H1228" s="590"/>
      <c r="I1228" s="523"/>
      <c r="J1228" s="590"/>
      <c r="K1228" s="590"/>
      <c r="L1228" s="523"/>
      <c r="M1228" s="590"/>
      <c r="N1228" s="523"/>
      <c r="O1228" s="524"/>
      <c r="P1228" s="523"/>
      <c r="Q1228" s="523"/>
      <c r="R1228" s="523"/>
      <c r="S1228" s="523"/>
      <c r="T1228" s="524"/>
      <c r="U1228" s="523"/>
      <c r="V1228" s="523"/>
    </row>
    <row r="1229" spans="1:22" x14ac:dyDescent="0.3">
      <c r="A1229" s="523"/>
      <c r="B1229" s="523"/>
      <c r="C1229" s="523"/>
      <c r="D1229" s="523"/>
      <c r="E1229" s="523"/>
      <c r="F1229" s="523"/>
      <c r="G1229" s="523"/>
      <c r="H1229" s="590"/>
      <c r="I1229" s="523"/>
      <c r="J1229" s="590"/>
      <c r="K1229" s="590"/>
      <c r="L1229" s="523"/>
      <c r="M1229" s="590"/>
      <c r="N1229" s="523"/>
      <c r="O1229" s="524"/>
      <c r="P1229" s="523"/>
      <c r="Q1229" s="523"/>
      <c r="R1229" s="523"/>
      <c r="S1229" s="523"/>
      <c r="T1229" s="524"/>
      <c r="U1229" s="523"/>
      <c r="V1229" s="523"/>
    </row>
    <row r="1230" spans="1:22" x14ac:dyDescent="0.3">
      <c r="A1230" s="523"/>
      <c r="B1230" s="523"/>
      <c r="C1230" s="523"/>
      <c r="D1230" s="523"/>
      <c r="E1230" s="523"/>
      <c r="F1230" s="523"/>
      <c r="G1230" s="523"/>
      <c r="H1230" s="590"/>
      <c r="I1230" s="523"/>
      <c r="J1230" s="590"/>
      <c r="K1230" s="590"/>
      <c r="L1230" s="523"/>
      <c r="M1230" s="590"/>
      <c r="N1230" s="523"/>
      <c r="O1230" s="524"/>
      <c r="P1230" s="523"/>
      <c r="Q1230" s="523"/>
      <c r="R1230" s="523"/>
      <c r="S1230" s="523"/>
      <c r="T1230" s="524"/>
      <c r="U1230" s="523"/>
      <c r="V1230" s="523"/>
    </row>
    <row r="1231" spans="1:22" x14ac:dyDescent="0.3">
      <c r="A1231" s="523"/>
      <c r="B1231" s="523"/>
      <c r="C1231" s="523"/>
      <c r="D1231" s="523"/>
      <c r="E1231" s="523"/>
      <c r="F1231" s="523"/>
      <c r="G1231" s="523"/>
      <c r="H1231" s="590"/>
      <c r="I1231" s="523"/>
      <c r="J1231" s="590"/>
      <c r="K1231" s="590"/>
      <c r="L1231" s="523"/>
      <c r="M1231" s="590"/>
      <c r="N1231" s="523"/>
      <c r="O1231" s="524"/>
      <c r="P1231" s="523"/>
      <c r="Q1231" s="523"/>
      <c r="R1231" s="523"/>
      <c r="S1231" s="523"/>
      <c r="T1231" s="524"/>
      <c r="U1231" s="523"/>
      <c r="V1231" s="523"/>
    </row>
    <row r="1232" spans="1:22" x14ac:dyDescent="0.3">
      <c r="A1232" s="523"/>
      <c r="B1232" s="523"/>
      <c r="C1232" s="523"/>
      <c r="D1232" s="523"/>
      <c r="E1232" s="523"/>
      <c r="F1232" s="523"/>
      <c r="G1232" s="523"/>
      <c r="H1232" s="590"/>
      <c r="I1232" s="523"/>
      <c r="J1232" s="590"/>
      <c r="K1232" s="590"/>
      <c r="L1232" s="523"/>
      <c r="M1232" s="590"/>
      <c r="N1232" s="523"/>
      <c r="O1232" s="524"/>
      <c r="P1232" s="523"/>
      <c r="Q1232" s="523"/>
      <c r="R1232" s="523"/>
      <c r="S1232" s="523"/>
      <c r="T1232" s="524"/>
      <c r="U1232" s="523"/>
      <c r="V1232" s="523"/>
    </row>
    <row r="1233" spans="1:22" x14ac:dyDescent="0.3">
      <c r="A1233" s="523"/>
      <c r="B1233" s="523"/>
      <c r="C1233" s="523"/>
      <c r="D1233" s="523"/>
      <c r="E1233" s="523"/>
      <c r="F1233" s="523"/>
      <c r="G1233" s="523"/>
      <c r="H1233" s="590"/>
      <c r="I1233" s="523"/>
      <c r="J1233" s="590"/>
      <c r="K1233" s="590"/>
      <c r="L1233" s="523"/>
      <c r="M1233" s="590"/>
      <c r="N1233" s="523"/>
      <c r="O1233" s="524"/>
      <c r="P1233" s="523"/>
      <c r="Q1233" s="523"/>
      <c r="R1233" s="523"/>
      <c r="S1233" s="523"/>
      <c r="T1233" s="524"/>
      <c r="U1233" s="523"/>
      <c r="V1233" s="523"/>
    </row>
    <row r="1234" spans="1:22" x14ac:dyDescent="0.3">
      <c r="A1234" s="523"/>
      <c r="B1234" s="523"/>
      <c r="C1234" s="523"/>
      <c r="D1234" s="523"/>
      <c r="E1234" s="523"/>
      <c r="F1234" s="523"/>
      <c r="G1234" s="523"/>
      <c r="H1234" s="590"/>
      <c r="I1234" s="523"/>
      <c r="J1234" s="590"/>
      <c r="K1234" s="590"/>
      <c r="L1234" s="523"/>
      <c r="M1234" s="590"/>
      <c r="N1234" s="523"/>
      <c r="O1234" s="524"/>
      <c r="P1234" s="523"/>
      <c r="Q1234" s="523"/>
      <c r="R1234" s="523"/>
      <c r="S1234" s="523"/>
      <c r="T1234" s="524"/>
      <c r="U1234" s="523"/>
      <c r="V1234" s="523"/>
    </row>
    <row r="1235" spans="1:22" x14ac:dyDescent="0.3">
      <c r="A1235" s="523"/>
      <c r="B1235" s="523"/>
      <c r="C1235" s="523"/>
      <c r="D1235" s="523"/>
      <c r="E1235" s="523"/>
      <c r="F1235" s="523"/>
      <c r="G1235" s="523"/>
      <c r="H1235" s="590"/>
      <c r="I1235" s="523"/>
      <c r="J1235" s="590"/>
      <c r="K1235" s="590"/>
      <c r="L1235" s="523"/>
      <c r="M1235" s="590"/>
      <c r="N1235" s="523"/>
      <c r="O1235" s="524"/>
      <c r="P1235" s="523"/>
      <c r="Q1235" s="523"/>
      <c r="R1235" s="523"/>
      <c r="S1235" s="523"/>
      <c r="T1235" s="524"/>
      <c r="U1235" s="523"/>
      <c r="V1235" s="523"/>
    </row>
    <row r="1236" spans="1:22" x14ac:dyDescent="0.3">
      <c r="A1236" s="523"/>
      <c r="B1236" s="523"/>
      <c r="C1236" s="523"/>
      <c r="D1236" s="523"/>
      <c r="E1236" s="523"/>
      <c r="F1236" s="523"/>
      <c r="G1236" s="523"/>
      <c r="H1236" s="590"/>
      <c r="I1236" s="523"/>
      <c r="J1236" s="590"/>
      <c r="K1236" s="590"/>
      <c r="L1236" s="523"/>
      <c r="M1236" s="590"/>
      <c r="N1236" s="523"/>
      <c r="O1236" s="524"/>
      <c r="P1236" s="523"/>
      <c r="Q1236" s="523"/>
      <c r="R1236" s="523"/>
      <c r="S1236" s="523"/>
      <c r="T1236" s="524"/>
      <c r="U1236" s="523"/>
      <c r="V1236" s="523"/>
    </row>
    <row r="1237" spans="1:22" x14ac:dyDescent="0.3">
      <c r="A1237" s="523"/>
      <c r="B1237" s="523"/>
      <c r="C1237" s="523"/>
      <c r="D1237" s="523"/>
      <c r="E1237" s="523"/>
      <c r="F1237" s="523"/>
      <c r="G1237" s="523"/>
      <c r="H1237" s="590"/>
      <c r="I1237" s="523"/>
      <c r="J1237" s="590"/>
      <c r="K1237" s="590"/>
      <c r="L1237" s="523"/>
      <c r="M1237" s="590"/>
      <c r="N1237" s="523"/>
      <c r="O1237" s="524"/>
      <c r="P1237" s="523"/>
      <c r="Q1237" s="523"/>
      <c r="R1237" s="523"/>
      <c r="S1237" s="523"/>
      <c r="T1237" s="524"/>
      <c r="U1237" s="523"/>
      <c r="V1237" s="523"/>
    </row>
    <row r="1238" spans="1:22" x14ac:dyDescent="0.3">
      <c r="A1238" s="523"/>
      <c r="B1238" s="523"/>
      <c r="C1238" s="523"/>
      <c r="D1238" s="523"/>
      <c r="E1238" s="523"/>
      <c r="F1238" s="523"/>
      <c r="G1238" s="523"/>
      <c r="H1238" s="590"/>
      <c r="I1238" s="523"/>
      <c r="J1238" s="590"/>
      <c r="K1238" s="590"/>
      <c r="L1238" s="523"/>
      <c r="M1238" s="590"/>
      <c r="N1238" s="523"/>
      <c r="O1238" s="524"/>
      <c r="P1238" s="523"/>
      <c r="Q1238" s="523"/>
      <c r="R1238" s="523"/>
      <c r="S1238" s="523"/>
      <c r="T1238" s="524"/>
      <c r="U1238" s="523"/>
      <c r="V1238" s="523"/>
    </row>
    <row r="1239" spans="1:22" x14ac:dyDescent="0.3">
      <c r="A1239" s="523"/>
      <c r="B1239" s="523"/>
      <c r="C1239" s="523"/>
      <c r="D1239" s="523"/>
      <c r="E1239" s="523"/>
      <c r="F1239" s="523"/>
      <c r="G1239" s="523"/>
      <c r="H1239" s="590"/>
      <c r="I1239" s="523"/>
      <c r="J1239" s="590"/>
      <c r="K1239" s="590"/>
      <c r="L1239" s="523"/>
      <c r="M1239" s="590"/>
      <c r="N1239" s="523"/>
      <c r="O1239" s="524"/>
      <c r="P1239" s="523"/>
      <c r="Q1239" s="523"/>
      <c r="R1239" s="523"/>
      <c r="S1239" s="523"/>
      <c r="T1239" s="524"/>
      <c r="U1239" s="523"/>
      <c r="V1239" s="523"/>
    </row>
    <row r="1240" spans="1:22" x14ac:dyDescent="0.3">
      <c r="A1240" s="523"/>
      <c r="B1240" s="523"/>
      <c r="C1240" s="523"/>
      <c r="D1240" s="523"/>
      <c r="E1240" s="523"/>
      <c r="F1240" s="523"/>
      <c r="G1240" s="523"/>
      <c r="H1240" s="590"/>
      <c r="I1240" s="523"/>
      <c r="J1240" s="590"/>
      <c r="K1240" s="590"/>
      <c r="L1240" s="523"/>
      <c r="M1240" s="590"/>
      <c r="N1240" s="523"/>
      <c r="O1240" s="524"/>
      <c r="P1240" s="523"/>
      <c r="Q1240" s="523"/>
      <c r="R1240" s="523"/>
      <c r="S1240" s="523"/>
      <c r="T1240" s="524"/>
      <c r="U1240" s="523"/>
      <c r="V1240" s="523"/>
    </row>
    <row r="1241" spans="1:22" x14ac:dyDescent="0.3">
      <c r="A1241" s="523"/>
      <c r="B1241" s="523"/>
      <c r="C1241" s="523"/>
      <c r="D1241" s="523"/>
      <c r="E1241" s="523"/>
      <c r="F1241" s="523"/>
      <c r="G1241" s="523"/>
      <c r="H1241" s="590"/>
      <c r="I1241" s="523"/>
      <c r="J1241" s="590"/>
      <c r="K1241" s="590"/>
      <c r="L1241" s="523"/>
      <c r="M1241" s="590"/>
      <c r="N1241" s="523"/>
      <c r="O1241" s="524"/>
      <c r="P1241" s="523"/>
      <c r="Q1241" s="523"/>
      <c r="R1241" s="523"/>
      <c r="S1241" s="523"/>
      <c r="T1241" s="524"/>
      <c r="U1241" s="523"/>
      <c r="V1241" s="523"/>
    </row>
    <row r="1242" spans="1:22" x14ac:dyDescent="0.3">
      <c r="A1242" s="523"/>
      <c r="B1242" s="523"/>
      <c r="C1242" s="523"/>
      <c r="D1242" s="523"/>
      <c r="E1242" s="523"/>
      <c r="F1242" s="523"/>
      <c r="G1242" s="523"/>
      <c r="H1242" s="590"/>
      <c r="I1242" s="523"/>
      <c r="J1242" s="590"/>
      <c r="K1242" s="590"/>
      <c r="L1242" s="523"/>
      <c r="M1242" s="590"/>
      <c r="N1242" s="523"/>
      <c r="O1242" s="524"/>
      <c r="P1242" s="523"/>
      <c r="Q1242" s="523"/>
      <c r="R1242" s="523"/>
      <c r="S1242" s="523"/>
      <c r="T1242" s="524"/>
      <c r="U1242" s="523"/>
      <c r="V1242" s="523"/>
    </row>
    <row r="1243" spans="1:22" x14ac:dyDescent="0.3">
      <c r="A1243" s="523"/>
      <c r="B1243" s="523"/>
      <c r="C1243" s="523"/>
      <c r="D1243" s="523"/>
      <c r="E1243" s="523"/>
      <c r="F1243" s="523"/>
      <c r="G1243" s="523"/>
      <c r="H1243" s="590"/>
      <c r="I1243" s="523"/>
      <c r="J1243" s="590"/>
      <c r="K1243" s="590"/>
      <c r="L1243" s="523"/>
      <c r="M1243" s="590"/>
      <c r="N1243" s="523"/>
      <c r="O1243" s="524"/>
      <c r="P1243" s="523"/>
      <c r="Q1243" s="523"/>
      <c r="R1243" s="523"/>
      <c r="S1243" s="523"/>
      <c r="T1243" s="524"/>
      <c r="U1243" s="523"/>
      <c r="V1243" s="523"/>
    </row>
    <row r="1244" spans="1:22" x14ac:dyDescent="0.3">
      <c r="A1244" s="523"/>
      <c r="B1244" s="523"/>
      <c r="C1244" s="523"/>
      <c r="D1244" s="523"/>
      <c r="E1244" s="523"/>
      <c r="F1244" s="523"/>
      <c r="G1244" s="523"/>
      <c r="H1244" s="590"/>
      <c r="I1244" s="523"/>
      <c r="J1244" s="590"/>
      <c r="K1244" s="590"/>
      <c r="L1244" s="523"/>
      <c r="M1244" s="590"/>
      <c r="N1244" s="523"/>
      <c r="O1244" s="524"/>
      <c r="P1244" s="523"/>
      <c r="Q1244" s="523"/>
      <c r="R1244" s="523"/>
      <c r="S1244" s="523"/>
      <c r="T1244" s="524"/>
      <c r="U1244" s="523"/>
      <c r="V1244" s="523"/>
    </row>
    <row r="1245" spans="1:22" x14ac:dyDescent="0.3">
      <c r="A1245" s="523"/>
      <c r="B1245" s="523"/>
      <c r="C1245" s="523"/>
      <c r="D1245" s="523"/>
      <c r="E1245" s="523"/>
      <c r="F1245" s="523"/>
      <c r="G1245" s="523"/>
      <c r="H1245" s="590"/>
      <c r="I1245" s="523"/>
      <c r="J1245" s="590"/>
      <c r="K1245" s="590"/>
      <c r="L1245" s="523"/>
      <c r="M1245" s="590"/>
      <c r="N1245" s="523"/>
      <c r="O1245" s="524"/>
      <c r="P1245" s="523"/>
      <c r="Q1245" s="523"/>
      <c r="R1245" s="523"/>
      <c r="S1245" s="523"/>
      <c r="T1245" s="524"/>
      <c r="U1245" s="523"/>
      <c r="V1245" s="523"/>
    </row>
    <row r="1246" spans="1:22" x14ac:dyDescent="0.3">
      <c r="A1246" s="523"/>
      <c r="B1246" s="523"/>
      <c r="C1246" s="523"/>
      <c r="D1246" s="523"/>
      <c r="E1246" s="523"/>
      <c r="F1246" s="523"/>
      <c r="G1246" s="523"/>
      <c r="H1246" s="590"/>
      <c r="I1246" s="523"/>
      <c r="J1246" s="590"/>
      <c r="K1246" s="590"/>
      <c r="L1246" s="523"/>
      <c r="M1246" s="590"/>
      <c r="N1246" s="523"/>
      <c r="O1246" s="524"/>
      <c r="P1246" s="523"/>
      <c r="Q1246" s="523"/>
      <c r="R1246" s="523"/>
      <c r="S1246" s="523"/>
      <c r="T1246" s="524"/>
      <c r="U1246" s="523"/>
      <c r="V1246" s="523"/>
    </row>
    <row r="1247" spans="1:22" x14ac:dyDescent="0.3">
      <c r="A1247" s="523"/>
      <c r="B1247" s="523"/>
      <c r="C1247" s="523"/>
      <c r="D1247" s="523"/>
      <c r="E1247" s="523"/>
      <c r="F1247" s="523"/>
      <c r="G1247" s="523"/>
      <c r="H1247" s="590"/>
      <c r="I1247" s="523"/>
      <c r="J1247" s="590"/>
      <c r="K1247" s="590"/>
      <c r="L1247" s="523"/>
      <c r="M1247" s="590"/>
      <c r="N1247" s="523"/>
      <c r="O1247" s="524"/>
      <c r="P1247" s="523"/>
      <c r="Q1247" s="523"/>
      <c r="R1247" s="523"/>
      <c r="S1247" s="523"/>
      <c r="T1247" s="524"/>
      <c r="U1247" s="523"/>
      <c r="V1247" s="523"/>
    </row>
    <row r="1248" spans="1:22" x14ac:dyDescent="0.3">
      <c r="A1248" s="523"/>
      <c r="B1248" s="523"/>
      <c r="C1248" s="523"/>
      <c r="D1248" s="523"/>
      <c r="E1248" s="523"/>
      <c r="F1248" s="523"/>
      <c r="G1248" s="523"/>
      <c r="H1248" s="590"/>
      <c r="I1248" s="523"/>
      <c r="J1248" s="590"/>
      <c r="K1248" s="590"/>
      <c r="L1248" s="523"/>
      <c r="M1248" s="590"/>
      <c r="N1248" s="523"/>
      <c r="O1248" s="524"/>
      <c r="P1248" s="523"/>
      <c r="Q1248" s="523"/>
      <c r="R1248" s="523"/>
      <c r="S1248" s="523"/>
      <c r="T1248" s="524"/>
      <c r="U1248" s="523"/>
      <c r="V1248" s="523"/>
    </row>
    <row r="1249" spans="1:22" x14ac:dyDescent="0.3">
      <c r="A1249" s="523"/>
      <c r="B1249" s="523"/>
      <c r="C1249" s="523"/>
      <c r="D1249" s="523"/>
      <c r="E1249" s="523"/>
      <c r="F1249" s="523"/>
      <c r="G1249" s="523"/>
      <c r="H1249" s="590"/>
      <c r="I1249" s="523"/>
      <c r="J1249" s="590"/>
      <c r="K1249" s="590"/>
      <c r="L1249" s="523"/>
      <c r="M1249" s="590"/>
      <c r="N1249" s="523"/>
      <c r="O1249" s="524"/>
      <c r="P1249" s="523"/>
      <c r="Q1249" s="523"/>
      <c r="R1249" s="523"/>
      <c r="S1249" s="523"/>
      <c r="T1249" s="524"/>
      <c r="U1249" s="523"/>
      <c r="V1249" s="523"/>
    </row>
    <row r="1250" spans="1:22" x14ac:dyDescent="0.3">
      <c r="A1250" s="523"/>
      <c r="B1250" s="523"/>
      <c r="C1250" s="523"/>
      <c r="D1250" s="523"/>
      <c r="E1250" s="523"/>
      <c r="F1250" s="523"/>
      <c r="G1250" s="523"/>
      <c r="H1250" s="590"/>
      <c r="I1250" s="523"/>
      <c r="J1250" s="590"/>
      <c r="K1250" s="590"/>
      <c r="L1250" s="523"/>
      <c r="M1250" s="590"/>
      <c r="N1250" s="523"/>
      <c r="O1250" s="524"/>
      <c r="P1250" s="523"/>
      <c r="Q1250" s="523"/>
      <c r="R1250" s="523"/>
      <c r="S1250" s="523"/>
      <c r="T1250" s="524"/>
      <c r="U1250" s="523"/>
      <c r="V1250" s="523"/>
    </row>
    <row r="1251" spans="1:22" x14ac:dyDescent="0.3">
      <c r="A1251" s="523"/>
      <c r="B1251" s="523"/>
      <c r="C1251" s="523"/>
      <c r="D1251" s="523"/>
      <c r="E1251" s="523"/>
      <c r="F1251" s="523"/>
      <c r="G1251" s="523"/>
      <c r="H1251" s="590"/>
      <c r="I1251" s="523"/>
      <c r="J1251" s="590"/>
      <c r="K1251" s="590"/>
      <c r="L1251" s="523"/>
      <c r="M1251" s="590"/>
      <c r="N1251" s="523"/>
      <c r="O1251" s="524"/>
      <c r="P1251" s="523"/>
      <c r="Q1251" s="523"/>
      <c r="R1251" s="523"/>
      <c r="S1251" s="523"/>
      <c r="T1251" s="524"/>
      <c r="U1251" s="523"/>
      <c r="V1251" s="523"/>
    </row>
    <row r="1252" spans="1:22" x14ac:dyDescent="0.3">
      <c r="A1252" s="523"/>
      <c r="B1252" s="523"/>
      <c r="C1252" s="523"/>
      <c r="D1252" s="523"/>
      <c r="E1252" s="523"/>
      <c r="F1252" s="523"/>
      <c r="G1252" s="523"/>
      <c r="H1252" s="590"/>
      <c r="I1252" s="523"/>
      <c r="J1252" s="590"/>
      <c r="K1252" s="590"/>
      <c r="L1252" s="523"/>
      <c r="M1252" s="590"/>
      <c r="N1252" s="523"/>
      <c r="O1252" s="524"/>
      <c r="P1252" s="523"/>
      <c r="Q1252" s="523"/>
      <c r="R1252" s="523"/>
      <c r="S1252" s="523"/>
      <c r="T1252" s="524"/>
      <c r="U1252" s="523"/>
      <c r="V1252" s="523"/>
    </row>
    <row r="1253" spans="1:22" x14ac:dyDescent="0.3">
      <c r="A1253" s="523"/>
      <c r="B1253" s="523"/>
      <c r="C1253" s="523"/>
      <c r="D1253" s="523"/>
      <c r="E1253" s="523"/>
      <c r="F1253" s="523"/>
      <c r="G1253" s="523"/>
      <c r="H1253" s="590"/>
      <c r="I1253" s="523"/>
      <c r="J1253" s="590"/>
      <c r="K1253" s="590"/>
      <c r="L1253" s="523"/>
      <c r="M1253" s="590"/>
      <c r="N1253" s="523"/>
      <c r="O1253" s="524"/>
      <c r="P1253" s="523"/>
      <c r="Q1253" s="523"/>
      <c r="R1253" s="523"/>
      <c r="S1253" s="523"/>
      <c r="T1253" s="524"/>
      <c r="U1253" s="523"/>
      <c r="V1253" s="523"/>
    </row>
    <row r="1254" spans="1:22" x14ac:dyDescent="0.3">
      <c r="A1254" s="523"/>
      <c r="B1254" s="523"/>
      <c r="C1254" s="523"/>
      <c r="D1254" s="523"/>
      <c r="E1254" s="523"/>
      <c r="F1254" s="523"/>
      <c r="G1254" s="523"/>
      <c r="H1254" s="590"/>
      <c r="I1254" s="523"/>
      <c r="J1254" s="590"/>
      <c r="K1254" s="590"/>
      <c r="L1254" s="523"/>
      <c r="M1254" s="590"/>
      <c r="N1254" s="523"/>
      <c r="O1254" s="524"/>
      <c r="P1254" s="523"/>
      <c r="Q1254" s="523"/>
      <c r="R1254" s="523"/>
      <c r="S1254" s="523"/>
      <c r="T1254" s="524"/>
      <c r="U1254" s="523"/>
      <c r="V1254" s="523"/>
    </row>
    <row r="1255" spans="1:22" x14ac:dyDescent="0.3">
      <c r="A1255" s="523"/>
      <c r="B1255" s="523"/>
      <c r="C1255" s="523"/>
      <c r="D1255" s="523"/>
      <c r="E1255" s="523"/>
      <c r="F1255" s="523"/>
      <c r="G1255" s="523"/>
      <c r="H1255" s="590"/>
      <c r="I1255" s="523"/>
      <c r="J1255" s="590"/>
      <c r="K1255" s="590"/>
      <c r="L1255" s="523"/>
      <c r="M1255" s="590"/>
      <c r="N1255" s="523"/>
      <c r="O1255" s="524"/>
      <c r="P1255" s="523"/>
      <c r="Q1255" s="523"/>
      <c r="R1255" s="523"/>
      <c r="S1255" s="523"/>
      <c r="T1255" s="524"/>
      <c r="U1255" s="523"/>
      <c r="V1255" s="523"/>
    </row>
    <row r="1256" spans="1:22" x14ac:dyDescent="0.3">
      <c r="A1256" s="523"/>
      <c r="B1256" s="523"/>
      <c r="C1256" s="523"/>
      <c r="D1256" s="523"/>
      <c r="E1256" s="523"/>
      <c r="F1256" s="523"/>
      <c r="G1256" s="523"/>
      <c r="H1256" s="590"/>
      <c r="I1256" s="523"/>
      <c r="J1256" s="590"/>
      <c r="K1256" s="590"/>
      <c r="L1256" s="523"/>
      <c r="M1256" s="590"/>
      <c r="N1256" s="523"/>
      <c r="O1256" s="524"/>
      <c r="P1256" s="523"/>
      <c r="Q1256" s="523"/>
      <c r="R1256" s="523"/>
      <c r="S1256" s="523"/>
      <c r="T1256" s="524"/>
      <c r="U1256" s="523"/>
      <c r="V1256" s="523"/>
    </row>
    <row r="1257" spans="1:22" x14ac:dyDescent="0.3">
      <c r="A1257" s="523"/>
      <c r="B1257" s="523"/>
      <c r="C1257" s="523"/>
      <c r="D1257" s="523"/>
      <c r="E1257" s="523"/>
      <c r="F1257" s="523"/>
      <c r="G1257" s="523"/>
      <c r="H1257" s="590"/>
      <c r="I1257" s="523"/>
      <c r="J1257" s="590"/>
      <c r="K1257" s="590"/>
      <c r="L1257" s="523"/>
      <c r="M1257" s="590"/>
      <c r="N1257" s="523"/>
      <c r="O1257" s="524"/>
      <c r="P1257" s="523"/>
      <c r="Q1257" s="523"/>
      <c r="R1257" s="523"/>
      <c r="S1257" s="523"/>
      <c r="T1257" s="524"/>
      <c r="U1257" s="523"/>
      <c r="V1257" s="523"/>
    </row>
    <row r="1258" spans="1:22" x14ac:dyDescent="0.3">
      <c r="A1258" s="523"/>
      <c r="B1258" s="523"/>
      <c r="C1258" s="523"/>
      <c r="D1258" s="523"/>
      <c r="E1258" s="523"/>
      <c r="F1258" s="523"/>
      <c r="G1258" s="523"/>
      <c r="H1258" s="590"/>
      <c r="I1258" s="523"/>
      <c r="J1258" s="590"/>
      <c r="K1258" s="590"/>
      <c r="L1258" s="523"/>
      <c r="M1258" s="590"/>
      <c r="N1258" s="523"/>
      <c r="O1258" s="524"/>
      <c r="P1258" s="523"/>
      <c r="Q1258" s="523"/>
      <c r="R1258" s="523"/>
      <c r="S1258" s="523"/>
      <c r="T1258" s="524"/>
      <c r="U1258" s="523"/>
      <c r="V1258" s="523"/>
    </row>
    <row r="1259" spans="1:22" x14ac:dyDescent="0.3">
      <c r="A1259" s="523"/>
      <c r="B1259" s="523"/>
      <c r="C1259" s="523"/>
      <c r="D1259" s="523"/>
      <c r="E1259" s="523"/>
      <c r="F1259" s="523"/>
      <c r="G1259" s="523"/>
      <c r="H1259" s="590"/>
      <c r="I1259" s="523"/>
      <c r="J1259" s="590"/>
      <c r="K1259" s="590"/>
      <c r="L1259" s="523"/>
      <c r="M1259" s="590"/>
      <c r="N1259" s="523"/>
      <c r="O1259" s="524"/>
      <c r="P1259" s="523"/>
      <c r="Q1259" s="523"/>
      <c r="R1259" s="523"/>
      <c r="S1259" s="523"/>
      <c r="T1259" s="524"/>
      <c r="U1259" s="523"/>
      <c r="V1259" s="523"/>
    </row>
    <row r="1260" spans="1:22" x14ac:dyDescent="0.3">
      <c r="A1260" s="523"/>
      <c r="B1260" s="523"/>
      <c r="C1260" s="523"/>
      <c r="D1260" s="523"/>
      <c r="E1260" s="523"/>
      <c r="F1260" s="523"/>
      <c r="G1260" s="523"/>
      <c r="H1260" s="590"/>
      <c r="I1260" s="523"/>
      <c r="J1260" s="590"/>
      <c r="K1260" s="590"/>
      <c r="L1260" s="523"/>
      <c r="M1260" s="590"/>
      <c r="N1260" s="523"/>
      <c r="O1260" s="524"/>
      <c r="P1260" s="523"/>
      <c r="Q1260" s="523"/>
      <c r="R1260" s="523"/>
      <c r="S1260" s="523"/>
      <c r="T1260" s="524"/>
      <c r="U1260" s="523"/>
      <c r="V1260" s="523"/>
    </row>
    <row r="1261" spans="1:22" x14ac:dyDescent="0.3">
      <c r="A1261" s="523"/>
      <c r="B1261" s="523"/>
      <c r="C1261" s="523"/>
      <c r="D1261" s="523"/>
      <c r="E1261" s="523"/>
      <c r="F1261" s="523"/>
      <c r="G1261" s="523"/>
      <c r="H1261" s="590"/>
      <c r="I1261" s="523"/>
      <c r="J1261" s="590"/>
      <c r="K1261" s="590"/>
      <c r="L1261" s="523"/>
      <c r="M1261" s="590"/>
      <c r="N1261" s="523"/>
      <c r="O1261" s="524"/>
      <c r="P1261" s="523"/>
      <c r="Q1261" s="523"/>
      <c r="R1261" s="523"/>
      <c r="S1261" s="523"/>
      <c r="T1261" s="524"/>
      <c r="U1261" s="523"/>
      <c r="V1261" s="523"/>
    </row>
    <row r="1262" spans="1:22" x14ac:dyDescent="0.3">
      <c r="A1262" s="523"/>
      <c r="B1262" s="523"/>
      <c r="C1262" s="523"/>
      <c r="D1262" s="523"/>
      <c r="E1262" s="523"/>
      <c r="F1262" s="523"/>
      <c r="G1262" s="523"/>
      <c r="H1262" s="590"/>
      <c r="I1262" s="523"/>
      <c r="J1262" s="590"/>
      <c r="K1262" s="590"/>
      <c r="L1262" s="523"/>
      <c r="M1262" s="590"/>
      <c r="N1262" s="523"/>
      <c r="O1262" s="524"/>
      <c r="P1262" s="523"/>
      <c r="Q1262" s="523"/>
      <c r="R1262" s="523"/>
      <c r="S1262" s="523"/>
      <c r="T1262" s="524"/>
      <c r="U1262" s="523"/>
      <c r="V1262" s="523"/>
    </row>
    <row r="1263" spans="1:22" x14ac:dyDescent="0.3">
      <c r="A1263" s="523"/>
      <c r="B1263" s="523"/>
      <c r="C1263" s="523"/>
      <c r="D1263" s="523"/>
      <c r="E1263" s="523"/>
      <c r="F1263" s="523"/>
      <c r="G1263" s="523"/>
      <c r="H1263" s="590"/>
      <c r="I1263" s="523"/>
      <c r="J1263" s="590"/>
      <c r="K1263" s="590"/>
      <c r="L1263" s="523"/>
      <c r="M1263" s="590"/>
      <c r="N1263" s="523"/>
      <c r="O1263" s="524"/>
      <c r="P1263" s="523"/>
      <c r="Q1263" s="523"/>
      <c r="R1263" s="523"/>
      <c r="S1263" s="523"/>
      <c r="T1263" s="524"/>
      <c r="U1263" s="523"/>
      <c r="V1263" s="523"/>
    </row>
    <row r="1264" spans="1:22" x14ac:dyDescent="0.3">
      <c r="A1264" s="523"/>
      <c r="B1264" s="523"/>
      <c r="C1264" s="523"/>
      <c r="D1264" s="523"/>
      <c r="E1264" s="523"/>
      <c r="F1264" s="523"/>
      <c r="G1264" s="523"/>
      <c r="H1264" s="590"/>
      <c r="I1264" s="523"/>
      <c r="J1264" s="590"/>
      <c r="K1264" s="590"/>
      <c r="L1264" s="523"/>
      <c r="M1264" s="590"/>
      <c r="N1264" s="523"/>
      <c r="O1264" s="524"/>
      <c r="P1264" s="523"/>
      <c r="Q1264" s="523"/>
      <c r="R1264" s="523"/>
      <c r="S1264" s="523"/>
      <c r="T1264" s="524"/>
      <c r="U1264" s="523"/>
      <c r="V1264" s="523"/>
    </row>
    <row r="1265" spans="1:22" x14ac:dyDescent="0.3">
      <c r="A1265" s="523"/>
      <c r="B1265" s="523"/>
      <c r="C1265" s="523"/>
      <c r="D1265" s="523"/>
      <c r="E1265" s="523"/>
      <c r="F1265" s="523"/>
      <c r="G1265" s="523"/>
      <c r="H1265" s="590"/>
      <c r="I1265" s="523"/>
      <c r="J1265" s="590"/>
      <c r="K1265" s="590"/>
      <c r="L1265" s="523"/>
      <c r="M1265" s="590"/>
      <c r="N1265" s="523"/>
      <c r="O1265" s="524"/>
      <c r="P1265" s="523"/>
      <c r="Q1265" s="523"/>
      <c r="R1265" s="523"/>
      <c r="S1265" s="523"/>
      <c r="T1265" s="524"/>
      <c r="U1265" s="523"/>
      <c r="V1265" s="523"/>
    </row>
    <row r="1266" spans="1:22" x14ac:dyDescent="0.3">
      <c r="A1266" s="523"/>
      <c r="B1266" s="523"/>
      <c r="C1266" s="523"/>
      <c r="D1266" s="523"/>
      <c r="E1266" s="523"/>
      <c r="F1266" s="523"/>
      <c r="G1266" s="523"/>
      <c r="H1266" s="590"/>
      <c r="I1266" s="523"/>
      <c r="J1266" s="590"/>
      <c r="K1266" s="590"/>
      <c r="L1266" s="523"/>
      <c r="M1266" s="590"/>
      <c r="N1266" s="523"/>
      <c r="O1266" s="524"/>
      <c r="P1266" s="523"/>
      <c r="Q1266" s="523"/>
      <c r="R1266" s="523"/>
      <c r="S1266" s="523"/>
      <c r="T1266" s="524"/>
      <c r="U1266" s="523"/>
      <c r="V1266" s="523"/>
    </row>
    <row r="1267" spans="1:22" x14ac:dyDescent="0.3">
      <c r="A1267" s="523"/>
      <c r="B1267" s="523"/>
      <c r="C1267" s="523"/>
      <c r="D1267" s="523"/>
      <c r="E1267" s="523"/>
      <c r="F1267" s="523"/>
      <c r="G1267" s="523"/>
      <c r="H1267" s="590"/>
      <c r="I1267" s="523"/>
      <c r="J1267" s="590"/>
      <c r="K1267" s="590"/>
      <c r="L1267" s="523"/>
      <c r="M1267" s="590"/>
      <c r="N1267" s="523"/>
      <c r="O1267" s="524"/>
      <c r="P1267" s="523"/>
      <c r="Q1267" s="523"/>
      <c r="R1267" s="523"/>
      <c r="S1267" s="523"/>
      <c r="T1267" s="524"/>
      <c r="U1267" s="523"/>
      <c r="V1267" s="523"/>
    </row>
    <row r="1268" spans="1:22" x14ac:dyDescent="0.3">
      <c r="A1268" s="523"/>
      <c r="B1268" s="523"/>
      <c r="C1268" s="523"/>
      <c r="D1268" s="523"/>
      <c r="E1268" s="523"/>
      <c r="F1268" s="523"/>
      <c r="G1268" s="523"/>
      <c r="H1268" s="590"/>
      <c r="I1268" s="523"/>
      <c r="J1268" s="590"/>
      <c r="K1268" s="590"/>
      <c r="L1268" s="523"/>
      <c r="M1268" s="590"/>
      <c r="N1268" s="523"/>
      <c r="O1268" s="524"/>
      <c r="P1268" s="523"/>
      <c r="Q1268" s="523"/>
      <c r="R1268" s="523"/>
      <c r="S1268" s="523"/>
      <c r="T1268" s="524"/>
      <c r="U1268" s="523"/>
      <c r="V1268" s="523"/>
    </row>
    <row r="1269" spans="1:22" x14ac:dyDescent="0.3">
      <c r="A1269" s="523"/>
      <c r="B1269" s="523"/>
      <c r="C1269" s="523"/>
      <c r="D1269" s="523"/>
      <c r="E1269" s="523"/>
      <c r="F1269" s="523"/>
      <c r="G1269" s="523"/>
      <c r="H1269" s="590"/>
      <c r="I1269" s="523"/>
      <c r="J1269" s="590"/>
      <c r="K1269" s="590"/>
      <c r="L1269" s="523"/>
      <c r="M1269" s="590"/>
      <c r="N1269" s="523"/>
      <c r="O1269" s="524"/>
      <c r="P1269" s="523"/>
      <c r="Q1269" s="523"/>
      <c r="R1269" s="523"/>
      <c r="S1269" s="523"/>
      <c r="T1269" s="524"/>
      <c r="U1269" s="523"/>
      <c r="V1269" s="523"/>
    </row>
    <row r="1270" spans="1:22" x14ac:dyDescent="0.3">
      <c r="A1270" s="523"/>
      <c r="B1270" s="523"/>
      <c r="C1270" s="523"/>
      <c r="D1270" s="523"/>
      <c r="E1270" s="523"/>
      <c r="F1270" s="523"/>
      <c r="G1270" s="523"/>
      <c r="H1270" s="590"/>
      <c r="I1270" s="523"/>
      <c r="J1270" s="590"/>
      <c r="K1270" s="590"/>
      <c r="L1270" s="523"/>
      <c r="M1270" s="590"/>
      <c r="N1270" s="523"/>
      <c r="O1270" s="524"/>
      <c r="P1270" s="523"/>
      <c r="Q1270" s="523"/>
      <c r="R1270" s="523"/>
      <c r="S1270" s="523"/>
      <c r="T1270" s="524"/>
      <c r="U1270" s="523"/>
      <c r="V1270" s="523"/>
    </row>
    <row r="1271" spans="1:22" x14ac:dyDescent="0.3">
      <c r="A1271" s="523"/>
      <c r="B1271" s="523"/>
      <c r="C1271" s="523"/>
      <c r="D1271" s="523"/>
      <c r="E1271" s="523"/>
      <c r="F1271" s="523"/>
      <c r="G1271" s="523"/>
      <c r="H1271" s="590"/>
      <c r="I1271" s="523"/>
      <c r="J1271" s="590"/>
      <c r="K1271" s="590"/>
      <c r="L1271" s="523"/>
      <c r="M1271" s="590"/>
      <c r="N1271" s="523"/>
      <c r="O1271" s="524"/>
      <c r="P1271" s="523"/>
      <c r="Q1271" s="523"/>
      <c r="R1271" s="523"/>
      <c r="S1271" s="523"/>
      <c r="T1271" s="524"/>
      <c r="U1271" s="523"/>
      <c r="V1271" s="523"/>
    </row>
    <row r="1272" spans="1:22" x14ac:dyDescent="0.3">
      <c r="A1272" s="523"/>
      <c r="B1272" s="523"/>
      <c r="C1272" s="523"/>
      <c r="D1272" s="523"/>
      <c r="E1272" s="523"/>
      <c r="F1272" s="523"/>
      <c r="G1272" s="523"/>
      <c r="H1272" s="590"/>
      <c r="I1272" s="523"/>
      <c r="J1272" s="590"/>
      <c r="K1272" s="590"/>
      <c r="L1272" s="523"/>
      <c r="M1272" s="590"/>
      <c r="N1272" s="523"/>
      <c r="O1272" s="524"/>
      <c r="P1272" s="523"/>
      <c r="Q1272" s="523"/>
      <c r="R1272" s="523"/>
      <c r="S1272" s="523"/>
      <c r="T1272" s="524"/>
      <c r="U1272" s="523"/>
      <c r="V1272" s="523"/>
    </row>
    <row r="1273" spans="1:22" x14ac:dyDescent="0.3">
      <c r="A1273" s="523"/>
      <c r="B1273" s="523"/>
      <c r="C1273" s="523"/>
      <c r="D1273" s="523"/>
      <c r="E1273" s="523"/>
      <c r="F1273" s="523"/>
      <c r="G1273" s="523"/>
      <c r="H1273" s="590"/>
      <c r="I1273" s="523"/>
      <c r="J1273" s="590"/>
      <c r="K1273" s="590"/>
      <c r="L1273" s="523"/>
      <c r="M1273" s="590"/>
      <c r="N1273" s="523"/>
      <c r="O1273" s="524"/>
      <c r="P1273" s="523"/>
      <c r="Q1273" s="523"/>
      <c r="R1273" s="523"/>
      <c r="S1273" s="523"/>
      <c r="T1273" s="524"/>
      <c r="U1273" s="523"/>
      <c r="V1273" s="523"/>
    </row>
    <row r="1274" spans="1:22" x14ac:dyDescent="0.3">
      <c r="A1274" s="523"/>
      <c r="B1274" s="523"/>
      <c r="C1274" s="523"/>
      <c r="D1274" s="523"/>
      <c r="E1274" s="523"/>
      <c r="F1274" s="523"/>
      <c r="G1274" s="523"/>
      <c r="H1274" s="590"/>
      <c r="I1274" s="523"/>
      <c r="J1274" s="590"/>
      <c r="K1274" s="590"/>
      <c r="L1274" s="523"/>
      <c r="M1274" s="590"/>
      <c r="N1274" s="523"/>
      <c r="O1274" s="524"/>
      <c r="P1274" s="523"/>
      <c r="Q1274" s="523"/>
      <c r="R1274" s="523"/>
      <c r="S1274" s="523"/>
      <c r="T1274" s="524"/>
      <c r="U1274" s="523"/>
      <c r="V1274" s="523"/>
    </row>
    <row r="1275" spans="1:22" x14ac:dyDescent="0.3">
      <c r="A1275" s="523"/>
      <c r="B1275" s="523"/>
      <c r="C1275" s="523"/>
      <c r="D1275" s="523"/>
      <c r="E1275" s="523"/>
      <c r="F1275" s="523"/>
      <c r="G1275" s="523"/>
      <c r="H1275" s="590"/>
      <c r="I1275" s="523"/>
      <c r="J1275" s="590"/>
      <c r="K1275" s="590"/>
      <c r="L1275" s="523"/>
      <c r="M1275" s="590"/>
      <c r="N1275" s="523"/>
      <c r="O1275" s="524"/>
      <c r="P1275" s="523"/>
      <c r="Q1275" s="523"/>
      <c r="R1275" s="523"/>
      <c r="S1275" s="523"/>
      <c r="T1275" s="524"/>
      <c r="U1275" s="523"/>
      <c r="V1275" s="523"/>
    </row>
    <row r="1276" spans="1:22" x14ac:dyDescent="0.3">
      <c r="A1276" s="523"/>
      <c r="B1276" s="523"/>
      <c r="C1276" s="523"/>
      <c r="D1276" s="523"/>
      <c r="E1276" s="523"/>
      <c r="F1276" s="523"/>
      <c r="G1276" s="523"/>
      <c r="H1276" s="590"/>
      <c r="I1276" s="523"/>
      <c r="J1276" s="590"/>
      <c r="K1276" s="590"/>
      <c r="L1276" s="523"/>
      <c r="M1276" s="590"/>
      <c r="N1276" s="523"/>
      <c r="O1276" s="524"/>
      <c r="P1276" s="523"/>
      <c r="Q1276" s="523"/>
      <c r="R1276" s="523"/>
      <c r="S1276" s="523"/>
      <c r="T1276" s="524"/>
      <c r="U1276" s="523"/>
      <c r="V1276" s="523"/>
    </row>
    <row r="1277" spans="1:22" x14ac:dyDescent="0.3">
      <c r="A1277" s="523"/>
      <c r="B1277" s="523"/>
      <c r="C1277" s="523"/>
      <c r="D1277" s="523"/>
      <c r="E1277" s="523"/>
      <c r="F1277" s="523"/>
      <c r="G1277" s="523"/>
      <c r="H1277" s="590"/>
      <c r="I1277" s="523"/>
      <c r="J1277" s="590"/>
      <c r="K1277" s="590"/>
      <c r="L1277" s="523"/>
      <c r="M1277" s="590"/>
      <c r="N1277" s="523"/>
      <c r="O1277" s="524"/>
      <c r="P1277" s="523"/>
      <c r="Q1277" s="523"/>
      <c r="R1277" s="523"/>
      <c r="S1277" s="523"/>
      <c r="T1277" s="524"/>
      <c r="U1277" s="523"/>
      <c r="V1277" s="523"/>
    </row>
    <row r="1278" spans="1:22" x14ac:dyDescent="0.3">
      <c r="A1278" s="523"/>
      <c r="B1278" s="523"/>
      <c r="C1278" s="523"/>
      <c r="D1278" s="523"/>
      <c r="E1278" s="523"/>
      <c r="F1278" s="523"/>
      <c r="G1278" s="523"/>
      <c r="H1278" s="590"/>
      <c r="I1278" s="523"/>
      <c r="J1278" s="590"/>
      <c r="K1278" s="590"/>
      <c r="L1278" s="523"/>
      <c r="M1278" s="590"/>
      <c r="N1278" s="523"/>
      <c r="O1278" s="524"/>
      <c r="P1278" s="523"/>
      <c r="Q1278" s="523"/>
      <c r="R1278" s="523"/>
      <c r="S1278" s="523"/>
      <c r="T1278" s="524"/>
      <c r="U1278" s="523"/>
      <c r="V1278" s="523"/>
    </row>
    <row r="1279" spans="1:22" x14ac:dyDescent="0.3">
      <c r="A1279" s="523"/>
      <c r="B1279" s="523"/>
      <c r="C1279" s="523"/>
      <c r="D1279" s="523"/>
      <c r="E1279" s="523"/>
      <c r="F1279" s="523"/>
      <c r="G1279" s="523"/>
      <c r="H1279" s="590"/>
      <c r="I1279" s="523"/>
      <c r="J1279" s="590"/>
      <c r="K1279" s="590"/>
      <c r="L1279" s="523"/>
      <c r="M1279" s="590"/>
      <c r="N1279" s="523"/>
      <c r="O1279" s="524"/>
      <c r="P1279" s="523"/>
      <c r="Q1279" s="523"/>
      <c r="R1279" s="523"/>
      <c r="S1279" s="523"/>
      <c r="T1279" s="524"/>
      <c r="U1279" s="523"/>
      <c r="V1279" s="523"/>
    </row>
    <row r="1280" spans="1:22" x14ac:dyDescent="0.3">
      <c r="A1280" s="523"/>
      <c r="B1280" s="523"/>
      <c r="C1280" s="523"/>
      <c r="D1280" s="523"/>
      <c r="E1280" s="523"/>
      <c r="F1280" s="523"/>
      <c r="G1280" s="523"/>
      <c r="H1280" s="590"/>
      <c r="I1280" s="523"/>
      <c r="J1280" s="590"/>
      <c r="K1280" s="590"/>
      <c r="L1280" s="523"/>
      <c r="M1280" s="590"/>
      <c r="N1280" s="523"/>
      <c r="O1280" s="524"/>
      <c r="P1280" s="523"/>
      <c r="Q1280" s="523"/>
      <c r="R1280" s="523"/>
      <c r="S1280" s="523"/>
      <c r="T1280" s="524"/>
      <c r="U1280" s="523"/>
      <c r="V1280" s="523"/>
    </row>
    <row r="1281" spans="1:22" x14ac:dyDescent="0.3">
      <c r="A1281" s="523"/>
      <c r="B1281" s="523"/>
      <c r="C1281" s="523"/>
      <c r="D1281" s="523"/>
      <c r="E1281" s="523"/>
      <c r="F1281" s="523"/>
      <c r="G1281" s="523"/>
      <c r="H1281" s="590"/>
      <c r="I1281" s="523"/>
      <c r="J1281" s="590"/>
      <c r="K1281" s="590"/>
      <c r="L1281" s="523"/>
      <c r="M1281" s="590"/>
      <c r="N1281" s="523"/>
      <c r="O1281" s="524"/>
      <c r="P1281" s="523"/>
      <c r="Q1281" s="523"/>
      <c r="R1281" s="523"/>
      <c r="S1281" s="523"/>
      <c r="T1281" s="524"/>
      <c r="U1281" s="523"/>
      <c r="V1281" s="523"/>
    </row>
    <row r="1282" spans="1:22" x14ac:dyDescent="0.3">
      <c r="A1282" s="523"/>
      <c r="B1282" s="523"/>
      <c r="C1282" s="523"/>
      <c r="D1282" s="523"/>
      <c r="E1282" s="523"/>
      <c r="F1282" s="523"/>
      <c r="G1282" s="523"/>
      <c r="H1282" s="590"/>
      <c r="I1282" s="523"/>
      <c r="J1282" s="590"/>
      <c r="K1282" s="590"/>
      <c r="L1282" s="523"/>
      <c r="M1282" s="590"/>
      <c r="N1282" s="523"/>
      <c r="O1282" s="524"/>
      <c r="P1282" s="523"/>
      <c r="Q1282" s="523"/>
      <c r="R1282" s="523"/>
      <c r="S1282" s="523"/>
      <c r="T1282" s="524"/>
      <c r="U1282" s="523"/>
      <c r="V1282" s="523"/>
    </row>
    <row r="1283" spans="1:22" x14ac:dyDescent="0.3">
      <c r="A1283" s="523"/>
      <c r="B1283" s="523"/>
      <c r="C1283" s="523"/>
      <c r="D1283" s="523"/>
      <c r="E1283" s="523"/>
      <c r="F1283" s="523"/>
      <c r="G1283" s="523"/>
      <c r="H1283" s="590"/>
      <c r="I1283" s="523"/>
      <c r="J1283" s="590"/>
      <c r="K1283" s="590"/>
      <c r="L1283" s="523"/>
      <c r="M1283" s="590"/>
      <c r="N1283" s="523"/>
      <c r="O1283" s="524"/>
      <c r="P1283" s="523"/>
      <c r="Q1283" s="523"/>
      <c r="R1283" s="523"/>
      <c r="S1283" s="523"/>
      <c r="T1283" s="524"/>
      <c r="U1283" s="523"/>
      <c r="V1283" s="523"/>
    </row>
    <row r="1284" spans="1:22" x14ac:dyDescent="0.3">
      <c r="A1284" s="523"/>
      <c r="B1284" s="523"/>
      <c r="C1284" s="523"/>
      <c r="D1284" s="523"/>
      <c r="E1284" s="523"/>
      <c r="F1284" s="523"/>
      <c r="G1284" s="523"/>
      <c r="H1284" s="590"/>
      <c r="I1284" s="523"/>
      <c r="J1284" s="590"/>
      <c r="K1284" s="590"/>
      <c r="L1284" s="523"/>
      <c r="M1284" s="590"/>
      <c r="N1284" s="523"/>
      <c r="O1284" s="524"/>
      <c r="P1284" s="523"/>
      <c r="Q1284" s="523"/>
      <c r="R1284" s="523"/>
      <c r="S1284" s="523"/>
      <c r="T1284" s="524"/>
      <c r="U1284" s="523"/>
      <c r="V1284" s="523"/>
    </row>
    <row r="1285" spans="1:22" x14ac:dyDescent="0.3">
      <c r="A1285" s="523"/>
      <c r="B1285" s="523"/>
      <c r="C1285" s="523"/>
      <c r="D1285" s="523"/>
      <c r="E1285" s="523"/>
      <c r="F1285" s="523"/>
      <c r="G1285" s="523"/>
      <c r="H1285" s="590"/>
      <c r="I1285" s="523"/>
      <c r="J1285" s="590"/>
      <c r="K1285" s="590"/>
      <c r="L1285" s="523"/>
      <c r="M1285" s="590"/>
      <c r="N1285" s="523"/>
      <c r="O1285" s="524"/>
      <c r="P1285" s="523"/>
      <c r="Q1285" s="523"/>
      <c r="R1285" s="523"/>
      <c r="S1285" s="523"/>
      <c r="T1285" s="524"/>
      <c r="U1285" s="523"/>
      <c r="V1285" s="523"/>
    </row>
    <row r="1286" spans="1:22" x14ac:dyDescent="0.3">
      <c r="A1286" s="523"/>
      <c r="B1286" s="523"/>
      <c r="C1286" s="523"/>
      <c r="D1286" s="523"/>
      <c r="E1286" s="523"/>
      <c r="F1286" s="523"/>
      <c r="G1286" s="523"/>
      <c r="H1286" s="590"/>
      <c r="I1286" s="523"/>
      <c r="J1286" s="590"/>
      <c r="K1286" s="590"/>
      <c r="L1286" s="523"/>
      <c r="M1286" s="590"/>
      <c r="N1286" s="523"/>
      <c r="O1286" s="524"/>
      <c r="P1286" s="523"/>
      <c r="Q1286" s="523"/>
      <c r="R1286" s="523"/>
      <c r="S1286" s="523"/>
      <c r="T1286" s="524"/>
      <c r="U1286" s="523"/>
      <c r="V1286" s="523"/>
    </row>
    <row r="1287" spans="1:22" x14ac:dyDescent="0.3">
      <c r="A1287" s="523"/>
      <c r="B1287" s="523"/>
      <c r="C1287" s="523"/>
      <c r="D1287" s="523"/>
      <c r="E1287" s="523"/>
      <c r="F1287" s="523"/>
      <c r="G1287" s="523"/>
      <c r="H1287" s="590"/>
      <c r="I1287" s="523"/>
      <c r="J1287" s="590"/>
      <c r="K1287" s="590"/>
      <c r="L1287" s="523"/>
      <c r="M1287" s="590"/>
      <c r="N1287" s="523"/>
      <c r="O1287" s="524"/>
      <c r="P1287" s="523"/>
      <c r="Q1287" s="523"/>
      <c r="R1287" s="523"/>
      <c r="S1287" s="523"/>
      <c r="T1287" s="524"/>
      <c r="U1287" s="523"/>
      <c r="V1287" s="523"/>
    </row>
    <row r="1288" spans="1:22" x14ac:dyDescent="0.3">
      <c r="A1288" s="523"/>
      <c r="B1288" s="523"/>
      <c r="C1288" s="523"/>
      <c r="D1288" s="523"/>
      <c r="E1288" s="523"/>
      <c r="F1288" s="523"/>
      <c r="G1288" s="523"/>
      <c r="H1288" s="590"/>
      <c r="I1288" s="523"/>
      <c r="J1288" s="590"/>
      <c r="K1288" s="590"/>
      <c r="L1288" s="523"/>
      <c r="M1288" s="590"/>
      <c r="N1288" s="523"/>
      <c r="O1288" s="524"/>
      <c r="P1288" s="523"/>
      <c r="Q1288" s="523"/>
      <c r="R1288" s="523"/>
      <c r="S1288" s="523"/>
      <c r="T1288" s="524"/>
      <c r="U1288" s="523"/>
      <c r="V1288" s="523"/>
    </row>
    <row r="1289" spans="1:22" x14ac:dyDescent="0.3">
      <c r="A1289" s="523"/>
      <c r="B1289" s="523"/>
      <c r="C1289" s="523"/>
      <c r="D1289" s="523"/>
      <c r="E1289" s="523"/>
      <c r="F1289" s="523"/>
      <c r="G1289" s="523"/>
      <c r="H1289" s="590"/>
      <c r="I1289" s="523"/>
      <c r="J1289" s="590"/>
      <c r="K1289" s="590"/>
      <c r="L1289" s="523"/>
      <c r="M1289" s="590"/>
      <c r="N1289" s="523"/>
      <c r="O1289" s="524"/>
      <c r="P1289" s="523"/>
      <c r="Q1289" s="523"/>
      <c r="R1289" s="523"/>
      <c r="S1289" s="523"/>
      <c r="T1289" s="524"/>
      <c r="U1289" s="523"/>
      <c r="V1289" s="523"/>
    </row>
    <row r="1290" spans="1:22" x14ac:dyDescent="0.3">
      <c r="A1290" s="523"/>
      <c r="B1290" s="523"/>
      <c r="C1290" s="523"/>
      <c r="D1290" s="523"/>
      <c r="E1290" s="523"/>
      <c r="F1290" s="523"/>
      <c r="G1290" s="523"/>
      <c r="H1290" s="590"/>
      <c r="I1290" s="523"/>
      <c r="J1290" s="590"/>
      <c r="K1290" s="590"/>
      <c r="L1290" s="523"/>
      <c r="M1290" s="590"/>
      <c r="N1290" s="523"/>
      <c r="O1290" s="524"/>
      <c r="P1290" s="523"/>
      <c r="Q1290" s="523"/>
      <c r="R1290" s="523"/>
      <c r="S1290" s="523"/>
      <c r="T1290" s="524"/>
      <c r="U1290" s="523"/>
      <c r="V1290" s="523"/>
    </row>
    <row r="1291" spans="1:22" x14ac:dyDescent="0.3">
      <c r="A1291" s="523"/>
      <c r="B1291" s="523"/>
      <c r="C1291" s="523"/>
      <c r="D1291" s="523"/>
      <c r="E1291" s="523"/>
      <c r="F1291" s="523"/>
      <c r="G1291" s="523"/>
      <c r="H1291" s="590"/>
      <c r="I1291" s="523"/>
      <c r="J1291" s="590"/>
      <c r="K1291" s="590"/>
      <c r="L1291" s="523"/>
      <c r="M1291" s="590"/>
      <c r="N1291" s="523"/>
      <c r="O1291" s="524"/>
      <c r="P1291" s="523"/>
      <c r="Q1291" s="523"/>
      <c r="R1291" s="523"/>
      <c r="S1291" s="523"/>
      <c r="T1291" s="524"/>
      <c r="U1291" s="523"/>
      <c r="V1291" s="523"/>
    </row>
    <row r="1292" spans="1:22" x14ac:dyDescent="0.3">
      <c r="A1292" s="523"/>
      <c r="B1292" s="523"/>
      <c r="C1292" s="523"/>
      <c r="D1292" s="523"/>
      <c r="E1292" s="523"/>
      <c r="F1292" s="523"/>
      <c r="G1292" s="523"/>
      <c r="H1292" s="590"/>
      <c r="I1292" s="523"/>
      <c r="J1292" s="590"/>
      <c r="K1292" s="590"/>
      <c r="L1292" s="523"/>
      <c r="M1292" s="590"/>
      <c r="N1292" s="523"/>
      <c r="O1292" s="524"/>
      <c r="P1292" s="523"/>
      <c r="Q1292" s="523"/>
      <c r="R1292" s="523"/>
      <c r="S1292" s="523"/>
      <c r="T1292" s="524"/>
      <c r="U1292" s="523"/>
      <c r="V1292" s="523"/>
    </row>
    <row r="1293" spans="1:22" x14ac:dyDescent="0.3">
      <c r="A1293" s="523"/>
      <c r="B1293" s="523"/>
      <c r="C1293" s="523"/>
      <c r="D1293" s="523"/>
      <c r="E1293" s="523"/>
      <c r="F1293" s="523"/>
      <c r="G1293" s="523"/>
      <c r="H1293" s="590"/>
      <c r="I1293" s="523"/>
      <c r="J1293" s="590"/>
      <c r="K1293" s="590"/>
      <c r="L1293" s="523"/>
      <c r="M1293" s="590"/>
      <c r="N1293" s="523"/>
      <c r="O1293" s="524"/>
      <c r="P1293" s="523"/>
      <c r="Q1293" s="523"/>
      <c r="R1293" s="523"/>
      <c r="S1293" s="523"/>
      <c r="T1293" s="524"/>
      <c r="U1293" s="523"/>
      <c r="V1293" s="523"/>
    </row>
    <row r="1294" spans="1:22" x14ac:dyDescent="0.3">
      <c r="A1294" s="523"/>
      <c r="B1294" s="523"/>
      <c r="C1294" s="523"/>
      <c r="D1294" s="523"/>
      <c r="E1294" s="523"/>
      <c r="F1294" s="523"/>
      <c r="G1294" s="523"/>
      <c r="H1294" s="590"/>
      <c r="I1294" s="523"/>
      <c r="J1294" s="590"/>
      <c r="K1294" s="590"/>
      <c r="L1294" s="523"/>
      <c r="M1294" s="590"/>
      <c r="N1294" s="523"/>
      <c r="O1294" s="524"/>
      <c r="P1294" s="523"/>
      <c r="Q1294" s="523"/>
      <c r="R1294" s="523"/>
      <c r="S1294" s="523"/>
      <c r="T1294" s="524"/>
      <c r="U1294" s="523"/>
      <c r="V1294" s="523"/>
    </row>
    <row r="1295" spans="1:22" x14ac:dyDescent="0.3">
      <c r="A1295" s="523"/>
      <c r="B1295" s="523"/>
      <c r="C1295" s="523"/>
      <c r="D1295" s="523"/>
      <c r="E1295" s="523"/>
      <c r="F1295" s="523"/>
      <c r="G1295" s="523"/>
      <c r="H1295" s="590"/>
      <c r="I1295" s="523"/>
      <c r="J1295" s="590"/>
      <c r="K1295" s="590"/>
      <c r="L1295" s="523"/>
      <c r="M1295" s="590"/>
      <c r="N1295" s="523"/>
      <c r="O1295" s="524"/>
      <c r="P1295" s="523"/>
      <c r="Q1295" s="523"/>
      <c r="R1295" s="523"/>
      <c r="S1295" s="523"/>
      <c r="T1295" s="524"/>
      <c r="U1295" s="523"/>
      <c r="V1295" s="523"/>
    </row>
    <row r="1296" spans="1:22" x14ac:dyDescent="0.3">
      <c r="A1296" s="523"/>
      <c r="B1296" s="523"/>
      <c r="C1296" s="523"/>
      <c r="D1296" s="523"/>
      <c r="E1296" s="523"/>
      <c r="F1296" s="523"/>
      <c r="G1296" s="523"/>
      <c r="H1296" s="590"/>
      <c r="I1296" s="523"/>
      <c r="J1296" s="590"/>
      <c r="K1296" s="590"/>
      <c r="L1296" s="523"/>
      <c r="M1296" s="590"/>
      <c r="N1296" s="523"/>
      <c r="O1296" s="524"/>
      <c r="P1296" s="523"/>
      <c r="Q1296" s="523"/>
      <c r="R1296" s="523"/>
      <c r="S1296" s="523"/>
      <c r="T1296" s="524"/>
      <c r="U1296" s="523"/>
      <c r="V1296" s="523"/>
    </row>
    <row r="1297" spans="1:22" x14ac:dyDescent="0.3">
      <c r="A1297" s="523"/>
      <c r="B1297" s="523"/>
      <c r="C1297" s="523"/>
      <c r="D1297" s="523"/>
      <c r="E1297" s="523"/>
      <c r="F1297" s="523"/>
      <c r="G1297" s="523"/>
      <c r="H1297" s="590"/>
      <c r="I1297" s="523"/>
      <c r="J1297" s="590"/>
      <c r="K1297" s="590"/>
      <c r="L1297" s="523"/>
      <c r="M1297" s="590"/>
      <c r="N1297" s="523"/>
      <c r="O1297" s="524"/>
      <c r="P1297" s="523"/>
      <c r="Q1297" s="523"/>
      <c r="R1297" s="523"/>
      <c r="S1297" s="523"/>
      <c r="T1297" s="524"/>
      <c r="U1297" s="523"/>
      <c r="V1297" s="523"/>
    </row>
    <row r="1298" spans="1:22" x14ac:dyDescent="0.3">
      <c r="A1298" s="523"/>
      <c r="B1298" s="523"/>
      <c r="C1298" s="523"/>
      <c r="D1298" s="523"/>
      <c r="E1298" s="523"/>
      <c r="F1298" s="523"/>
      <c r="G1298" s="523"/>
      <c r="H1298" s="590"/>
      <c r="I1298" s="523"/>
      <c r="J1298" s="590"/>
      <c r="K1298" s="590"/>
      <c r="L1298" s="523"/>
      <c r="M1298" s="590"/>
      <c r="N1298" s="523"/>
      <c r="O1298" s="524"/>
      <c r="P1298" s="523"/>
      <c r="Q1298" s="523"/>
      <c r="R1298" s="523"/>
      <c r="S1298" s="523"/>
      <c r="T1298" s="524"/>
      <c r="U1298" s="523"/>
      <c r="V1298" s="523"/>
    </row>
    <row r="1299" spans="1:22" x14ac:dyDescent="0.3">
      <c r="A1299" s="523"/>
      <c r="B1299" s="523"/>
      <c r="C1299" s="523"/>
      <c r="D1299" s="523"/>
      <c r="E1299" s="523"/>
      <c r="F1299" s="523"/>
      <c r="G1299" s="523"/>
      <c r="H1299" s="590"/>
      <c r="I1299" s="523"/>
      <c r="J1299" s="590"/>
      <c r="K1299" s="590"/>
      <c r="L1299" s="523"/>
      <c r="M1299" s="590"/>
      <c r="N1299" s="523"/>
      <c r="O1299" s="524"/>
      <c r="P1299" s="523"/>
      <c r="Q1299" s="523"/>
      <c r="R1299" s="523"/>
      <c r="S1299" s="523"/>
      <c r="T1299" s="524"/>
      <c r="U1299" s="523"/>
      <c r="V1299" s="523"/>
    </row>
    <row r="1300" spans="1:22" x14ac:dyDescent="0.3">
      <c r="A1300" s="523"/>
      <c r="B1300" s="523"/>
      <c r="C1300" s="523"/>
      <c r="D1300" s="523"/>
      <c r="E1300" s="523"/>
      <c r="F1300" s="523"/>
      <c r="G1300" s="523"/>
      <c r="H1300" s="590"/>
      <c r="I1300" s="523"/>
      <c r="J1300" s="590"/>
      <c r="K1300" s="590"/>
      <c r="L1300" s="523"/>
      <c r="M1300" s="590"/>
      <c r="N1300" s="523"/>
      <c r="O1300" s="524"/>
      <c r="P1300" s="523"/>
      <c r="Q1300" s="523"/>
      <c r="R1300" s="523"/>
      <c r="S1300" s="523"/>
      <c r="T1300" s="524"/>
      <c r="U1300" s="523"/>
      <c r="V1300" s="523"/>
    </row>
    <row r="1301" spans="1:22" x14ac:dyDescent="0.3">
      <c r="A1301" s="523"/>
      <c r="B1301" s="523"/>
      <c r="C1301" s="523"/>
      <c r="D1301" s="523"/>
      <c r="E1301" s="523"/>
      <c r="F1301" s="523"/>
      <c r="G1301" s="523"/>
      <c r="H1301" s="590"/>
      <c r="I1301" s="523"/>
      <c r="J1301" s="590"/>
      <c r="K1301" s="590"/>
      <c r="L1301" s="523"/>
      <c r="M1301" s="590"/>
      <c r="N1301" s="523"/>
      <c r="O1301" s="524"/>
      <c r="P1301" s="523"/>
      <c r="Q1301" s="523"/>
      <c r="R1301" s="523"/>
      <c r="S1301" s="523"/>
      <c r="T1301" s="524"/>
      <c r="U1301" s="523"/>
      <c r="V1301" s="523"/>
    </row>
    <row r="1302" spans="1:22" x14ac:dyDescent="0.3">
      <c r="A1302" s="523"/>
      <c r="B1302" s="523"/>
      <c r="C1302" s="523"/>
      <c r="D1302" s="523"/>
      <c r="E1302" s="523"/>
      <c r="F1302" s="523"/>
      <c r="G1302" s="523"/>
      <c r="H1302" s="590"/>
      <c r="I1302" s="523"/>
      <c r="J1302" s="590"/>
      <c r="K1302" s="590"/>
      <c r="L1302" s="523"/>
      <c r="M1302" s="590"/>
      <c r="N1302" s="523"/>
      <c r="O1302" s="524"/>
      <c r="P1302" s="523"/>
      <c r="Q1302" s="523"/>
      <c r="R1302" s="523"/>
      <c r="S1302" s="523"/>
      <c r="T1302" s="524"/>
      <c r="U1302" s="523"/>
      <c r="V1302" s="523"/>
    </row>
    <row r="1303" spans="1:22" x14ac:dyDescent="0.3">
      <c r="A1303" s="523"/>
      <c r="B1303" s="523"/>
      <c r="C1303" s="523"/>
      <c r="D1303" s="523"/>
      <c r="E1303" s="523"/>
      <c r="F1303" s="523"/>
      <c r="G1303" s="523"/>
      <c r="H1303" s="590"/>
      <c r="I1303" s="523"/>
      <c r="J1303" s="590"/>
      <c r="K1303" s="590"/>
      <c r="L1303" s="523"/>
      <c r="M1303" s="590"/>
      <c r="N1303" s="523"/>
      <c r="O1303" s="524"/>
      <c r="P1303" s="523"/>
      <c r="Q1303" s="523"/>
      <c r="R1303" s="523"/>
      <c r="S1303" s="523"/>
      <c r="T1303" s="524"/>
      <c r="U1303" s="523"/>
      <c r="V1303" s="523"/>
    </row>
    <row r="1304" spans="1:22" x14ac:dyDescent="0.3">
      <c r="A1304" s="523"/>
      <c r="B1304" s="523"/>
      <c r="C1304" s="523"/>
      <c r="D1304" s="523"/>
      <c r="E1304" s="523"/>
      <c r="F1304" s="523"/>
      <c r="G1304" s="523"/>
      <c r="H1304" s="590"/>
      <c r="I1304" s="523"/>
      <c r="J1304" s="590"/>
      <c r="K1304" s="590"/>
      <c r="L1304" s="523"/>
      <c r="M1304" s="590"/>
      <c r="N1304" s="523"/>
      <c r="O1304" s="524"/>
      <c r="P1304" s="523"/>
      <c r="Q1304" s="523"/>
      <c r="R1304" s="523"/>
      <c r="S1304" s="523"/>
      <c r="T1304" s="524"/>
      <c r="U1304" s="523"/>
      <c r="V1304" s="523"/>
    </row>
    <row r="1305" spans="1:22" x14ac:dyDescent="0.3">
      <c r="A1305" s="523"/>
      <c r="B1305" s="523"/>
      <c r="C1305" s="523"/>
      <c r="D1305" s="523"/>
      <c r="E1305" s="523"/>
      <c r="F1305" s="523"/>
      <c r="G1305" s="523"/>
      <c r="H1305" s="590"/>
      <c r="I1305" s="523"/>
      <c r="J1305" s="590"/>
      <c r="K1305" s="590"/>
      <c r="L1305" s="523"/>
      <c r="M1305" s="590"/>
      <c r="N1305" s="523"/>
      <c r="O1305" s="524"/>
      <c r="P1305" s="523"/>
      <c r="Q1305" s="523"/>
      <c r="R1305" s="523"/>
      <c r="S1305" s="523"/>
      <c r="T1305" s="524"/>
      <c r="U1305" s="523"/>
      <c r="V1305" s="523"/>
    </row>
    <row r="1306" spans="1:22" x14ac:dyDescent="0.3">
      <c r="A1306" s="523"/>
      <c r="B1306" s="523"/>
      <c r="C1306" s="523"/>
      <c r="D1306" s="523"/>
      <c r="E1306" s="523"/>
      <c r="F1306" s="523"/>
      <c r="G1306" s="523"/>
      <c r="H1306" s="590"/>
      <c r="I1306" s="523"/>
      <c r="J1306" s="590"/>
      <c r="K1306" s="590"/>
      <c r="L1306" s="523"/>
      <c r="M1306" s="590"/>
      <c r="N1306" s="523"/>
      <c r="O1306" s="524"/>
      <c r="P1306" s="523"/>
      <c r="Q1306" s="523"/>
      <c r="R1306" s="523"/>
      <c r="S1306" s="523"/>
      <c r="T1306" s="524"/>
      <c r="U1306" s="523"/>
      <c r="V1306" s="523"/>
    </row>
    <row r="1307" spans="1:22" x14ac:dyDescent="0.3">
      <c r="A1307" s="523"/>
      <c r="B1307" s="523"/>
      <c r="C1307" s="523"/>
      <c r="D1307" s="523"/>
      <c r="E1307" s="523"/>
      <c r="F1307" s="523"/>
      <c r="G1307" s="523"/>
      <c r="H1307" s="590"/>
      <c r="I1307" s="523"/>
      <c r="J1307" s="590"/>
      <c r="K1307" s="590"/>
      <c r="L1307" s="523"/>
      <c r="M1307" s="590"/>
      <c r="N1307" s="523"/>
      <c r="O1307" s="524"/>
      <c r="P1307" s="523"/>
      <c r="Q1307" s="523"/>
      <c r="R1307" s="523"/>
      <c r="S1307" s="523"/>
      <c r="T1307" s="524"/>
      <c r="U1307" s="523"/>
      <c r="V1307" s="523"/>
    </row>
    <row r="1308" spans="1:22" x14ac:dyDescent="0.3">
      <c r="A1308" s="523"/>
      <c r="B1308" s="523"/>
      <c r="C1308" s="523"/>
      <c r="D1308" s="523"/>
      <c r="E1308" s="523"/>
      <c r="F1308" s="523"/>
      <c r="G1308" s="523"/>
      <c r="H1308" s="590"/>
      <c r="I1308" s="523"/>
      <c r="J1308" s="590"/>
      <c r="K1308" s="590"/>
      <c r="L1308" s="523"/>
      <c r="M1308" s="590"/>
      <c r="N1308" s="523"/>
      <c r="O1308" s="524"/>
      <c r="P1308" s="523"/>
      <c r="Q1308" s="523"/>
      <c r="R1308" s="523"/>
      <c r="S1308" s="523"/>
      <c r="T1308" s="524"/>
      <c r="U1308" s="523"/>
      <c r="V1308" s="523"/>
    </row>
    <row r="1309" spans="1:22" x14ac:dyDescent="0.3">
      <c r="A1309" s="523"/>
      <c r="B1309" s="523"/>
      <c r="C1309" s="523"/>
      <c r="D1309" s="523"/>
      <c r="E1309" s="523"/>
      <c r="F1309" s="523"/>
      <c r="G1309" s="523"/>
      <c r="H1309" s="590"/>
      <c r="I1309" s="523"/>
      <c r="J1309" s="590"/>
      <c r="K1309" s="590"/>
      <c r="L1309" s="523"/>
      <c r="M1309" s="590"/>
      <c r="N1309" s="523"/>
      <c r="O1309" s="524"/>
      <c r="P1309" s="523"/>
      <c r="Q1309" s="523"/>
      <c r="R1309" s="523"/>
      <c r="S1309" s="523"/>
      <c r="T1309" s="524"/>
      <c r="U1309" s="523"/>
      <c r="V1309" s="523"/>
    </row>
    <row r="1310" spans="1:22" x14ac:dyDescent="0.3">
      <c r="A1310" s="523"/>
      <c r="B1310" s="523"/>
      <c r="C1310" s="523"/>
      <c r="D1310" s="523"/>
      <c r="E1310" s="523"/>
      <c r="F1310" s="523"/>
      <c r="G1310" s="523"/>
      <c r="H1310" s="590"/>
      <c r="I1310" s="523"/>
      <c r="J1310" s="590"/>
      <c r="K1310" s="590"/>
      <c r="L1310" s="523"/>
      <c r="M1310" s="590"/>
      <c r="N1310" s="523"/>
      <c r="O1310" s="524"/>
      <c r="P1310" s="523"/>
      <c r="Q1310" s="523"/>
      <c r="R1310" s="523"/>
      <c r="S1310" s="523"/>
      <c r="T1310" s="524"/>
      <c r="U1310" s="523"/>
      <c r="V1310" s="523"/>
    </row>
    <row r="1311" spans="1:22" x14ac:dyDescent="0.3">
      <c r="A1311" s="523"/>
      <c r="B1311" s="523"/>
      <c r="C1311" s="523"/>
      <c r="D1311" s="523"/>
      <c r="E1311" s="523"/>
      <c r="F1311" s="523"/>
      <c r="G1311" s="523"/>
      <c r="H1311" s="590"/>
      <c r="I1311" s="523"/>
      <c r="J1311" s="590"/>
      <c r="K1311" s="590"/>
      <c r="L1311" s="523"/>
      <c r="M1311" s="590"/>
      <c r="N1311" s="523"/>
      <c r="O1311" s="524"/>
      <c r="P1311" s="523"/>
      <c r="Q1311" s="523"/>
      <c r="R1311" s="523"/>
      <c r="S1311" s="523"/>
      <c r="T1311" s="524"/>
      <c r="U1311" s="523"/>
      <c r="V1311" s="523"/>
    </row>
    <row r="1312" spans="1:22" x14ac:dyDescent="0.3">
      <c r="A1312" s="523"/>
      <c r="B1312" s="523"/>
      <c r="C1312" s="523"/>
      <c r="D1312" s="523"/>
      <c r="E1312" s="523"/>
      <c r="F1312" s="523"/>
      <c r="G1312" s="523"/>
      <c r="H1312" s="590"/>
      <c r="I1312" s="523"/>
      <c r="J1312" s="590"/>
      <c r="K1312" s="590"/>
      <c r="L1312" s="523"/>
      <c r="M1312" s="590"/>
      <c r="N1312" s="523"/>
      <c r="O1312" s="524"/>
      <c r="P1312" s="523"/>
      <c r="Q1312" s="523"/>
      <c r="R1312" s="523"/>
      <c r="S1312" s="523"/>
      <c r="T1312" s="524"/>
      <c r="U1312" s="523"/>
      <c r="V1312" s="523"/>
    </row>
    <row r="1313" spans="1:22" x14ac:dyDescent="0.3">
      <c r="A1313" s="523"/>
      <c r="B1313" s="523"/>
      <c r="C1313" s="523"/>
      <c r="D1313" s="523"/>
      <c r="E1313" s="523"/>
      <c r="F1313" s="523"/>
      <c r="G1313" s="523"/>
      <c r="H1313" s="590"/>
      <c r="I1313" s="523"/>
      <c r="J1313" s="590"/>
      <c r="K1313" s="590"/>
      <c r="L1313" s="523"/>
      <c r="M1313" s="590"/>
      <c r="N1313" s="523"/>
      <c r="O1313" s="524"/>
      <c r="P1313" s="523"/>
      <c r="Q1313" s="523"/>
      <c r="R1313" s="523"/>
      <c r="S1313" s="523"/>
      <c r="T1313" s="524"/>
      <c r="U1313" s="523"/>
      <c r="V1313" s="523"/>
    </row>
    <row r="1314" spans="1:22" x14ac:dyDescent="0.3">
      <c r="A1314" s="523"/>
      <c r="B1314" s="523"/>
      <c r="C1314" s="523"/>
      <c r="D1314" s="523"/>
      <c r="E1314" s="523"/>
      <c r="F1314" s="523"/>
      <c r="G1314" s="523"/>
      <c r="H1314" s="590"/>
      <c r="I1314" s="523"/>
      <c r="J1314" s="590"/>
      <c r="K1314" s="590"/>
      <c r="L1314" s="523"/>
      <c r="M1314" s="590"/>
      <c r="N1314" s="523"/>
      <c r="O1314" s="524"/>
      <c r="P1314" s="523"/>
      <c r="Q1314" s="523"/>
      <c r="R1314" s="523"/>
      <c r="S1314" s="523"/>
      <c r="T1314" s="524"/>
      <c r="U1314" s="523"/>
      <c r="V1314" s="523"/>
    </row>
    <row r="1315" spans="1:22" x14ac:dyDescent="0.3">
      <c r="A1315" s="523"/>
      <c r="B1315" s="523"/>
      <c r="C1315" s="523"/>
      <c r="D1315" s="523"/>
      <c r="E1315" s="523"/>
      <c r="F1315" s="523"/>
      <c r="G1315" s="523"/>
      <c r="H1315" s="590"/>
      <c r="I1315" s="523"/>
      <c r="J1315" s="590"/>
      <c r="K1315" s="590"/>
      <c r="L1315" s="523"/>
      <c r="M1315" s="590"/>
      <c r="N1315" s="523"/>
      <c r="O1315" s="524"/>
      <c r="P1315" s="523"/>
      <c r="Q1315" s="523"/>
      <c r="R1315" s="523"/>
      <c r="S1315" s="523"/>
      <c r="T1315" s="524"/>
      <c r="U1315" s="523"/>
      <c r="V1315" s="523"/>
    </row>
    <row r="1316" spans="1:22" x14ac:dyDescent="0.3">
      <c r="A1316" s="523"/>
      <c r="B1316" s="523"/>
      <c r="C1316" s="523"/>
      <c r="D1316" s="523"/>
      <c r="E1316" s="523"/>
      <c r="F1316" s="523"/>
      <c r="G1316" s="523"/>
      <c r="H1316" s="590"/>
      <c r="I1316" s="523"/>
      <c r="J1316" s="590"/>
      <c r="K1316" s="590"/>
      <c r="L1316" s="523"/>
      <c r="M1316" s="590"/>
      <c r="N1316" s="523"/>
      <c r="O1316" s="524"/>
      <c r="P1316" s="523"/>
      <c r="Q1316" s="523"/>
      <c r="R1316" s="523"/>
      <c r="S1316" s="523"/>
      <c r="T1316" s="524"/>
      <c r="U1316" s="523"/>
      <c r="V1316" s="523"/>
    </row>
    <row r="1317" spans="1:22" x14ac:dyDescent="0.3">
      <c r="A1317" s="523"/>
      <c r="B1317" s="523"/>
      <c r="C1317" s="523"/>
      <c r="D1317" s="523"/>
      <c r="E1317" s="523"/>
      <c r="F1317" s="523"/>
      <c r="G1317" s="523"/>
      <c r="H1317" s="590"/>
      <c r="I1317" s="523"/>
      <c r="J1317" s="590"/>
      <c r="K1317" s="590"/>
      <c r="L1317" s="523"/>
      <c r="M1317" s="590"/>
      <c r="N1317" s="523"/>
      <c r="O1317" s="524"/>
      <c r="P1317" s="523"/>
      <c r="Q1317" s="523"/>
      <c r="R1317" s="523"/>
      <c r="S1317" s="523"/>
      <c r="T1317" s="524"/>
      <c r="U1317" s="523"/>
      <c r="V1317" s="523"/>
    </row>
    <row r="1318" spans="1:22" x14ac:dyDescent="0.3">
      <c r="A1318" s="523"/>
      <c r="B1318" s="523"/>
      <c r="C1318" s="523"/>
      <c r="D1318" s="523"/>
      <c r="E1318" s="523"/>
      <c r="F1318" s="523"/>
      <c r="G1318" s="523"/>
      <c r="H1318" s="590"/>
      <c r="I1318" s="523"/>
      <c r="J1318" s="590"/>
      <c r="K1318" s="590"/>
      <c r="L1318" s="523"/>
      <c r="M1318" s="590"/>
      <c r="N1318" s="523"/>
      <c r="O1318" s="524"/>
      <c r="P1318" s="523"/>
      <c r="Q1318" s="523"/>
      <c r="R1318" s="523"/>
      <c r="S1318" s="523"/>
      <c r="T1318" s="524"/>
      <c r="U1318" s="523"/>
      <c r="V1318" s="523"/>
    </row>
    <row r="1319" spans="1:22" x14ac:dyDescent="0.3">
      <c r="A1319" s="523"/>
      <c r="B1319" s="523"/>
      <c r="C1319" s="523"/>
      <c r="D1319" s="523"/>
      <c r="E1319" s="523"/>
      <c r="F1319" s="523"/>
      <c r="G1319" s="523"/>
      <c r="H1319" s="590"/>
      <c r="I1319" s="523"/>
      <c r="J1319" s="590"/>
      <c r="K1319" s="590"/>
      <c r="L1319" s="523"/>
      <c r="M1319" s="590"/>
      <c r="N1319" s="523"/>
      <c r="O1319" s="524"/>
      <c r="P1319" s="523"/>
      <c r="Q1319" s="523"/>
      <c r="R1319" s="523"/>
      <c r="S1319" s="523"/>
      <c r="T1319" s="524"/>
      <c r="U1319" s="523"/>
      <c r="V1319" s="523"/>
    </row>
    <row r="1320" spans="1:22" x14ac:dyDescent="0.3">
      <c r="A1320" s="523"/>
      <c r="B1320" s="523"/>
      <c r="C1320" s="523"/>
      <c r="D1320" s="523"/>
      <c r="E1320" s="523"/>
      <c r="F1320" s="523"/>
      <c r="G1320" s="523"/>
      <c r="H1320" s="590"/>
      <c r="I1320" s="523"/>
      <c r="J1320" s="590"/>
      <c r="K1320" s="590"/>
      <c r="L1320" s="523"/>
      <c r="M1320" s="590"/>
      <c r="N1320" s="523"/>
      <c r="O1320" s="524"/>
      <c r="P1320" s="523"/>
      <c r="Q1320" s="523"/>
      <c r="R1320" s="523"/>
      <c r="S1320" s="523"/>
      <c r="T1320" s="524"/>
      <c r="U1320" s="523"/>
      <c r="V1320" s="523"/>
    </row>
    <row r="1321" spans="1:22" x14ac:dyDescent="0.3">
      <c r="A1321" s="523"/>
      <c r="B1321" s="523"/>
      <c r="C1321" s="523"/>
      <c r="D1321" s="523"/>
      <c r="E1321" s="523"/>
      <c r="F1321" s="523"/>
      <c r="G1321" s="523"/>
      <c r="H1321" s="590"/>
      <c r="I1321" s="523"/>
      <c r="J1321" s="590"/>
      <c r="K1321" s="590"/>
      <c r="L1321" s="523"/>
      <c r="M1321" s="590"/>
      <c r="N1321" s="523"/>
      <c r="O1321" s="524"/>
      <c r="P1321" s="523"/>
      <c r="Q1321" s="523"/>
      <c r="R1321" s="523"/>
      <c r="S1321" s="523"/>
      <c r="T1321" s="524"/>
      <c r="U1321" s="523"/>
      <c r="V1321" s="523"/>
    </row>
    <row r="1322" spans="1:22" x14ac:dyDescent="0.3">
      <c r="A1322" s="523"/>
      <c r="B1322" s="523"/>
      <c r="C1322" s="523"/>
      <c r="D1322" s="523"/>
      <c r="E1322" s="523"/>
      <c r="F1322" s="523"/>
      <c r="G1322" s="523"/>
      <c r="H1322" s="590"/>
      <c r="I1322" s="523"/>
      <c r="J1322" s="590"/>
      <c r="K1322" s="590"/>
      <c r="L1322" s="523"/>
      <c r="M1322" s="590"/>
      <c r="N1322" s="523"/>
      <c r="O1322" s="524"/>
      <c r="P1322" s="523"/>
      <c r="Q1322" s="523"/>
      <c r="R1322" s="523"/>
      <c r="S1322" s="523"/>
      <c r="T1322" s="524"/>
      <c r="U1322" s="523"/>
      <c r="V1322" s="523"/>
    </row>
    <row r="1323" spans="1:22" x14ac:dyDescent="0.3">
      <c r="A1323" s="523"/>
      <c r="B1323" s="523"/>
      <c r="C1323" s="523"/>
      <c r="D1323" s="523"/>
      <c r="E1323" s="523"/>
      <c r="F1323" s="523"/>
      <c r="G1323" s="523"/>
      <c r="H1323" s="590"/>
      <c r="I1323" s="523"/>
      <c r="J1323" s="590"/>
      <c r="K1323" s="590"/>
      <c r="L1323" s="523"/>
      <c r="M1323" s="590"/>
      <c r="N1323" s="523"/>
      <c r="O1323" s="524"/>
      <c r="P1323" s="523"/>
      <c r="Q1323" s="523"/>
      <c r="R1323" s="523"/>
      <c r="S1323" s="523"/>
      <c r="T1323" s="524"/>
      <c r="U1323" s="523"/>
      <c r="V1323" s="523"/>
    </row>
    <row r="1324" spans="1:22" x14ac:dyDescent="0.3">
      <c r="A1324" s="523"/>
      <c r="B1324" s="523"/>
      <c r="C1324" s="523"/>
      <c r="D1324" s="523"/>
      <c r="E1324" s="523"/>
      <c r="F1324" s="523"/>
      <c r="G1324" s="523"/>
      <c r="H1324" s="590"/>
      <c r="I1324" s="523"/>
      <c r="J1324" s="590"/>
      <c r="K1324" s="590"/>
      <c r="L1324" s="523"/>
      <c r="M1324" s="590"/>
      <c r="N1324" s="523"/>
      <c r="O1324" s="524"/>
      <c r="P1324" s="523"/>
      <c r="Q1324" s="523"/>
      <c r="R1324" s="523"/>
      <c r="S1324" s="523"/>
      <c r="T1324" s="524"/>
      <c r="U1324" s="523"/>
      <c r="V1324" s="523"/>
    </row>
    <row r="1325" spans="1:22" x14ac:dyDescent="0.3">
      <c r="A1325" s="523"/>
      <c r="B1325" s="523"/>
      <c r="C1325" s="523"/>
      <c r="D1325" s="523"/>
      <c r="E1325" s="523"/>
      <c r="F1325" s="523"/>
      <c r="G1325" s="523"/>
      <c r="H1325" s="590"/>
      <c r="I1325" s="523"/>
      <c r="J1325" s="590"/>
      <c r="K1325" s="590"/>
      <c r="L1325" s="523"/>
      <c r="M1325" s="590"/>
      <c r="N1325" s="523"/>
      <c r="O1325" s="524"/>
      <c r="P1325" s="523"/>
      <c r="Q1325" s="523"/>
      <c r="R1325" s="523"/>
      <c r="S1325" s="523"/>
      <c r="T1325" s="524"/>
      <c r="U1325" s="523"/>
      <c r="V1325" s="523"/>
    </row>
    <row r="1326" spans="1:22" x14ac:dyDescent="0.3">
      <c r="A1326" s="523"/>
      <c r="B1326" s="523"/>
      <c r="C1326" s="523"/>
      <c r="D1326" s="523"/>
      <c r="E1326" s="523"/>
      <c r="F1326" s="523"/>
      <c r="G1326" s="523"/>
      <c r="H1326" s="590"/>
      <c r="I1326" s="523"/>
      <c r="J1326" s="590"/>
      <c r="K1326" s="590"/>
      <c r="L1326" s="523"/>
      <c r="M1326" s="590"/>
      <c r="N1326" s="523"/>
      <c r="O1326" s="524"/>
      <c r="P1326" s="523"/>
      <c r="Q1326" s="523"/>
      <c r="R1326" s="523"/>
      <c r="S1326" s="523"/>
      <c r="T1326" s="524"/>
      <c r="U1326" s="523"/>
      <c r="V1326" s="523"/>
    </row>
    <row r="1327" spans="1:22" x14ac:dyDescent="0.3">
      <c r="A1327" s="523"/>
      <c r="B1327" s="523"/>
      <c r="C1327" s="523"/>
      <c r="D1327" s="523"/>
      <c r="E1327" s="523"/>
      <c r="F1327" s="523"/>
      <c r="G1327" s="523"/>
      <c r="H1327" s="590"/>
      <c r="I1327" s="523"/>
      <c r="J1327" s="590"/>
      <c r="K1327" s="590"/>
      <c r="L1327" s="523"/>
      <c r="M1327" s="590"/>
      <c r="N1327" s="523"/>
      <c r="O1327" s="524"/>
      <c r="P1327" s="523"/>
      <c r="Q1327" s="523"/>
      <c r="R1327" s="523"/>
      <c r="S1327" s="523"/>
      <c r="T1327" s="524"/>
      <c r="U1327" s="523"/>
      <c r="V1327" s="523"/>
    </row>
    <row r="1328" spans="1:22" x14ac:dyDescent="0.3">
      <c r="A1328" s="523"/>
      <c r="B1328" s="523"/>
      <c r="C1328" s="523"/>
      <c r="D1328" s="523"/>
      <c r="E1328" s="523"/>
      <c r="F1328" s="523"/>
      <c r="G1328" s="523"/>
      <c r="H1328" s="590"/>
      <c r="I1328" s="523"/>
      <c r="J1328" s="590"/>
      <c r="K1328" s="590"/>
      <c r="L1328" s="523"/>
      <c r="M1328" s="590"/>
      <c r="N1328" s="523"/>
      <c r="O1328" s="524"/>
      <c r="P1328" s="523"/>
      <c r="Q1328" s="523"/>
      <c r="R1328" s="523"/>
      <c r="S1328" s="523"/>
      <c r="T1328" s="524"/>
      <c r="U1328" s="523"/>
      <c r="V1328" s="523"/>
    </row>
    <row r="1329" spans="1:22" x14ac:dyDescent="0.3">
      <c r="A1329" s="523"/>
      <c r="B1329" s="523"/>
      <c r="C1329" s="523"/>
      <c r="D1329" s="523"/>
      <c r="E1329" s="523"/>
      <c r="F1329" s="523"/>
      <c r="G1329" s="523"/>
      <c r="H1329" s="590"/>
      <c r="I1329" s="523"/>
      <c r="J1329" s="590"/>
      <c r="K1329" s="590"/>
      <c r="L1329" s="523"/>
      <c r="M1329" s="590"/>
      <c r="N1329" s="523"/>
      <c r="O1329" s="524"/>
      <c r="P1329" s="523"/>
      <c r="Q1329" s="523"/>
      <c r="R1329" s="523"/>
      <c r="S1329" s="523"/>
      <c r="T1329" s="524"/>
      <c r="U1329" s="523"/>
      <c r="V1329" s="523"/>
    </row>
    <row r="1330" spans="1:22" x14ac:dyDescent="0.3">
      <c r="A1330" s="523"/>
      <c r="B1330" s="523"/>
      <c r="C1330" s="523"/>
      <c r="D1330" s="523"/>
      <c r="E1330" s="523"/>
      <c r="F1330" s="523"/>
      <c r="G1330" s="523"/>
      <c r="H1330" s="590"/>
      <c r="I1330" s="523"/>
      <c r="J1330" s="590"/>
      <c r="K1330" s="590"/>
      <c r="L1330" s="523"/>
      <c r="M1330" s="590"/>
      <c r="N1330" s="523"/>
      <c r="O1330" s="524"/>
      <c r="P1330" s="523"/>
      <c r="Q1330" s="523"/>
      <c r="R1330" s="523"/>
      <c r="S1330" s="523"/>
      <c r="T1330" s="524"/>
      <c r="U1330" s="523"/>
      <c r="V1330" s="523"/>
    </row>
    <row r="1331" spans="1:22" x14ac:dyDescent="0.3">
      <c r="A1331" s="523"/>
      <c r="B1331" s="523"/>
      <c r="C1331" s="523"/>
      <c r="D1331" s="523"/>
      <c r="E1331" s="523"/>
      <c r="F1331" s="523"/>
      <c r="G1331" s="523"/>
      <c r="H1331" s="590"/>
      <c r="I1331" s="523"/>
      <c r="J1331" s="590"/>
      <c r="K1331" s="590"/>
      <c r="L1331" s="523"/>
      <c r="M1331" s="590"/>
      <c r="N1331" s="523"/>
      <c r="O1331" s="524"/>
      <c r="P1331" s="523"/>
      <c r="Q1331" s="523"/>
      <c r="R1331" s="523"/>
      <c r="S1331" s="523"/>
      <c r="T1331" s="524"/>
      <c r="U1331" s="523"/>
      <c r="V1331" s="523"/>
    </row>
    <row r="1332" spans="1:22" x14ac:dyDescent="0.3">
      <c r="A1332" s="523"/>
      <c r="B1332" s="523"/>
      <c r="C1332" s="523"/>
      <c r="D1332" s="523"/>
      <c r="E1332" s="523"/>
      <c r="F1332" s="523"/>
      <c r="G1332" s="523"/>
      <c r="H1332" s="590"/>
      <c r="I1332" s="523"/>
      <c r="J1332" s="590"/>
      <c r="K1332" s="590"/>
      <c r="L1332" s="523"/>
      <c r="M1332" s="590"/>
      <c r="N1332" s="523"/>
      <c r="O1332" s="524"/>
      <c r="P1332" s="523"/>
      <c r="Q1332" s="523"/>
      <c r="R1332" s="523"/>
      <c r="S1332" s="523"/>
      <c r="T1332" s="524"/>
      <c r="U1332" s="523"/>
      <c r="V1332" s="523"/>
    </row>
    <row r="1333" spans="1:22" x14ac:dyDescent="0.3">
      <c r="A1333" s="523"/>
      <c r="B1333" s="523"/>
      <c r="C1333" s="523"/>
      <c r="D1333" s="523"/>
      <c r="E1333" s="523"/>
      <c r="F1333" s="523"/>
      <c r="G1333" s="523"/>
      <c r="H1333" s="590"/>
      <c r="I1333" s="523"/>
      <c r="J1333" s="590"/>
      <c r="K1333" s="590"/>
      <c r="L1333" s="523"/>
      <c r="M1333" s="590"/>
      <c r="N1333" s="523"/>
      <c r="O1333" s="524"/>
      <c r="P1333" s="523"/>
      <c r="Q1333" s="523"/>
      <c r="R1333" s="523"/>
      <c r="S1333" s="523"/>
      <c r="T1333" s="524"/>
      <c r="U1333" s="523"/>
      <c r="V1333" s="523"/>
    </row>
    <row r="1334" spans="1:22" x14ac:dyDescent="0.3">
      <c r="A1334" s="523"/>
      <c r="B1334" s="523"/>
      <c r="C1334" s="523"/>
      <c r="D1334" s="523"/>
      <c r="E1334" s="523"/>
      <c r="F1334" s="523"/>
      <c r="G1334" s="523"/>
      <c r="H1334" s="590"/>
      <c r="I1334" s="523"/>
      <c r="J1334" s="590"/>
      <c r="K1334" s="590"/>
      <c r="L1334" s="523"/>
      <c r="M1334" s="590"/>
      <c r="N1334" s="523"/>
      <c r="O1334" s="524"/>
      <c r="P1334" s="523"/>
      <c r="Q1334" s="523"/>
      <c r="R1334" s="523"/>
      <c r="S1334" s="523"/>
      <c r="T1334" s="524"/>
      <c r="U1334" s="523"/>
      <c r="V1334" s="523"/>
    </row>
    <row r="1335" spans="1:22" x14ac:dyDescent="0.3">
      <c r="A1335" s="523"/>
      <c r="B1335" s="523"/>
      <c r="C1335" s="523"/>
      <c r="D1335" s="523"/>
      <c r="E1335" s="523"/>
      <c r="F1335" s="523"/>
      <c r="G1335" s="523"/>
      <c r="H1335" s="590"/>
      <c r="I1335" s="523"/>
      <c r="J1335" s="590"/>
      <c r="K1335" s="590"/>
      <c r="L1335" s="523"/>
      <c r="M1335" s="590"/>
      <c r="N1335" s="523"/>
      <c r="O1335" s="524"/>
      <c r="P1335" s="523"/>
      <c r="Q1335" s="523"/>
      <c r="R1335" s="523"/>
      <c r="S1335" s="523"/>
      <c r="T1335" s="524"/>
      <c r="U1335" s="523"/>
      <c r="V1335" s="523"/>
    </row>
    <row r="1336" spans="1:22" x14ac:dyDescent="0.3">
      <c r="A1336" s="523"/>
      <c r="B1336" s="523"/>
      <c r="C1336" s="523"/>
      <c r="D1336" s="523"/>
      <c r="E1336" s="523"/>
      <c r="F1336" s="523"/>
      <c r="G1336" s="523"/>
      <c r="H1336" s="590"/>
      <c r="I1336" s="523"/>
      <c r="J1336" s="590"/>
      <c r="K1336" s="590"/>
      <c r="L1336" s="523"/>
      <c r="M1336" s="590"/>
      <c r="N1336" s="523"/>
      <c r="O1336" s="524"/>
      <c r="P1336" s="523"/>
      <c r="Q1336" s="523"/>
      <c r="R1336" s="523"/>
      <c r="S1336" s="523"/>
      <c r="T1336" s="524"/>
      <c r="U1336" s="523"/>
      <c r="V1336" s="523"/>
    </row>
    <row r="1337" spans="1:22" x14ac:dyDescent="0.3">
      <c r="A1337" s="523"/>
      <c r="B1337" s="523"/>
      <c r="C1337" s="523"/>
      <c r="D1337" s="523"/>
      <c r="E1337" s="523"/>
      <c r="F1337" s="523"/>
      <c r="G1337" s="523"/>
      <c r="H1337" s="590"/>
      <c r="I1337" s="523"/>
      <c r="J1337" s="590"/>
      <c r="K1337" s="590"/>
      <c r="L1337" s="523"/>
      <c r="M1337" s="590"/>
      <c r="N1337" s="523"/>
      <c r="O1337" s="524"/>
      <c r="P1337" s="523"/>
      <c r="Q1337" s="523"/>
      <c r="R1337" s="523"/>
      <c r="S1337" s="523"/>
      <c r="T1337" s="524"/>
      <c r="U1337" s="523"/>
      <c r="V1337" s="523"/>
    </row>
    <row r="1338" spans="1:22" x14ac:dyDescent="0.3">
      <c r="A1338" s="523"/>
      <c r="B1338" s="523"/>
      <c r="C1338" s="523"/>
      <c r="D1338" s="523"/>
      <c r="E1338" s="523"/>
      <c r="F1338" s="523"/>
      <c r="G1338" s="523"/>
      <c r="H1338" s="590"/>
      <c r="I1338" s="523"/>
      <c r="J1338" s="590"/>
      <c r="K1338" s="590"/>
      <c r="L1338" s="523"/>
      <c r="M1338" s="590"/>
      <c r="N1338" s="523"/>
      <c r="O1338" s="524"/>
      <c r="P1338" s="523"/>
      <c r="Q1338" s="523"/>
      <c r="R1338" s="523"/>
      <c r="S1338" s="523"/>
      <c r="T1338" s="524"/>
      <c r="U1338" s="523"/>
      <c r="V1338" s="523"/>
    </row>
    <row r="1339" spans="1:22" x14ac:dyDescent="0.3">
      <c r="A1339" s="523"/>
      <c r="B1339" s="523"/>
      <c r="C1339" s="523"/>
      <c r="D1339" s="523"/>
      <c r="E1339" s="523"/>
      <c r="F1339" s="523"/>
      <c r="G1339" s="523"/>
      <c r="H1339" s="590"/>
      <c r="I1339" s="523"/>
      <c r="J1339" s="590"/>
      <c r="K1339" s="590"/>
      <c r="L1339" s="523"/>
      <c r="M1339" s="590"/>
      <c r="N1339" s="523"/>
      <c r="O1339" s="524"/>
      <c r="P1339" s="523"/>
      <c r="Q1339" s="523"/>
      <c r="R1339" s="523"/>
      <c r="S1339" s="523"/>
      <c r="T1339" s="524"/>
      <c r="U1339" s="523"/>
      <c r="V1339" s="523"/>
    </row>
    <row r="1340" spans="1:22" x14ac:dyDescent="0.3">
      <c r="A1340" s="523"/>
      <c r="B1340" s="523"/>
      <c r="C1340" s="523"/>
      <c r="D1340" s="523"/>
      <c r="E1340" s="523"/>
      <c r="F1340" s="523"/>
      <c r="G1340" s="523"/>
      <c r="H1340" s="590"/>
      <c r="I1340" s="523"/>
      <c r="J1340" s="590"/>
      <c r="K1340" s="590"/>
      <c r="L1340" s="523"/>
      <c r="M1340" s="590"/>
      <c r="N1340" s="523"/>
      <c r="O1340" s="524"/>
      <c r="P1340" s="523"/>
      <c r="Q1340" s="523"/>
      <c r="R1340" s="523"/>
      <c r="S1340" s="523"/>
      <c r="T1340" s="524"/>
      <c r="U1340" s="523"/>
      <c r="V1340" s="523"/>
    </row>
    <row r="1341" spans="1:22" x14ac:dyDescent="0.3">
      <c r="A1341" s="523"/>
      <c r="B1341" s="523"/>
      <c r="C1341" s="523"/>
      <c r="D1341" s="523"/>
      <c r="E1341" s="523"/>
      <c r="F1341" s="523"/>
      <c r="G1341" s="523"/>
      <c r="H1341" s="590"/>
      <c r="I1341" s="523"/>
      <c r="J1341" s="590"/>
      <c r="K1341" s="590"/>
      <c r="L1341" s="523"/>
      <c r="M1341" s="590"/>
      <c r="N1341" s="523"/>
      <c r="O1341" s="524"/>
      <c r="P1341" s="523"/>
      <c r="Q1341" s="523"/>
      <c r="R1341" s="523"/>
      <c r="S1341" s="523"/>
      <c r="T1341" s="524"/>
      <c r="U1341" s="523"/>
      <c r="V1341" s="523"/>
    </row>
    <row r="1342" spans="1:22" x14ac:dyDescent="0.3">
      <c r="A1342" s="523"/>
      <c r="B1342" s="523"/>
      <c r="C1342" s="523"/>
      <c r="D1342" s="523"/>
      <c r="E1342" s="523"/>
      <c r="F1342" s="523"/>
      <c r="G1342" s="523"/>
      <c r="H1342" s="590"/>
      <c r="I1342" s="523"/>
      <c r="J1342" s="590"/>
      <c r="K1342" s="590"/>
      <c r="L1342" s="523"/>
      <c r="M1342" s="590"/>
      <c r="N1342" s="523"/>
      <c r="O1342" s="524"/>
      <c r="P1342" s="523"/>
      <c r="Q1342" s="523"/>
      <c r="R1342" s="523"/>
      <c r="S1342" s="523"/>
      <c r="T1342" s="524"/>
      <c r="U1342" s="523"/>
      <c r="V1342" s="523"/>
    </row>
    <row r="1343" spans="1:22" x14ac:dyDescent="0.3">
      <c r="A1343" s="523"/>
      <c r="B1343" s="523"/>
      <c r="C1343" s="523"/>
      <c r="D1343" s="523"/>
      <c r="E1343" s="523"/>
      <c r="F1343" s="523"/>
      <c r="G1343" s="523"/>
      <c r="H1343" s="590"/>
      <c r="I1343" s="523"/>
      <c r="J1343" s="590"/>
      <c r="K1343" s="590"/>
      <c r="L1343" s="523"/>
      <c r="M1343" s="590"/>
      <c r="N1343" s="523"/>
      <c r="O1343" s="524"/>
      <c r="P1343" s="523"/>
      <c r="Q1343" s="523"/>
      <c r="R1343" s="523"/>
      <c r="S1343" s="523"/>
      <c r="T1343" s="524"/>
      <c r="U1343" s="523"/>
      <c r="V1343" s="523"/>
    </row>
    <row r="1344" spans="1:22" x14ac:dyDescent="0.3">
      <c r="A1344" s="523"/>
      <c r="B1344" s="523"/>
      <c r="C1344" s="523"/>
      <c r="D1344" s="523"/>
      <c r="E1344" s="523"/>
      <c r="F1344" s="523"/>
      <c r="G1344" s="523"/>
      <c r="H1344" s="590"/>
      <c r="I1344" s="523"/>
      <c r="J1344" s="590"/>
      <c r="K1344" s="590"/>
      <c r="L1344" s="523"/>
      <c r="M1344" s="590"/>
      <c r="N1344" s="523"/>
      <c r="O1344" s="524"/>
      <c r="P1344" s="523"/>
      <c r="Q1344" s="523"/>
      <c r="R1344" s="523"/>
      <c r="S1344" s="523"/>
      <c r="T1344" s="524"/>
      <c r="U1344" s="523"/>
      <c r="V1344" s="523"/>
    </row>
    <row r="1345" spans="1:22" x14ac:dyDescent="0.3">
      <c r="A1345" s="523"/>
      <c r="B1345" s="523"/>
      <c r="C1345" s="523"/>
      <c r="D1345" s="523"/>
      <c r="E1345" s="523"/>
      <c r="F1345" s="523"/>
      <c r="G1345" s="523"/>
      <c r="H1345" s="590"/>
      <c r="I1345" s="523"/>
      <c r="J1345" s="590"/>
      <c r="K1345" s="590"/>
      <c r="L1345" s="523"/>
      <c r="M1345" s="590"/>
      <c r="N1345" s="523"/>
      <c r="O1345" s="524"/>
      <c r="P1345" s="523"/>
      <c r="Q1345" s="523"/>
      <c r="R1345" s="523"/>
      <c r="S1345" s="523"/>
      <c r="T1345" s="524"/>
      <c r="U1345" s="523"/>
      <c r="V1345" s="523"/>
    </row>
  </sheetData>
  <sortState ref="A5:V204">
    <sortCondition ref="O4"/>
  </sortState>
  <mergeCells count="17">
    <mergeCell ref="F2:F3"/>
    <mergeCell ref="Q2:S2"/>
    <mergeCell ref="T2:T3"/>
    <mergeCell ref="U2:U3"/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  <hyperlink ref="P837" r:id="rId1642" display="https://my.zakupivli.pro/remote/dispatcher/state_purchase_view/56811498" xr:uid="{94282AD3-9467-4082-8292-8DB75237F601}"/>
    <hyperlink ref="P838" r:id="rId1643" display="https://my.zakupivli.pro/remote/dispatcher/state_purchase_view/56797832" xr:uid="{9FB3847D-DF3A-4770-8FE5-F635EDBE5324}"/>
    <hyperlink ref="P839" r:id="rId1644" display="https://my.zakupivli.pro/remote/dispatcher/state_purchase_view/56780342" xr:uid="{D7C9156C-7FC7-4D7C-ACC8-B0B3D1CF3848}"/>
    <hyperlink ref="N837" r:id="rId1645" xr:uid="{C884C186-23A2-4D18-9446-339990086958}"/>
    <hyperlink ref="N838" r:id="rId1646" xr:uid="{82D956F5-AB33-4150-9496-CFCFBF6A2B0F}"/>
    <hyperlink ref="N839" r:id="rId1647" xr:uid="{319449FA-85AC-4055-BB7D-FF44AFD15082}"/>
    <hyperlink ref="N840" r:id="rId1648" xr:uid="{D4DCB5F3-2748-4005-B2C9-5DB32A39595F}"/>
    <hyperlink ref="P840" r:id="rId1649" display="https://my.zakupivli.pro/remote/dispatcher/state_purchase_view/56857702" xr:uid="{F3E5FC76-0B1C-4A19-998D-E22802DACE04}"/>
    <hyperlink ref="P841" r:id="rId1650" display="https://my.zakupivli.pro/remote/dispatcher/state_purchase_view/56925415" xr:uid="{B6B064C8-A163-4B14-A435-5FDC220053F9}"/>
    <hyperlink ref="P842" r:id="rId1651" display="https://my.zakupivli.pro/remote/dispatcher/state_purchase_view/56922843" xr:uid="{40B5BF5F-49AF-42E5-87B3-AD4FE5822D6C}"/>
    <hyperlink ref="P843" r:id="rId1652" display="https://my.zakupivli.pro/remote/dispatcher/state_purchase_view/56922591" xr:uid="{B0B5A861-8BF8-47C7-A1D8-074983B6FD45}"/>
    <hyperlink ref="N841" r:id="rId1653" xr:uid="{043250FD-CE3F-4FA4-AB82-8288F0C5D08A}"/>
    <hyperlink ref="N842" r:id="rId1654" xr:uid="{AF4D04CF-7FDC-4BB5-806E-653251D71209}"/>
    <hyperlink ref="N843" r:id="rId1655" xr:uid="{90A06608-E4FC-4E03-B20A-652B33A11641}"/>
    <hyperlink ref="P844" r:id="rId1656" display="https://my.zakupivli.pro/remote/dispatcher/state_purchase_view/56941416" xr:uid="{604A5590-95FC-489E-9365-40FE5C96A18E}"/>
    <hyperlink ref="P845" r:id="rId1657" display="https://my.zakupivli.pro/remote/dispatcher/state_purchase_view/56941334" xr:uid="{7E8C620B-1679-49E9-8257-C994D47577E7}"/>
    <hyperlink ref="P846" r:id="rId1658" display="https://my.zakupivli.pro/remote/dispatcher/state_purchase_view/56940479" xr:uid="{F45FFB49-7EE9-4418-BA9D-E9ED5DBB9669}"/>
    <hyperlink ref="N844" r:id="rId1659" xr:uid="{9D7F2BA4-3016-48C1-A4E0-3001D22B6FDC}"/>
    <hyperlink ref="N845" r:id="rId1660" xr:uid="{CAF0240C-B4BD-4A33-9795-9F028358C878}"/>
    <hyperlink ref="N846" r:id="rId1661" xr:uid="{0A569430-C159-43B1-8A3F-4899B8809541}"/>
    <hyperlink ref="P847" r:id="rId1662" display="https://my.zakupivli.pro/remote/dispatcher/state_purchase_view/56943093" xr:uid="{5F9AE2E8-2722-4812-9261-E04C60B33ECD}"/>
    <hyperlink ref="P848" r:id="rId1663" display="https://my.zakupivli.pro/remote/dispatcher/state_purchase_view/56942695" xr:uid="{EBA544D1-9EF9-4C40-A711-1665A1CDB776}"/>
    <hyperlink ref="N847" r:id="rId1664" xr:uid="{53C4955D-E0EC-4D1F-88E7-41C359F317B3}"/>
    <hyperlink ref="N848" r:id="rId1665" xr:uid="{4131764E-C6EB-492F-8418-55DFBAF1232B}"/>
    <hyperlink ref="P849" r:id="rId1666" display="https://my.zakupivli.pro/remote/dispatcher/state_purchase_view/56943542" xr:uid="{AA5011D6-4DC3-41AB-B174-1212D522A003}"/>
    <hyperlink ref="P850" r:id="rId1667" display="https://my.zakupivli.pro/remote/dispatcher/state_purchase_view/56943535" xr:uid="{631FF75A-5DF4-49D3-A5A0-63C0ED5464B0}"/>
    <hyperlink ref="N849" r:id="rId1668" xr:uid="{68C9F105-7103-421D-8026-7A44909F4FDD}"/>
    <hyperlink ref="N850" r:id="rId1669" xr:uid="{9B18021F-2C89-4A91-8800-6075E5D045F6}"/>
    <hyperlink ref="P851" r:id="rId1670" display="https://my.zakupivli.pro/remote/dispatcher/state_purchase_view/56944556" xr:uid="{199A984E-6294-4ADB-838F-6E9E95D2BBFA}"/>
    <hyperlink ref="P852" r:id="rId1671" display="https://my.zakupivli.pro/remote/dispatcher/state_purchase_view/56944415" xr:uid="{88169885-647F-4CBE-8D1C-D9B8CCED5156}"/>
    <hyperlink ref="N851" r:id="rId1672" xr:uid="{9FB07921-CE58-4DD4-9E41-520BDE49CA72}"/>
    <hyperlink ref="N852" r:id="rId1673" xr:uid="{E83EF8F1-6296-47CF-ABE1-7EF86B09A2A9}"/>
    <hyperlink ref="P853" r:id="rId1674" display="https://my.zakupivli.pro/remote/dispatcher/state_purchase_view/56946083" xr:uid="{E556FE59-57BF-4DDE-A0ED-2C210ED3357B}"/>
    <hyperlink ref="P854" r:id="rId1675" display="https://my.zakupivli.pro/remote/dispatcher/state_purchase_view/56944894" xr:uid="{42F7DFEC-9D9B-4FD6-87C3-78AA7AE42826}"/>
    <hyperlink ref="N853" r:id="rId1676" xr:uid="{A1505649-E23F-4791-991C-E0D5C40DB019}"/>
    <hyperlink ref="N854" r:id="rId1677" xr:uid="{6FBFFD1A-6AF7-46B5-B008-3A426951D074}"/>
    <hyperlink ref="P855" r:id="rId1678" display="https://my.zakupivli.pro/remote/dispatcher/state_purchase_view/56947418" xr:uid="{C1753790-2BD5-40FA-8952-5AD19D73C22C}"/>
    <hyperlink ref="P856" r:id="rId1679" display="https://my.zakupivli.pro/remote/dispatcher/state_purchase_view/56946120" xr:uid="{20FB2EB9-40B0-4579-BC2A-76ECD0BEE648}"/>
    <hyperlink ref="N855" r:id="rId1680" xr:uid="{B600F7D3-E883-4295-A97F-D29A10202BDA}"/>
    <hyperlink ref="N856" r:id="rId1681" xr:uid="{BCFC9BC9-87D5-4ABC-9275-B83BCD0AD267}"/>
    <hyperlink ref="P857" r:id="rId1682" display="https://my.zakupivli.pro/remote/dispatcher/state_purchase_view/56947859" xr:uid="{84B47F0A-F53D-4A65-8A0D-773C29A636C4}"/>
    <hyperlink ref="P858" r:id="rId1683" display="https://my.zakupivli.pro/remote/dispatcher/state_purchase_view/56947791" xr:uid="{FB271194-D6F8-462B-8044-EF73BFE0C568}"/>
    <hyperlink ref="N857" r:id="rId1684" xr:uid="{C0BDA8CE-3BB3-4073-9ECE-C11A5BEBDA19}"/>
    <hyperlink ref="N858" r:id="rId1685" xr:uid="{A70B4992-4196-45FC-B3DD-1A5733235785}"/>
    <hyperlink ref="P859" r:id="rId1686" display="https://my.zakupivli.pro/remote/dispatcher/state_purchase_view/56948967" xr:uid="{D33AA4FE-850F-4CFD-A004-8750112E4A14}"/>
    <hyperlink ref="P860" r:id="rId1687" display="https://my.zakupivli.pro/remote/dispatcher/state_purchase_view/56948698" xr:uid="{304FA8DC-57B6-4367-AA5D-C543E44381FF}"/>
    <hyperlink ref="N859" r:id="rId1688" xr:uid="{83828BB8-947B-48B7-A9F1-4A09BD2471A4}"/>
    <hyperlink ref="N860" r:id="rId1689" xr:uid="{1EDCC1EB-1F91-43CB-8803-5D95589D6288}"/>
    <hyperlink ref="P861" r:id="rId1690" display="https://my.zakupivli.pro/remote/dispatcher/state_purchase_view/56950592" xr:uid="{1155CBD0-E441-40E9-9D7C-7C029DB0D0BF}"/>
    <hyperlink ref="P862" r:id="rId1691" display="https://my.zakupivli.pro/remote/dispatcher/state_purchase_view/56949716" xr:uid="{CD1A906E-62A5-44E4-B3A5-7EFCB7715C2D}"/>
    <hyperlink ref="N861" r:id="rId1692" xr:uid="{7A262EDD-6499-4F1E-A387-26A2FEB839DE}"/>
    <hyperlink ref="N862" r:id="rId1693" xr:uid="{356858E2-AC48-487E-9448-E896EE6D3353}"/>
    <hyperlink ref="P863" r:id="rId1694" display="https://my.zakupivli.pro/remote/dispatcher/state_purchase_view/56991092" xr:uid="{C0750735-65C2-4421-9380-4FE2354F1ABB}"/>
    <hyperlink ref="P864" r:id="rId1695" display="https://my.zakupivli.pro/remote/dispatcher/state_purchase_view/56987956" xr:uid="{6CA50D3A-0F1A-472C-8BD2-B7EBDA701F1A}"/>
    <hyperlink ref="P865" r:id="rId1696" display="https://my.zakupivli.pro/remote/dispatcher/state_purchase_view/56982494" xr:uid="{F1F7013E-A085-4474-A2F7-DB9B268B2F32}"/>
    <hyperlink ref="N863" r:id="rId1697" xr:uid="{26AC494D-88CE-474D-A6A0-D800AF880E6C}"/>
    <hyperlink ref="N864" r:id="rId1698" xr:uid="{BA2DCF56-A2FE-411C-98C2-626AEEDEFB6A}"/>
    <hyperlink ref="N865" r:id="rId1699" xr:uid="{441146F0-FDF0-4A29-A7B7-764012F906D9}"/>
    <hyperlink ref="P868" r:id="rId1700" display="https://my.zakupivli.pro/remote/dispatcher/state_purchase_view/57062513" xr:uid="{9F231378-065C-4200-958B-64525E255BC0}"/>
    <hyperlink ref="P869" r:id="rId1701" display="https://my.zakupivli.pro/remote/dispatcher/state_purchase_view/57062513" xr:uid="{53F36DFF-39F9-42ED-824D-E761B9F71BEE}"/>
    <hyperlink ref="P870" r:id="rId1702" display="https://my.zakupivli.pro/remote/dispatcher/state_purchase_view/57062513" xr:uid="{159D8471-AC3E-4406-8E3B-FF1BB1A394DE}"/>
    <hyperlink ref="P871" r:id="rId1703" display="https://my.zakupivli.pro/remote/dispatcher/state_purchase_view/57062513" xr:uid="{AC0EEE5C-AB8F-4169-A5C4-A2F3C01C4305}"/>
    <hyperlink ref="P866" r:id="rId1704" display="https://my.zakupivli.pro/remote/dispatcher/state_purchase_view/57010056" xr:uid="{FC110D8A-3F11-4E4D-AFAB-F8DFEC963504}"/>
    <hyperlink ref="P867" r:id="rId1705" display="https://my.zakupivli.pro/remote/dispatcher/state_purchase_view/57010056" xr:uid="{26A6D916-0A7B-4405-8FCB-5A01E2DF4A72}"/>
    <hyperlink ref="N866" r:id="rId1706" xr:uid="{27943522-FCF2-431E-A519-EECC75CE8530}"/>
    <hyperlink ref="N867" r:id="rId1707" xr:uid="{A2BC5AAF-670B-495C-A667-068A11967E2A}"/>
    <hyperlink ref="N868" r:id="rId1708" xr:uid="{365F58B9-D32E-476E-B4FF-48BD7E4A4817}"/>
    <hyperlink ref="N869" r:id="rId1709" xr:uid="{E6F7F932-FE62-4076-8C83-66A84FD6027F}"/>
    <hyperlink ref="N870" r:id="rId1710" xr:uid="{30A22387-7363-4B92-85B5-3C3F627C773A}"/>
    <hyperlink ref="N871" r:id="rId1711" xr:uid="{5A669B0A-5EB3-4914-AB33-B2362DC9AE52}"/>
    <hyperlink ref="P872" r:id="rId1712" display="https://my.zakupivli.pro/remote/dispatcher/state_purchase_view/57102057" xr:uid="{D0D2EAFA-1372-4CB0-BFAF-58EC787D450A}"/>
    <hyperlink ref="P873" r:id="rId1713" display="https://my.zakupivli.pro/remote/dispatcher/state_purchase_view/57100319" xr:uid="{FF6D1515-EA9F-436A-AAD0-FF4850FA1528}"/>
    <hyperlink ref="P874" r:id="rId1714" display="https://my.zakupivli.pro/remote/dispatcher/state_purchase_view/57092256" xr:uid="{7E6EAC0D-1929-441D-BBA0-25DDCD15168F}"/>
    <hyperlink ref="P875" r:id="rId1715" display="https://my.zakupivli.pro/remote/dispatcher/state_purchase_view/57092017" xr:uid="{3850A6B3-22DC-4337-AA9A-73D33551F91E}"/>
    <hyperlink ref="P876" r:id="rId1716" display="https://my.zakupivli.pro/remote/dispatcher/state_purchase_view/57088046" xr:uid="{E84B79FD-ABFD-412D-9449-2651B97B9760}"/>
    <hyperlink ref="P877" r:id="rId1717" display="https://my.zakupivli.pro/remote/dispatcher/state_purchase_view/57084914" xr:uid="{8ED8B5CB-B432-468C-AD0F-AFEFC43D1D18}"/>
    <hyperlink ref="P878" r:id="rId1718" display="https://my.zakupivli.pro/remote/dispatcher/state_purchase_view/57084914" xr:uid="{4AE538C4-DA74-43EE-A856-6B0F5C8D6B04}"/>
    <hyperlink ref="N872" r:id="rId1719" xr:uid="{04DAF7A2-4506-4BB2-8F6F-E49EDA60E127}"/>
    <hyperlink ref="N873" r:id="rId1720" xr:uid="{064C0D4F-864E-47F8-A69D-922694F1DE3C}"/>
    <hyperlink ref="N874" r:id="rId1721" xr:uid="{4A309AF3-944E-4E54-B882-E5C49F441A9A}"/>
    <hyperlink ref="N875" r:id="rId1722" xr:uid="{54EBED21-C04C-4741-A0C1-2C65D9E169DC}"/>
    <hyperlink ref="N876" r:id="rId1723" xr:uid="{4513215C-3A1F-4EC9-9A1A-3A0B64015201}"/>
    <hyperlink ref="N877" r:id="rId1724" xr:uid="{7B2AA2A7-8616-4560-9E10-B25521C8DBE5}"/>
    <hyperlink ref="N878" r:id="rId1725" xr:uid="{FA58D01D-4A19-4F9F-B1C7-1D97E5C55ADD}"/>
    <hyperlink ref="P879" r:id="rId1726" display="https://my.zakupivli.pro/remote/dispatcher/state_purchase_view/57145030" xr:uid="{55FB04A7-B8FD-4DFC-AEBD-2881E2008DD8}"/>
    <hyperlink ref="P880" r:id="rId1727" display="https://my.zakupivli.pro/remote/dispatcher/state_purchase_view/57144174" xr:uid="{C7456E8A-C481-44BD-9C15-6D07248BA238}"/>
    <hyperlink ref="P881" r:id="rId1728" display="https://my.zakupivli.pro/remote/dispatcher/state_purchase_view/57141917" xr:uid="{B0034565-FCCA-4887-B22F-564671F34AD5}"/>
    <hyperlink ref="P882" r:id="rId1729" display="https://my.zakupivli.pro/remote/dispatcher/state_purchase_view/57141684" xr:uid="{1C4DF443-2C7A-4760-AA19-A051A34ACD40}"/>
    <hyperlink ref="P883" r:id="rId1730" display="https://my.zakupivli.pro/remote/dispatcher/state_purchase_view/57122049" xr:uid="{CAFF919F-21D0-4A64-8EEF-47E97463695C}"/>
    <hyperlink ref="P884" r:id="rId1731" display="https://my.zakupivli.pro/remote/dispatcher/state_purchase_view/57121076" xr:uid="{52692308-99C7-427B-AD1C-8ED03A7CCE0B}"/>
    <hyperlink ref="N879" r:id="rId1732" xr:uid="{05FAB159-0C58-44EE-8E97-B214FF5BC067}"/>
    <hyperlink ref="N880" r:id="rId1733" xr:uid="{63F212AD-9950-4422-B920-77AB3DE22956}"/>
    <hyperlink ref="N881" r:id="rId1734" xr:uid="{87788FAA-5FC5-4CE8-BDF0-E5AD7F814F55}"/>
    <hyperlink ref="N882" r:id="rId1735" xr:uid="{1C210E16-EF9A-4318-BA7D-3FB2B8AC0875}"/>
    <hyperlink ref="N883" r:id="rId1736" xr:uid="{5A22423F-3A51-4ADC-82FA-C25F271E060E}"/>
    <hyperlink ref="N884" r:id="rId1737" xr:uid="{7DC5FB78-F130-459B-B333-67DC57C6D16B}"/>
    <hyperlink ref="P885" r:id="rId1738" display="https://my.zakupivli.pro/remote/dispatcher/state_purchase_view/57188673" xr:uid="{735D3821-1287-460A-A89D-C42484E806CB}"/>
    <hyperlink ref="N885" r:id="rId1739" xr:uid="{26273E12-C410-4720-BC31-65EC1564AFED}"/>
    <hyperlink ref="P886" r:id="rId1740" display="https://my.zakupivli.pro/remote/dispatcher/state_purchase_view/57231734" xr:uid="{8C7043FD-3F90-43DB-A96B-12C51D53333B}"/>
    <hyperlink ref="P887" r:id="rId1741" display="https://my.zakupivli.pro/remote/dispatcher/state_purchase_view/57223306" xr:uid="{F1D8567A-0B89-4C6B-AB12-A83F018DC3CC}"/>
    <hyperlink ref="P888" r:id="rId1742" display="https://my.zakupivli.pro/remote/dispatcher/state_purchase_view/57220856" xr:uid="{5EC66308-27D9-4A10-AD75-DD4CDA9D5F35}"/>
    <hyperlink ref="P889" r:id="rId1743" display="https://my.zakupivli.pro/remote/dispatcher/state_purchase_view/57220098" xr:uid="{B5B1F49E-DC38-4979-8709-2832F53D2B7C}"/>
    <hyperlink ref="P890" r:id="rId1744" display="https://my.zakupivli.pro/remote/dispatcher/state_purchase_view/57218765" xr:uid="{C3DA9E99-803D-4C70-AD2D-AC0C38702C5C}"/>
    <hyperlink ref="P891" r:id="rId1745" display="https://my.zakupivli.pro/remote/dispatcher/state_purchase_view/57218243" xr:uid="{DF8F403B-C757-4FED-9B8D-94113A172E5F}"/>
    <hyperlink ref="P892" r:id="rId1746" display="https://my.zakupivli.pro/remote/dispatcher/state_purchase_view/57204593" xr:uid="{CB149DC7-42FA-49C5-95CB-A57E97C41CB7}"/>
    <hyperlink ref="N886" r:id="rId1747" xr:uid="{83AED35B-3459-479F-AE0A-445AC47D84D0}"/>
    <hyperlink ref="N887" r:id="rId1748" xr:uid="{41B3A769-3484-48DD-B207-A713BE667131}"/>
    <hyperlink ref="N888" r:id="rId1749" xr:uid="{CF9772E4-1441-4075-92D0-13B789EBB88C}"/>
    <hyperlink ref="N889" r:id="rId1750" xr:uid="{CEDF1CEF-5E4D-4810-9AC5-5CB1B4EDA984}"/>
    <hyperlink ref="N890" r:id="rId1751" xr:uid="{5CE2DEAD-7D00-4C18-A489-DFBDD83CD5D1}"/>
    <hyperlink ref="N891" r:id="rId1752" xr:uid="{5E9DE607-809C-4BF3-A39F-4072F1552F51}"/>
    <hyperlink ref="N892" r:id="rId1753" xr:uid="{5B0D8A00-44DA-49B6-B86B-A39DE70369B0}"/>
    <hyperlink ref="P893" r:id="rId1754" display="https://my.zakupivli.pro/remote/dispatcher/state_purchase_view/57248238" xr:uid="{2F9475B4-D144-4244-B06A-3642906A299A}"/>
    <hyperlink ref="N893" r:id="rId1755" xr:uid="{04F9C454-7F1A-48DC-8BF9-75C845C66861}"/>
    <hyperlink ref="P894" r:id="rId1756" display="https://my.zakupivli.pro/remote/dispatcher/state_purchase_view/57301275" xr:uid="{E70598EC-F8AA-4FC0-8A76-B672320C73C4}"/>
    <hyperlink ref="P895" r:id="rId1757" display="https://my.zakupivli.pro/remote/dispatcher/state_purchase_view/57295165" xr:uid="{C80488EC-391E-476C-B250-90D3BFBB36A8}"/>
    <hyperlink ref="P896" r:id="rId1758" display="https://my.zakupivli.pro/remote/dispatcher/state_purchase_view/57279883" xr:uid="{3463766F-D4BB-4C99-B0E6-6786A0F6103B}"/>
    <hyperlink ref="N894" r:id="rId1759" xr:uid="{66F50E58-2891-4D75-AE3F-DDE9C90AA267}"/>
    <hyperlink ref="N895" r:id="rId1760" xr:uid="{658F6F08-DBEF-4CA7-84CF-893F509681A7}"/>
    <hyperlink ref="N896" r:id="rId1761" xr:uid="{331193DE-DCA2-4169-B3A5-C2FDA4DA9E9C}"/>
    <hyperlink ref="P897" r:id="rId1762" display="https://my.zakupivli.pro/remote/dispatcher/state_purchase_view/57327334" xr:uid="{5BF417ED-C9CA-4E9E-AA6C-20071CD76B13}"/>
    <hyperlink ref="N897" r:id="rId1763" xr:uid="{770C3F7C-4D76-4520-A661-09E45522A7FA}"/>
    <hyperlink ref="P898" r:id="rId1764" display="https://my.zakupivli.pro/remote/dispatcher/state_purchase_view/57385934" xr:uid="{6418837D-6959-4FC2-887F-4693E229A1FD}"/>
    <hyperlink ref="P899" r:id="rId1765" display="https://my.zakupivli.pro/remote/dispatcher/state_purchase_view/57385694" xr:uid="{DEA0464B-E339-42B8-88B9-2CC7CEB5DB9D}"/>
    <hyperlink ref="P900" r:id="rId1766" display="https://my.zakupivli.pro/remote/dispatcher/state_purchase_view/57385694" xr:uid="{5AA66D49-D63A-46F1-B02F-EE90CFD10535}"/>
    <hyperlink ref="P901" r:id="rId1767" display="https://my.zakupivli.pro/remote/dispatcher/state_purchase_view/57385694" xr:uid="{4ACB510D-774D-416E-853E-044069751B61}"/>
    <hyperlink ref="P902" r:id="rId1768" display="https://my.zakupivli.pro/remote/dispatcher/state_purchase_view/57385694" xr:uid="{D121252F-759A-456D-BAAA-F10CE46BFEB8}"/>
    <hyperlink ref="P903" r:id="rId1769" display="https://my.zakupivli.pro/remote/dispatcher/state_purchase_view/57380194" xr:uid="{E1DB346D-9E82-4930-926D-927F02CD2D87}"/>
    <hyperlink ref="P904" r:id="rId1770" display="https://my.zakupivli.pro/remote/dispatcher/state_purchase_view/57407976" xr:uid="{F618411A-76E1-4461-81DC-74C86B2F3219}"/>
    <hyperlink ref="N898" r:id="rId1771" xr:uid="{AED371DC-8E6D-427E-BCF1-AEFAC0D3BE2D}"/>
    <hyperlink ref="N899" r:id="rId1772" xr:uid="{701C455F-9EF1-4995-AA6B-6492C86119A3}"/>
    <hyperlink ref="N900" r:id="rId1773" xr:uid="{1F3566FC-CE28-4C72-AAE5-0D01A9170B78}"/>
    <hyperlink ref="N901" r:id="rId1774" xr:uid="{547837F0-F010-4864-B9FC-8DB07BC5EA9A}"/>
    <hyperlink ref="N902" r:id="rId1775" xr:uid="{09976A2A-96F4-41D0-9CD8-EF57DF5F860E}"/>
    <hyperlink ref="N903" r:id="rId1776" xr:uid="{AFB2B379-1EA3-41ED-9DE2-482A86B38D43}"/>
    <hyperlink ref="N904" r:id="rId1777" xr:uid="{F3719ADA-5585-47D3-A848-96940E6787CF}"/>
    <hyperlink ref="P905" r:id="rId1778" display="https://my.zakupivli.pro/remote/dispatcher/state_purchase_view/57447516" xr:uid="{F55412F8-5B0F-41F0-B466-A9656BFE00D9}"/>
    <hyperlink ref="P906" r:id="rId1779" display="https://my.zakupivli.pro/remote/dispatcher/state_purchase_view/57446387" xr:uid="{F76A3220-41FD-4D77-AA25-D08D5E76CD4E}"/>
    <hyperlink ref="P907" r:id="rId1780" display="https://my.zakupivli.pro/remote/dispatcher/state_purchase_view/57445600" xr:uid="{0ABE0120-2D79-42D7-8739-EEBD20D954ED}"/>
    <hyperlink ref="P908" r:id="rId1781" display="https://my.zakupivli.pro/remote/dispatcher/state_purchase_view/57443185" xr:uid="{7FFF7976-4069-4188-BAE6-F7F64928EDC9}"/>
    <hyperlink ref="P909" r:id="rId1782" display="https://my.zakupivli.pro/remote/dispatcher/state_purchase_view/57441860" xr:uid="{8A63E464-2A9E-4666-93AB-93F74D7E0A96}"/>
    <hyperlink ref="P910" r:id="rId1783" display="https://my.zakupivli.pro/remote/dispatcher/state_purchase_view/57435375" xr:uid="{5FA9C13C-1BAD-4AF4-A445-70A25A5F7A73}"/>
    <hyperlink ref="N905" r:id="rId1784" xr:uid="{0B00E48B-D873-48BC-89B9-560BACAD2032}"/>
    <hyperlink ref="N906" r:id="rId1785" xr:uid="{9D89FDBD-34EC-49A6-B1F4-8FBB8CA033B1}"/>
    <hyperlink ref="N907" r:id="rId1786" xr:uid="{624D83AC-DF81-4ED7-8594-8362E8692CA2}"/>
    <hyperlink ref="N908" r:id="rId1787" xr:uid="{F3F7C2FF-C569-473C-8296-01C5DF7556B2}"/>
    <hyperlink ref="N909" r:id="rId1788" xr:uid="{08D971CD-6D58-4D29-B711-85B25BE975FD}"/>
    <hyperlink ref="N910" r:id="rId1789" xr:uid="{CD0481EF-D3FA-4935-B4F3-F5181D26AA68}"/>
    <hyperlink ref="P911" r:id="rId1790" display="https://my.zakupivli.pro/remote/dispatcher/state_purchase_view/57453868" xr:uid="{AD677C0D-0852-488B-A995-45292626B020}"/>
    <hyperlink ref="N911" r:id="rId1791" xr:uid="{F471F4FA-17EE-4734-85CE-A21C4E847856}"/>
    <hyperlink ref="P912" r:id="rId1792" display="https://my.zakupivli.pro/remote/dispatcher/state_purchase_view/57483469" xr:uid="{E47D05D4-1C00-48D3-B730-B523493E16F4}"/>
    <hyperlink ref="P913" r:id="rId1793" display="https://my.zakupivli.pro/remote/dispatcher/state_purchase_view/57480226" xr:uid="{3B62892E-B716-4B2C-9907-1B5FAC3B9BE5}"/>
    <hyperlink ref="P914" r:id="rId1794" display="https://my.zakupivli.pro/remote/dispatcher/state_purchase_view/57478572" xr:uid="{B99BE696-286E-4DC6-9E95-ECE652E7893D}"/>
    <hyperlink ref="P915" r:id="rId1795" display="https://my.zakupivli.pro/remote/dispatcher/state_purchase_view/57476914" xr:uid="{0B4AFDDE-3628-42A1-968D-E0234C567DF9}"/>
    <hyperlink ref="P916" r:id="rId1796" display="https://my.zakupivli.pro/remote/dispatcher/state_purchase_view/57476203" xr:uid="{3BDDC1D6-05E5-4F78-95F1-5743A480894D}"/>
    <hyperlink ref="P917" r:id="rId1797" display="https://my.zakupivli.pro/remote/dispatcher/state_purchase_view/57475723" xr:uid="{858DEBA4-B5BF-4643-86B9-B0923568ECB7}"/>
    <hyperlink ref="P918" r:id="rId1798" display="https://my.zakupivli.pro/remote/dispatcher/state_purchase_view/57469944" xr:uid="{72E220CA-A22A-4AEF-A697-0AFCABE9ECA4}"/>
    <hyperlink ref="N912" r:id="rId1799" xr:uid="{DC8793F4-4465-4F58-8584-FC87CFA4F4E8}"/>
    <hyperlink ref="N913" r:id="rId1800" xr:uid="{1A725801-B6BC-48FC-AF92-74163411C9E6}"/>
    <hyperlink ref="N914" r:id="rId1801" xr:uid="{A1483AE4-C49C-4EEF-8664-7BCF6DC4FE30}"/>
    <hyperlink ref="N915" r:id="rId1802" xr:uid="{97D72456-0DB8-4329-A266-42B3E7246D99}"/>
    <hyperlink ref="N916" r:id="rId1803" xr:uid="{7350F886-1CEF-4068-9504-F860896A1287}"/>
    <hyperlink ref="N917" r:id="rId1804" xr:uid="{887D9197-100E-4F20-9D11-BBD2BFB09614}"/>
    <hyperlink ref="N918" r:id="rId1805" xr:uid="{67DF8192-F936-4E72-86B5-5EADC3AA50C2}"/>
    <hyperlink ref="P919" r:id="rId1806" display="https://my.zakupivli.pro/remote/dispatcher/state_purchase_view/57524444" xr:uid="{705A4DE9-8B94-4634-BFA8-99A981E55B5B}"/>
    <hyperlink ref="P920" r:id="rId1807" display="https://my.zakupivli.pro/remote/dispatcher/state_purchase_view/57524423" xr:uid="{88FE3BA2-FD31-452E-B1BB-B55047C44558}"/>
    <hyperlink ref="N919" r:id="rId1808" xr:uid="{33413FD7-B088-422D-82EA-BCD21FE67555}"/>
    <hyperlink ref="N920" r:id="rId1809" xr:uid="{1E7FF446-BCE2-4F69-AC4B-C0825EF2DBEE}"/>
    <hyperlink ref="P921" r:id="rId1810" display="https://my.zakupivli.pro/remote/dispatcher/state_purchase_view/57612514" xr:uid="{92AC3B4D-D7F9-4224-9133-44AD53B92A96}"/>
    <hyperlink ref="P922" r:id="rId1811" display="https://my.zakupivli.pro/remote/dispatcher/state_purchase_view/57606569" xr:uid="{63BA0921-48A1-4E73-BD3F-E483AA70EDE9}"/>
    <hyperlink ref="P923" r:id="rId1812" display="https://my.zakupivli.pro/remote/dispatcher/state_purchase_view/57603945" xr:uid="{C6D27104-873C-4849-A09D-DB27213411C0}"/>
    <hyperlink ref="P924" r:id="rId1813" display="https://my.zakupivli.pro/remote/dispatcher/state_purchase_view/57593579" xr:uid="{9EB5135F-53B9-482F-847E-6D098C8231CD}"/>
    <hyperlink ref="P925" r:id="rId1814" display="https://my.zakupivli.pro/remote/dispatcher/state_purchase_view/57593579" xr:uid="{6E17F3A7-F0D5-41A1-BA26-038B13AD3AE7}"/>
    <hyperlink ref="P926" r:id="rId1815" display="https://my.zakupivli.pro/remote/dispatcher/state_purchase_view/57590825" xr:uid="{1B37BC3D-825E-4DC6-9528-A0D411C1E04B}"/>
    <hyperlink ref="N921" r:id="rId1816" xr:uid="{70177BB6-4CE1-4F98-865B-81AC8C9923DF}"/>
    <hyperlink ref="N922" r:id="rId1817" xr:uid="{4F14E2AF-23B0-44C9-AF2A-32B62706ED52}"/>
    <hyperlink ref="N923" r:id="rId1818" xr:uid="{F825F5A6-F807-412E-B1CA-54DBBD91FA95}"/>
    <hyperlink ref="N924" r:id="rId1819" xr:uid="{8FE5FD4E-EE4A-4084-AD4E-1ACC0C578B31}"/>
    <hyperlink ref="N925" r:id="rId1820" xr:uid="{367969E7-8FEA-4ABC-B354-7E8DF52505AE}"/>
    <hyperlink ref="N926" r:id="rId1821" xr:uid="{337FB2C3-B134-43C9-8209-E2AED992F6C0}"/>
    <hyperlink ref="P927" r:id="rId1822" display="https://my.zakupivli.pro/remote/dispatcher/state_purchase_view/57640739" xr:uid="{345527D3-FF12-48AF-BEB2-2A7DC2E27DEE}"/>
    <hyperlink ref="P928" r:id="rId1823" display="https://my.zakupivli.pro/remote/dispatcher/state_purchase_view/57638292" xr:uid="{B6481267-4517-4A32-B886-6D1202E3EA68}"/>
    <hyperlink ref="P929" r:id="rId1824" display="https://my.zakupivli.pro/remote/dispatcher/state_purchase_view/57623304" xr:uid="{61D1D149-A4E8-43EA-92A4-7C5A9B3B8C08}"/>
    <hyperlink ref="P930" r:id="rId1825" display="https://my.zakupivli.pro/remote/dispatcher/state_purchase_view/57623075" xr:uid="{73FE753E-EF2A-4B0A-9EC7-39D4087F7FE8}"/>
    <hyperlink ref="N927" r:id="rId1826" xr:uid="{4E428A0C-D834-44D0-9506-4AFDF2DC80BF}"/>
    <hyperlink ref="N928" r:id="rId1827" xr:uid="{08164470-9522-4435-B358-FD173AC29996}"/>
    <hyperlink ref="N929" r:id="rId1828" xr:uid="{289F0533-65E4-49CC-A519-D7897094C501}"/>
    <hyperlink ref="N930" r:id="rId1829" xr:uid="{F776421B-06C1-4996-8BB3-28D0A38E7BDF}"/>
    <hyperlink ref="P931" r:id="rId1830" display="https://my.zakupivli.pro/remote/dispatcher/state_purchase_view/57711359" xr:uid="{8CAA4021-A818-4D57-A3D8-AC2CFDA39DF8}"/>
    <hyperlink ref="P932" r:id="rId1831" display="https://my.zakupivli.pro/remote/dispatcher/state_purchase_view/57700470" xr:uid="{3C9CB5BE-BF45-41B5-8A58-67BE72F7F5DD}"/>
    <hyperlink ref="N931" r:id="rId1832" xr:uid="{94038971-4775-4343-8845-BD016B8333EB}"/>
    <hyperlink ref="N932" r:id="rId1833" xr:uid="{38EA7EFE-4357-480E-B88E-7FC9BDCC72B8}"/>
    <hyperlink ref="P933" r:id="rId1834" display="https://my.zakupivli.pro/remote/dispatcher/state_purchase_view/57741352" xr:uid="{57280DCD-5E51-4FA1-8057-BF6AC37F02A0}"/>
    <hyperlink ref="P934" r:id="rId1835" display="https://my.zakupivli.pro/remote/dispatcher/state_purchase_view/57739836" xr:uid="{AA0C7F9D-0AD5-4835-82F7-33B3A09FAA59}"/>
    <hyperlink ref="P935" r:id="rId1836" display="https://my.zakupivli.pro/remote/dispatcher/state_purchase_view/57738530" xr:uid="{5A0DA3CD-773B-4E23-AA62-85E8AD613C69}"/>
    <hyperlink ref="P936" r:id="rId1837" display="https://my.zakupivli.pro/remote/dispatcher/state_purchase_view/57734768" xr:uid="{85E1AFCA-12D1-4EA4-8C98-46E7AB41D535}"/>
    <hyperlink ref="P937" r:id="rId1838" display="https://my.zakupivli.pro/remote/dispatcher/state_purchase_view/57734245" xr:uid="{493CD7F1-933C-47E3-8664-02BCD32779A2}"/>
    <hyperlink ref="P938" r:id="rId1839" display="https://my.zakupivli.pro/remote/dispatcher/state_purchase_view/57729054" xr:uid="{2C3FA4E0-D8D3-4D07-AE45-65DAEC189BB8}"/>
    <hyperlink ref="N933" r:id="rId1840" xr:uid="{9261B3F1-B177-4B37-B845-53C3CD3ED677}"/>
    <hyperlink ref="N934" r:id="rId1841" xr:uid="{CBEFDD0E-FE82-4D56-A40D-FB100FBB9FDE}"/>
    <hyperlink ref="N935" r:id="rId1842" xr:uid="{BCDE94CF-E888-4DED-A26F-EA80202BD9B4}"/>
    <hyperlink ref="N936" r:id="rId1843" xr:uid="{2398ABB2-426F-4B9B-A25F-8A929B5664AB}"/>
    <hyperlink ref="N937" r:id="rId1844" xr:uid="{A639A215-2BF0-432B-957F-EB4C947D482D}"/>
    <hyperlink ref="N938" r:id="rId1845" xr:uid="{563D578F-5167-44EE-886A-FEC8FFBBD7D7}"/>
    <hyperlink ref="P939" r:id="rId1846" display="https://my.zakupivli.pro/remote/dispatcher/state_purchase_view/57767467" xr:uid="{D8C2670C-C371-4B4B-88EE-6FE3C053DFC0}"/>
    <hyperlink ref="P940" r:id="rId1847" display="https://my.zakupivli.pro/remote/dispatcher/state_purchase_view/57746790" xr:uid="{97015B84-88C5-48EA-BA8B-0F3C5D06E9AF}"/>
    <hyperlink ref="N939" r:id="rId1848" xr:uid="{D94E9D8F-C1F0-4ED3-B2E1-50EAC03275BD}"/>
    <hyperlink ref="N940" r:id="rId1849" xr:uid="{D605B83F-23E7-458F-9E68-173737B54CAA}"/>
    <hyperlink ref="P941" r:id="rId1850" display="https://my.zakupivli.pro/remote/dispatcher/state_purchase_view/57827963" xr:uid="{CB9A56DF-9A7F-44D0-A2B9-990A5ED6D991}"/>
    <hyperlink ref="P942" r:id="rId1851" display="https://my.zakupivli.pro/remote/dispatcher/state_purchase_view/57827098" xr:uid="{E124E1EF-6D15-49A0-B91E-0746E50541C9}"/>
    <hyperlink ref="N941" r:id="rId1852" xr:uid="{016EF292-6A90-4834-BF98-F99CD9CE155D}"/>
    <hyperlink ref="N942" r:id="rId1853" xr:uid="{A3F4D87E-6271-42E9-8E1E-9E1148D1D32F}"/>
    <hyperlink ref="P943" r:id="rId1854" display="https://my.zakupivli.pro/remote/dispatcher/state_purchase_view/57859720" xr:uid="{B916C5C8-54CE-4D36-875D-59A4C1F0B06F}"/>
    <hyperlink ref="N943" r:id="rId1855" xr:uid="{5F236D66-5A33-4A7A-8CB9-98E66CA6F13B}"/>
    <hyperlink ref="P944" r:id="rId1856" display="https://my.zakupivli.pro/remote/dispatcher/state_purchase_view/57875267" xr:uid="{4C46362C-2A00-407B-B99D-2F6D787C486A}"/>
    <hyperlink ref="P945" r:id="rId1857" display="https://my.zakupivli.pro/remote/dispatcher/state_purchase_view/57873346" xr:uid="{D54BF6DB-9B28-4DB8-9780-18A6DC00AA34}"/>
    <hyperlink ref="N944" r:id="rId1858" xr:uid="{6F3C6A98-C64A-4B1D-AD95-93917829C836}"/>
    <hyperlink ref="N945" r:id="rId1859" xr:uid="{2DEACFD8-474B-43C5-919B-73921342BE3E}"/>
    <hyperlink ref="P946" r:id="rId1860" display="https://my.zakupivli.pro/remote/dispatcher/state_purchase_view/57931528" xr:uid="{9ABCF467-2719-4F63-87C0-DA5F3BECE892}"/>
    <hyperlink ref="P947" r:id="rId1861" display="https://my.zakupivli.pro/remote/dispatcher/state_purchase_view/57925883" xr:uid="{AE32064E-7A0D-4444-B51C-79B8A638B121}"/>
    <hyperlink ref="N946" r:id="rId1862" xr:uid="{4352C236-623B-4DC8-A9E7-E9CA8C6A7E21}"/>
    <hyperlink ref="N947" r:id="rId1863" xr:uid="{43FFB573-FD8F-4C16-8AB2-FF3D44E67365}"/>
    <hyperlink ref="P948" r:id="rId1864" display="https://my.zakupivli.pro/remote/dispatcher/state_purchase_view/57971178" xr:uid="{9E3BCEF5-3073-4BCD-A62E-2D274A3EDA87}"/>
    <hyperlink ref="N948" r:id="rId1865" xr:uid="{305636EC-8CF4-4FD2-B462-9BBF63FA6572}"/>
    <hyperlink ref="P949" r:id="rId1866" display="https://my.zakupivli.pro/remote/dispatcher/state_purchase_view/58076884" xr:uid="{C7350BBE-6708-4B21-BA72-BE7750E512F7}"/>
    <hyperlink ref="P950" r:id="rId1867" display="https://my.zakupivli.pro/remote/dispatcher/state_purchase_view/58072937" xr:uid="{15205CC9-A87A-4871-AC3B-FEAA181F68D9}"/>
    <hyperlink ref="P951" r:id="rId1868" display="https://my.zakupivli.pro/remote/dispatcher/state_purchase_view/58061453" xr:uid="{E94CD589-6E65-49E0-A969-2CD4A51E139E}"/>
    <hyperlink ref="P952" r:id="rId1869" display="https://my.zakupivli.pro/remote/dispatcher/state_purchase_view/58060906" xr:uid="{F39E23FD-BFF0-45F1-B763-19ACC2C54B5D}"/>
    <hyperlink ref="P953" r:id="rId1870" display="https://my.zakupivli.pro/remote/dispatcher/state_purchase_view/58056297" xr:uid="{068421A4-CDC7-4C79-96FB-610E0226903C}"/>
    <hyperlink ref="N949" r:id="rId1871" xr:uid="{FA16B12A-DEA4-4AAA-9FF8-BE91346150CE}"/>
    <hyperlink ref="N950" r:id="rId1872" xr:uid="{1231B724-5B79-40B1-A691-A9908C5ED11B}"/>
    <hyperlink ref="N951" r:id="rId1873" xr:uid="{62CF2574-ACAF-4849-AA43-48A2AC842D26}"/>
    <hyperlink ref="N952" r:id="rId1874" xr:uid="{AA2C43F8-51B5-4D8F-9EE2-D76165F91938}"/>
    <hyperlink ref="N953" r:id="rId1875" xr:uid="{5A208C0E-23B1-4648-8420-998CE678615C}"/>
    <hyperlink ref="P954" r:id="rId1876" display="https://my.zakupivli.pro/remote/dispatcher/state_purchase_view/58109414" xr:uid="{89D92F28-2E74-4C09-9A73-EF91A39F90C2}"/>
    <hyperlink ref="P955" r:id="rId1877" display="https://my.zakupivli.pro/remote/dispatcher/state_purchase_view/58096222" xr:uid="{13C96A27-4967-4FA7-AC4A-6107E09FFA22}"/>
    <hyperlink ref="P956" r:id="rId1878" display="https://my.zakupivli.pro/remote/dispatcher/state_purchase_view/58089610" xr:uid="{9626023F-79D2-437F-982C-06D7669813C0}"/>
    <hyperlink ref="N954" r:id="rId1879" xr:uid="{ED9D236D-AF9D-452E-884F-9D0FA8C7D972}"/>
    <hyperlink ref="N955" r:id="rId1880" xr:uid="{79173122-EF53-4FC4-8247-AA9477DF16E2}"/>
    <hyperlink ref="N956" r:id="rId1881" xr:uid="{524B8B67-2651-4F6C-B5BC-095A7E708021}"/>
    <hyperlink ref="P957" r:id="rId1882" display="https://my.zakupivli.pro/remote/dispatcher/state_purchase_view/58211662" xr:uid="{6B1C548A-7623-403A-B5A5-FF23E8003C07}"/>
    <hyperlink ref="P958" r:id="rId1883" display="https://my.zakupivli.pro/remote/dispatcher/state_purchase_view/58211601" xr:uid="{1A5BDC3D-0E2E-4F33-B381-A6FB6A72003E}"/>
    <hyperlink ref="P959" r:id="rId1884" display="https://my.zakupivli.pro/remote/dispatcher/state_purchase_view/58199921" xr:uid="{A53F19A4-C360-411F-B4E5-5BA5A8D04625}"/>
    <hyperlink ref="N957" r:id="rId1885" xr:uid="{A8FF7F80-602F-4FE0-A34B-40017F0295FC}"/>
    <hyperlink ref="N958" r:id="rId1886" xr:uid="{3C470C81-205B-4077-BCFB-BDE631125C88}"/>
    <hyperlink ref="N959" r:id="rId1887" xr:uid="{2EC32A5D-AAF8-429E-B1C3-72A5E4D75A2A}"/>
    <hyperlink ref="P960" r:id="rId1888" display="https://my.zakupivli.pro/remote/dispatcher/state_purchase_view/58221122" xr:uid="{9F48E0BD-880B-4E17-AB79-7458043EEABD}"/>
    <hyperlink ref="N960" r:id="rId1889" xr:uid="{28DCF48E-D4A8-48E1-8302-DED498241D2B}"/>
    <hyperlink ref="P961" r:id="rId1890" display="https://my.zakupivli.pro/remote/dispatcher/state_purchase_view/58273102" xr:uid="{D974DBC5-1691-4349-8E17-A7E31E748F25}"/>
    <hyperlink ref="N961" r:id="rId1891" xr:uid="{8BA54B36-FD42-4DF3-8DCC-976C3D5EC8BC}"/>
    <hyperlink ref="P962" r:id="rId1892" display="https://my.zakupivli.pro/remote/dispatcher/state_purchase_view/58282530" xr:uid="{5E50D417-3DF0-431C-99B6-7856F9CA3AEB}"/>
    <hyperlink ref="P963" r:id="rId1893" display="https://my.zakupivli.pro/remote/dispatcher/state_purchase_view/58282446" xr:uid="{BD34D122-FBB1-43CC-8249-939237178036}"/>
    <hyperlink ref="P964" r:id="rId1894" display="https://my.zakupivli.pro/remote/dispatcher/state_purchase_view/58282171" xr:uid="{D56FF1BF-E576-4CED-A2F7-E7F611B31BE2}"/>
    <hyperlink ref="P965" r:id="rId1895" display="https://my.zakupivli.pro/remote/dispatcher/state_purchase_view/58281188" xr:uid="{2E2D7FF6-4C55-4680-9E0A-6DA3D4682370}"/>
    <hyperlink ref="N962" r:id="rId1896" xr:uid="{B472E40E-5095-44E6-ABDC-EA5A0ED087EA}"/>
    <hyperlink ref="N963" r:id="rId1897" xr:uid="{0CFD40A8-392C-4C96-ACAF-49AE1AF783CF}"/>
    <hyperlink ref="N964" r:id="rId1898" xr:uid="{5B41F75B-EEBD-427F-A516-05C7E84E1622}"/>
    <hyperlink ref="N965" r:id="rId1899" xr:uid="{CE8A0F68-893B-4644-A6FA-3986353C57B7}"/>
    <hyperlink ref="N966" r:id="rId1900" xr:uid="{5250307A-2829-43AD-9C55-B65DCDFA7F24}"/>
    <hyperlink ref="P967" r:id="rId1901" display="https://my.zakupivli.pro/remote/dispatcher/state_purchase_view/58434804" xr:uid="{10A33208-58ED-49CB-904A-45FFDB3C10EA}"/>
    <hyperlink ref="P968" r:id="rId1902" display="https://my.zakupivli.pro/remote/dispatcher/state_purchase_view/58402308" xr:uid="{2AB13D6C-ED60-4E26-B0BE-2992F2DA4006}"/>
    <hyperlink ref="P969" r:id="rId1903" display="https://my.zakupivli.pro/remote/dispatcher/state_purchase_view/58391456" xr:uid="{622E41D3-E28E-4A9C-85DE-B3DD3F5C83E7}"/>
    <hyperlink ref="P970" r:id="rId1904" display="https://my.zakupivli.pro/remote/dispatcher/state_purchase_view/58383433" xr:uid="{42D4CF6F-6489-4A9F-A7F6-634D4AE9A528}"/>
    <hyperlink ref="P971" r:id="rId1905" display="https://my.zakupivli.pro/remote/dispatcher/state_purchase_view/58330065" xr:uid="{078AB9BD-B8E9-45F3-AF32-2B3B80A5C9B9}"/>
    <hyperlink ref="P972" r:id="rId1906" display="https://my.zakupivli.pro/remote/dispatcher/state_purchase_view/58319979" xr:uid="{6DD179F8-3A9D-4E26-8FB8-EC6CBCEE8F9D}"/>
    <hyperlink ref="P973" r:id="rId1907" display="https://my.zakupivli.pro/remote/dispatcher/state_purchase_view/58318606" xr:uid="{2374E861-018E-422D-B6F1-5728BD74AEE2}"/>
    <hyperlink ref="N967" r:id="rId1908" xr:uid="{B356F766-7AB1-4501-8FD0-3BB27DB15E46}"/>
    <hyperlink ref="N968" r:id="rId1909" xr:uid="{6920C0EF-6990-4F3C-81D7-4F4EE6D310AD}"/>
    <hyperlink ref="N969" r:id="rId1910" xr:uid="{5AFF4F1F-F846-48AA-89B0-520449661570}"/>
    <hyperlink ref="N970" r:id="rId1911" xr:uid="{EE76E522-5E0B-4095-B40C-72A2AFE07BAB}"/>
    <hyperlink ref="N971" r:id="rId1912" xr:uid="{7F2DC0AD-50D9-4E4E-8A29-6D4B2273DDD3}"/>
    <hyperlink ref="N972" r:id="rId1913" xr:uid="{A9E233F1-1CB4-48CD-B200-883FD0D6CA18}"/>
    <hyperlink ref="N973" r:id="rId1914" xr:uid="{B69BE92E-731E-493B-B169-9B76EB0C99A4}"/>
    <hyperlink ref="P974" r:id="rId1915" display="https://my.zakupivli.pro/remote/dispatcher/state_purchase_view/58524451" xr:uid="{A967C8D4-F94B-4229-A992-05CB638AFA68}"/>
    <hyperlink ref="P975" r:id="rId1916" display="https://my.zakupivli.pro/remote/dispatcher/state_purchase_view/58523820" xr:uid="{3BD6C537-C1E1-458F-A343-C07809011D20}"/>
    <hyperlink ref="P976" r:id="rId1917" display="https://my.zakupivli.pro/remote/dispatcher/state_purchase_view/58513389" xr:uid="{EF8E254D-E769-432D-89EC-B0596BD2EE12}"/>
    <hyperlink ref="P977" r:id="rId1918" display="https://my.zakupivli.pro/remote/dispatcher/state_purchase_view/58476155" xr:uid="{4469495E-1B93-4047-99C2-DAC3966832E4}"/>
    <hyperlink ref="N974" r:id="rId1919" xr:uid="{FABAAE2C-DC27-45F9-8127-7BE3D9EF7F89}"/>
    <hyperlink ref="N975" r:id="rId1920" xr:uid="{18AA69DA-7031-41EB-8AA2-D46D15A679C6}"/>
    <hyperlink ref="N976" r:id="rId1921" xr:uid="{1A092C4C-1F8B-4BDD-A790-D96AE2D42136}"/>
    <hyperlink ref="N977" r:id="rId1922" xr:uid="{7018468F-860C-47D1-9F1E-91EE771375E1}"/>
    <hyperlink ref="P978" r:id="rId1923" display="https://my.zakupivli.pro/remote/dispatcher/state_purchase_view/58600113" xr:uid="{A63A6733-16F4-426A-95E1-67E1EE19E92C}"/>
    <hyperlink ref="P979" r:id="rId1924" display="https://my.zakupivli.pro/remote/dispatcher/state_purchase_view/58599837" xr:uid="{77F13F83-F908-439B-81FA-34D7A0366395}"/>
    <hyperlink ref="P980" r:id="rId1925" display="https://my.zakupivli.pro/remote/dispatcher/state_purchase_view/58599401" xr:uid="{1BFE0E28-2796-4B21-AB40-DD43A7497F54}"/>
    <hyperlink ref="P981" r:id="rId1926" display="https://my.zakupivli.pro/remote/dispatcher/state_purchase_view/58599183" xr:uid="{66C2A614-BF87-4B04-BD23-BBE6B864245C}"/>
    <hyperlink ref="P982" r:id="rId1927" display="https://my.zakupivli.pro/remote/dispatcher/state_purchase_view/58589905" xr:uid="{1180DFD0-776B-46A2-BDD0-BEC2CAA8A748}"/>
    <hyperlink ref="P983" r:id="rId1928" display="https://my.zakupivli.pro/remote/dispatcher/state_purchase_view/58589458" xr:uid="{36EA1DFD-30B4-49FE-B554-E9A567A8F547}"/>
    <hyperlink ref="P984" r:id="rId1929" display="https://my.zakupivli.pro/remote/dispatcher/state_purchase_view/58575307" xr:uid="{8CB2B428-4CBB-41B9-A825-4D4A6028892A}"/>
    <hyperlink ref="N978" r:id="rId1930" xr:uid="{792EB30D-C28A-4929-BC29-7267198323A4}"/>
    <hyperlink ref="N979" r:id="rId1931" xr:uid="{6440D2DA-2726-4713-B779-4A716A417C0D}"/>
    <hyperlink ref="N980" r:id="rId1932" xr:uid="{1177592B-D576-41F0-AB6C-7E1553721B49}"/>
    <hyperlink ref="N981" r:id="rId1933" xr:uid="{E16B6F1A-BE9D-4183-8194-409B455D3949}"/>
    <hyperlink ref="N982" r:id="rId1934" xr:uid="{6BBC1EBB-5420-4294-8FF3-87DBE3022000}"/>
    <hyperlink ref="N983" r:id="rId1935" xr:uid="{A36BEAC1-EC61-4C0F-A79E-80DF53467371}"/>
    <hyperlink ref="N984" r:id="rId1936" xr:uid="{0C330D67-6986-4A3B-9067-FA31C3AC2B3A}"/>
    <hyperlink ref="P985" r:id="rId1937" display="https://my.zakupivli.pro/remote/dispatcher/state_purchase_view/58613538" xr:uid="{9C7A7A34-20C8-4248-97D3-7FEC19F3433D}"/>
    <hyperlink ref="N985" r:id="rId1938" xr:uid="{11407562-139A-47E6-AC27-6314102A48C4}"/>
    <hyperlink ref="P986" r:id="rId1939" display="https://my.zakupivli.pro/remote/dispatcher/state_purchase_view/58657540" xr:uid="{DF983146-EC5C-418E-A5D6-D7EECA8CD74A}"/>
    <hyperlink ref="P987" r:id="rId1940" display="https://my.zakupivli.pro/remote/dispatcher/state_purchase_view/58656841" xr:uid="{2E50DD74-568E-4C53-9DD7-31ED6AB9F8A7}"/>
    <hyperlink ref="P988" r:id="rId1941" display="https://my.zakupivli.pro/remote/dispatcher/state_purchase_view/58656209" xr:uid="{91A5413C-703C-4FD0-B6DF-1F4ED628608E}"/>
    <hyperlink ref="P989" r:id="rId1942" display="https://my.zakupivli.pro/remote/dispatcher/state_purchase_view/58651905" xr:uid="{CEDBC4DF-1A9B-4103-8968-147298B0A704}"/>
    <hyperlink ref="N986" r:id="rId1943" xr:uid="{BC46890C-7346-413A-A42B-66FBA6B6FF1B}"/>
    <hyperlink ref="N987" r:id="rId1944" xr:uid="{937F2571-C0D6-4E95-95D5-E23B5001C873}"/>
    <hyperlink ref="N988" r:id="rId1945" xr:uid="{7BADA492-0185-45F4-A145-82B3841D82E8}"/>
    <hyperlink ref="N989" r:id="rId1946" xr:uid="{A9ADC2AF-6B6F-4BC9-A768-49AD9923FFF6}"/>
    <hyperlink ref="P990" r:id="rId1947" display="https://my.zakupivli.pro/remote/dispatcher/state_purchase_view/58679096" xr:uid="{0B490939-8C3F-40FD-8BC1-8F7F6016CB24}"/>
    <hyperlink ref="N990" r:id="rId1948" xr:uid="{BFF1069D-E178-4A24-91A1-087CA3A828A2}"/>
    <hyperlink ref="P991" r:id="rId1949" display="https://my.zakupivli.pro/remote/dispatcher/state_purchase_view/58741981" xr:uid="{7BFBDA98-FAA2-49C6-96C1-985D46B04451}"/>
    <hyperlink ref="N991" r:id="rId1950" xr:uid="{42F6081E-E1DF-41BA-8711-CBBE910A6D70}"/>
    <hyperlink ref="P992" r:id="rId1951" display="https://my.zakupivli.pro/remote/dispatcher/state_purchase_view/58797476" xr:uid="{4EA74044-A1EB-4685-A892-245996B69EFB}"/>
    <hyperlink ref="P993" r:id="rId1952" display="https://my.zakupivli.pro/remote/dispatcher/state_purchase_view/58796029" xr:uid="{C6D91335-A5F4-4087-A61C-B8F6FD13CF95}"/>
    <hyperlink ref="P994" r:id="rId1953" display="https://my.zakupivli.pro/remote/dispatcher/state_purchase_view/58774811" xr:uid="{1D2679CF-E435-4A32-B312-ECD744B83705}"/>
    <hyperlink ref="N992" r:id="rId1954" xr:uid="{C4FC65A9-EFFB-4929-868C-D561E13FFBD5}"/>
    <hyperlink ref="N993" r:id="rId1955" xr:uid="{67D5F009-AF14-4DEA-8123-16125D02356F}"/>
    <hyperlink ref="N994" r:id="rId1956" xr:uid="{0AB2FFED-8F90-4460-B405-6C998934A035}"/>
    <hyperlink ref="P995" r:id="rId1957" display="https://my.zakupivli.pro/remote/dispatcher/state_purchase_view/58831849" xr:uid="{485F2E67-1CB8-4253-A668-841FAC3DD7E2}"/>
    <hyperlink ref="N995" r:id="rId1958" xr:uid="{1966BC0A-F0F5-4243-AF88-76765D39B1C8}"/>
    <hyperlink ref="P996" r:id="rId1959" display="https://my.zakupivli.pro/remote/dispatcher/state_purchase_view/58853384" xr:uid="{EEBDC899-6F01-4405-945C-1B2C29A0376E}"/>
    <hyperlink ref="N996" r:id="rId1960" xr:uid="{357CC9A7-4984-4E9B-AC8C-D747F8C67095}"/>
    <hyperlink ref="P997" r:id="rId1961" display="https://my.zakupivli.pro/remote/dispatcher/state_purchase_view/58876022" xr:uid="{C138755D-61D0-4179-ABE4-C2C4D4FCC9A5}"/>
    <hyperlink ref="N997" r:id="rId1962" xr:uid="{70A4BB86-6469-448E-9C22-52B39E04AC49}"/>
    <hyperlink ref="P998" r:id="rId1963" display="https://my.zakupivli.pro/remote/dispatcher/state_purchase_view/58876357" xr:uid="{D40F85CA-380E-4457-904F-158EDCCE9D9D}"/>
    <hyperlink ref="N998" r:id="rId1964" xr:uid="{BE0896F0-DD63-4701-8D02-4C3894908CD1}"/>
    <hyperlink ref="P999" r:id="rId1965" display="https://my.zakupivli.pro/remote/dispatcher/state_purchase_view/58923256" xr:uid="{105287CF-A6C7-4434-AC16-2D76CA3E2D9C}"/>
    <hyperlink ref="N999" r:id="rId1966" xr:uid="{07829EF6-E535-48DC-B850-9B3C5BD69F19}"/>
    <hyperlink ref="P1000" r:id="rId1967" display="https://my.zakupivli.pro/remote/dispatcher/state_purchase_view/59070654" xr:uid="{4D3F21A2-708C-4F7A-8475-FC9A388B914D}"/>
    <hyperlink ref="P1001" r:id="rId1968" display="https://my.zakupivli.pro/remote/dispatcher/state_purchase_view/59069777" xr:uid="{D8A56288-1E85-4F98-89D2-6BA160CA1CE2}"/>
    <hyperlink ref="N1000" r:id="rId1969" xr:uid="{7753ED3F-93FC-4C5A-AF25-25FABA9C5573}"/>
    <hyperlink ref="N1001" r:id="rId1970" xr:uid="{40086A1D-CBCE-464D-B6BF-7690377ADA29}"/>
    <hyperlink ref="P1002" r:id="rId1971" display="https://my.zakupivli.pro/remote/dispatcher/state_purchase_view/59095527" xr:uid="{85E90714-10D5-418A-B40B-102E27A39601}"/>
    <hyperlink ref="N1002" r:id="rId1972" xr:uid="{CCBF2370-0F51-4B1B-97CA-6D99BDFD9B96}"/>
    <hyperlink ref="P1003" r:id="rId1973" display="https://my.zakupivli.pro/remote/dispatcher/state_purchase_view/59128871" xr:uid="{2CC53454-2919-4AE5-A587-7A422DD6BBFB}"/>
    <hyperlink ref="N1003" r:id="rId1974" xr:uid="{D5C39F89-B752-4391-AE12-99DA642281D6}"/>
    <hyperlink ref="P1004" r:id="rId1975" display="https://my.zakupivli.pro/remote/dispatcher/state_purchase_view/59214035" xr:uid="{28FF23C3-1356-489E-BFE9-E38AFCED0588}"/>
    <hyperlink ref="P1005" r:id="rId1976" display="https://my.zakupivli.pro/remote/dispatcher/state_purchase_view/59213415" xr:uid="{F95B4DDD-7E1B-43E4-BD89-D3C6A493BB2F}"/>
    <hyperlink ref="P1006" r:id="rId1977" display="https://my.zakupivli.pro/remote/dispatcher/state_purchase_view/59211123" xr:uid="{4DC33442-624D-4F55-9482-42A9EB03D140}"/>
    <hyperlink ref="P1007" r:id="rId1978" display="https://my.zakupivli.pro/remote/dispatcher/state_purchase_view/59210268" xr:uid="{73725E02-B0ED-4879-8875-9522F87DAB22}"/>
    <hyperlink ref="P1008" r:id="rId1979" display="https://my.zakupivli.pro/remote/dispatcher/state_purchase_view/59209475" xr:uid="{DD5842C2-1F2C-4828-B26D-D880B2CC88F1}"/>
    <hyperlink ref="P1009" r:id="rId1980" display="https://my.zakupivli.pro/remote/dispatcher/state_purchase_view/59208249" xr:uid="{790DD87D-28D9-479B-8737-DBC129A337C8}"/>
    <hyperlink ref="P1010" r:id="rId1981" display="https://my.zakupivli.pro/remote/dispatcher/state_purchase_view/59208246" xr:uid="{351FB564-89FA-4D28-BC37-A6C663A9C09D}"/>
    <hyperlink ref="P1011" r:id="rId1982" display="https://my.zakupivli.pro/remote/dispatcher/state_purchase_view/59204270" xr:uid="{5527FEBA-EF93-4339-A54E-F0236639D9D9}"/>
    <hyperlink ref="P1012" r:id="rId1983" display="https://my.zakupivli.pro/remote/dispatcher/state_purchase_view/59203411" xr:uid="{9EF339BF-700E-4C17-A51B-14FC2476F525}"/>
    <hyperlink ref="N1004" r:id="rId1984" xr:uid="{2F16DFF5-8A2D-4ECE-989C-C2719E63DC2C}"/>
    <hyperlink ref="N1005" r:id="rId1985" xr:uid="{966F18B1-9C8E-42C0-BEE5-7E7B2339F655}"/>
    <hyperlink ref="N1006" r:id="rId1986" xr:uid="{142958B0-731C-448A-9ECC-2EAB0D7A39B6}"/>
    <hyperlink ref="N1007" r:id="rId1987" xr:uid="{4B64AE5F-6F9B-41DD-9C79-1639A31660C4}"/>
    <hyperlink ref="N1008" r:id="rId1988" xr:uid="{0998201B-055D-400A-A2E8-588F9D32EF48}"/>
    <hyperlink ref="N1009" r:id="rId1989" xr:uid="{26881511-3895-4A24-9A13-DB19D4BC6F64}"/>
    <hyperlink ref="N1010" r:id="rId1990" xr:uid="{7A9E32F1-ADCF-40B6-B36E-0578D50D98A7}"/>
    <hyperlink ref="N1011" r:id="rId1991" xr:uid="{9CD97B2E-AB73-417F-8BE1-6CA004C30733}"/>
    <hyperlink ref="N1012" r:id="rId1992" xr:uid="{C46A26AE-1E7B-421A-9008-65536CA1DE72}"/>
    <hyperlink ref="P1013" r:id="rId1993" display="https://my.zakupivli.pro/remote/dispatcher/state_purchase_view/59253985" xr:uid="{39052D23-C052-4833-8EEA-6FB1DF2A0435}"/>
    <hyperlink ref="N1013" r:id="rId1994" xr:uid="{19401019-C688-4F4D-BA91-545D4C256BEE}"/>
    <hyperlink ref="P1014" r:id="rId1995" display="https://my.zakupivli.pro/remote/dispatcher/state_purchase_view/59272383" xr:uid="{E7746CDB-F401-4215-B2CA-6A81FF50F2DB}"/>
    <hyperlink ref="P1015" r:id="rId1996" display="https://my.zakupivli.pro/remote/dispatcher/state_purchase_view/59272094" xr:uid="{4C2149C6-5F1E-4E0B-A6C4-585119F8EB91}"/>
    <hyperlink ref="P1016" r:id="rId1997" display="https://my.zakupivli.pro/remote/dispatcher/state_purchase_view/59271749" xr:uid="{351E2C86-009C-48EB-A137-6DD3A5B464BC}"/>
    <hyperlink ref="P1017" r:id="rId1998" display="https://my.zakupivli.pro/remote/dispatcher/state_purchase_view/59271695" xr:uid="{6A7291A6-3D58-408C-B93C-B28F82D8A465}"/>
    <hyperlink ref="N1014" r:id="rId1999" xr:uid="{9F88B4B9-C495-4551-BB67-C10F9C19FC56}"/>
    <hyperlink ref="N1015" r:id="rId2000" xr:uid="{FDA7D9B1-14EE-44FC-ABC5-35BDF2A736FF}"/>
    <hyperlink ref="N1016" r:id="rId2001" xr:uid="{FD44DCCE-5EC4-4DF7-A4E3-9319A2E5BFFC}"/>
    <hyperlink ref="N1017" r:id="rId2002" xr:uid="{EC7BFEC3-F05A-480F-AAA2-6D425047A3AC}"/>
    <hyperlink ref="P1018" r:id="rId2003" display="https://my.zakupivli.pro/remote/dispatcher/state_purchase_view/59328070" xr:uid="{3A68AA5F-5058-4060-BE3D-9E2E9F0FC0E0}"/>
    <hyperlink ref="N1018" r:id="rId2004" xr:uid="{22F7F2A8-44AE-488C-B8F1-B56D47A65B31}"/>
    <hyperlink ref="P1019" r:id="rId2005" display="https://my.zakupivli.pro/remote/dispatcher/state_purchase_view/59361203" xr:uid="{62911BC8-3652-477B-998C-654977664CD2}"/>
    <hyperlink ref="P1020" r:id="rId2006" display="https://my.zakupivli.pro/remote/dispatcher/state_purchase_view/59361064" xr:uid="{2C5B20F3-A06B-4700-ABB4-B0DB4F12EB31}"/>
    <hyperlink ref="P1021" r:id="rId2007" display="https://my.zakupivli.pro/remote/dispatcher/state_purchase_view/59354476" xr:uid="{A8C4A542-DAB4-4706-AECA-AD688C95C792}"/>
    <hyperlink ref="N1019" r:id="rId2008" xr:uid="{55FF9082-75D4-4993-A01F-6003B67804AC}"/>
    <hyperlink ref="N1020" r:id="rId2009" xr:uid="{C1400F6A-2FEE-4700-B109-73E297302ACC}"/>
    <hyperlink ref="N1021" r:id="rId2010" xr:uid="{471D21F7-419D-4314-8773-B9DEAE1A5E1C}"/>
    <hyperlink ref="P1022" r:id="rId2011" display="https://my.zakupivli.pro/remote/dispatcher/state_purchase_view/59372454" xr:uid="{5A921092-C0E6-472F-9F8A-7A99F77591EF}"/>
    <hyperlink ref="P1023" r:id="rId2012" display="https://my.zakupivli.pro/remote/dispatcher/state_purchase_view/59372454" xr:uid="{47458B6C-C12F-42CC-850C-913B8E4EEDF4}"/>
    <hyperlink ref="N1022" r:id="rId2013" xr:uid="{71CCBC93-DB91-4F18-887D-90DE8F6B5C85}"/>
    <hyperlink ref="N1023" r:id="rId2014" xr:uid="{E64E8E9E-CFB2-46D1-997F-BD73ACD74EB9}"/>
    <hyperlink ref="P1024" r:id="rId2015" display="https://my.zakupivli.pro/remote/dispatcher/state_purchase_view/59464900" xr:uid="{ECD1C2C3-EDDD-4D7E-9A2F-796F10C40972}"/>
    <hyperlink ref="P1025" r:id="rId2016" display="https://my.zakupivli.pro/remote/dispatcher/state_purchase_view/59464876" xr:uid="{3D3CF0FE-0104-4D30-BE7F-77AE5E0F88C9}"/>
    <hyperlink ref="P1026" r:id="rId2017" display="https://my.zakupivli.pro/remote/dispatcher/state_purchase_view/59464736" xr:uid="{9D8C89DC-2E55-48B1-BC1F-465397ECC4CE}"/>
    <hyperlink ref="N1024" r:id="rId2018" xr:uid="{AC8F4913-424E-4A3C-862F-8336A835F9FC}"/>
    <hyperlink ref="N1025" r:id="rId2019" xr:uid="{47CE3A48-2717-4FCE-9764-10DF2A422821}"/>
    <hyperlink ref="N1026" r:id="rId2020" xr:uid="{158FB6D5-E8DD-4383-9E55-5102C7C279DA}"/>
    <hyperlink ref="P1027" r:id="rId2021" display="https://my.zakupivli.pro/remote/dispatcher/state_purchase_view/59518976" xr:uid="{3452DC82-83C0-4ACF-8975-BF25E7EBF32C}"/>
    <hyperlink ref="N1027" r:id="rId2022" xr:uid="{2144C5B8-0217-4C4F-AD5C-4C1D49E9DF20}"/>
    <hyperlink ref="P1028" r:id="rId2023" display="https://my.zakupivli.pro/remote/dispatcher/state_purchase_view/59543384" xr:uid="{CF89169D-4191-4F87-98DF-2DEDE122E189}"/>
    <hyperlink ref="P1029" r:id="rId2024" display="https://my.zakupivli.pro/remote/dispatcher/state_purchase_view/59526001" xr:uid="{9E20D386-07A0-4B55-8E9E-64A1F1CEEA36}"/>
    <hyperlink ref="P1030" r:id="rId2025" display="https://my.zakupivli.pro/remote/dispatcher/state_purchase_view/59525958" xr:uid="{5922132A-5D1A-4A13-ACAE-43A5D5AC9CAC}"/>
    <hyperlink ref="N1028" r:id="rId2026" xr:uid="{198C386D-FD4B-45D7-B7AA-8A4FE94A8087}"/>
    <hyperlink ref="N1029" r:id="rId2027" xr:uid="{A714EC6E-69DC-46CD-AEF4-87264B447D59}"/>
    <hyperlink ref="N1030" r:id="rId2028" xr:uid="{D0CA7878-153A-4F22-B398-F239E732CDF8}"/>
    <hyperlink ref="P1031" r:id="rId2029" display="https://my.zakupivli.pro/remote/dispatcher/state_purchase_view/59578825" xr:uid="{2B581A01-FD13-41F8-A6B3-E7B659967DA2}"/>
    <hyperlink ref="N1031" r:id="rId2030" xr:uid="{EB0CD3A2-44A4-41BE-9976-53FA84894C73}"/>
    <hyperlink ref="P1032" r:id="rId2031" display="https://my.zakupivli.pro/remote/dispatcher/state_purchase_view/59596873" xr:uid="{288743E7-513F-47B5-ACF3-597F22AAA3F6}"/>
    <hyperlink ref="N1032" r:id="rId2032" xr:uid="{BD68212C-9C2F-428A-9E67-EB27ED2F2EAA}"/>
    <hyperlink ref="P1033" r:id="rId2033" display="https://my.zakupivli.pro/remote/dispatcher/state_purchase_view/59641745" xr:uid="{E1F7B71E-AA17-4EE4-8AD1-32992A97C297}"/>
    <hyperlink ref="N1033" r:id="rId2034" xr:uid="{0CABCA00-8745-45C9-8BF7-212EEE4F1631}"/>
    <hyperlink ref="P1034" r:id="rId2035" display="https://my.zakupivli.pro/remote/dispatcher/state_purchase_view/59662837" xr:uid="{9260EBF9-E822-46B4-8F1F-B176D9337D71}"/>
    <hyperlink ref="N1034" r:id="rId2036" xr:uid="{9443F2C5-98C1-4A82-B650-86041012578C}"/>
    <hyperlink ref="P1035" r:id="rId2037" display="https://my.zakupivli.pro/remote/dispatcher/state_purchase_view/59692478" xr:uid="{332E5C37-4854-4DFE-9AA3-59049904D9B0}"/>
    <hyperlink ref="P1036" r:id="rId2038" display="https://my.zakupivli.pro/remote/dispatcher/state_purchase_view/59688234" xr:uid="{877332C7-0D5E-4BEC-912C-5D694EB1BE67}"/>
    <hyperlink ref="N1035" r:id="rId2039" xr:uid="{E186005E-A6A0-4DA4-BE63-9B300C345AC2}"/>
    <hyperlink ref="N1036" r:id="rId2040" xr:uid="{96479D3B-D637-420B-AD59-4DFF04943CA1}"/>
    <hyperlink ref="P1037" r:id="rId2041" display="https://my.zakupivli.pro/remote/dispatcher/state_purchase_view/59713132" xr:uid="{B72E0577-5F8D-46AF-AA5F-7C62929180A5}"/>
    <hyperlink ref="N1037" r:id="rId2042" xr:uid="{6BEF54B1-6647-421D-9FC4-7A201BC3B883}"/>
    <hyperlink ref="P1038" r:id="rId2043" display="https://my.zakupivli.pro/remote/dispatcher/state_purchase_view/59790031" xr:uid="{83E893EF-B50C-47A4-994A-2296A84879FF}"/>
    <hyperlink ref="P1039" r:id="rId2044" display="https://my.zakupivli.pro/remote/dispatcher/state_purchase_view/59778258" xr:uid="{3FDCE25F-FA29-443D-A4A6-5DBBB9FE3682}"/>
    <hyperlink ref="P1040" r:id="rId2045" display="https://my.zakupivli.pro/remote/dispatcher/state_purchase_view/59778119" xr:uid="{A41D16B4-FE57-42CD-B83D-EBAB2F249997}"/>
    <hyperlink ref="P1041" r:id="rId2046" display="https://my.zakupivli.pro/remote/dispatcher/state_purchase_view/59777997" xr:uid="{824DCCF4-2420-4899-BCB1-38734CFF99B0}"/>
    <hyperlink ref="N1038" r:id="rId2047" xr:uid="{083C075B-3A54-4A52-86E1-2B7EFA54DB92}"/>
    <hyperlink ref="N1039" r:id="rId2048" xr:uid="{938EAB6D-1947-46F0-8F1D-3CCB914FEF6E}"/>
    <hyperlink ref="N1040" r:id="rId2049" xr:uid="{BFA1DBF9-9022-46E2-9DC7-52DC2EA1DCEC}"/>
    <hyperlink ref="N1041" r:id="rId2050" xr:uid="{5FED89F6-700C-4528-B17C-7594BBC3007C}"/>
    <hyperlink ref="P1042" r:id="rId2051" display="https://my.zakupivli.pro/remote/dispatcher/state_purchase_view/59851810" xr:uid="{0D56A361-19FE-4A84-B31D-B1D8676E4107}"/>
    <hyperlink ref="P1043" r:id="rId2052" display="https://my.zakupivli.pro/remote/dispatcher/state_purchase_view/59851081" xr:uid="{C17C8DA9-08BC-4E80-B76F-F61FE88EBC05}"/>
    <hyperlink ref="N1042" r:id="rId2053" xr:uid="{A40ECC81-E695-4323-9BD1-3FFCFEA99691}"/>
    <hyperlink ref="N1043" r:id="rId2054" xr:uid="{64A0592C-9856-4F40-977A-EF2AC3E79830}"/>
    <hyperlink ref="N1044" r:id="rId2055" xr:uid="{CDF94B0E-318B-45EE-996E-F5E7C53F23DC}"/>
    <hyperlink ref="P1044" r:id="rId2056" display="https://my.zakupivli.pro/remote/dispatcher/state_purchase_view/59869236" xr:uid="{61E00504-98B5-4B3B-BC62-D0852A1493F2}"/>
    <hyperlink ref="P1045" r:id="rId2057" display="https://my.zakupivli.pro/remote/dispatcher/state_purchase_view/59864438" xr:uid="{5D9477B9-2296-4C9D-BC34-85D3870301EC}"/>
    <hyperlink ref="N1045" r:id="rId2058" xr:uid="{4F1383EE-A05A-4904-8EE9-AE226D260763}"/>
    <hyperlink ref="P1046" r:id="rId2059" display="https://my.zakupivli.pro/remote/dispatcher/state_purchase_view/59904811" xr:uid="{6080BB22-0247-4F17-8BD2-742322B5B18B}"/>
    <hyperlink ref="P1047" r:id="rId2060" display="https://my.zakupivli.pro/remote/dispatcher/state_purchase_view/59900219" xr:uid="{B5601B76-AE35-48DE-A40A-427C43923D8B}"/>
    <hyperlink ref="P1048" r:id="rId2061" display="https://my.zakupivli.pro/remote/dispatcher/state_purchase_view/59899840" xr:uid="{D30B7D20-900F-4793-888E-2B7C21A0AE00}"/>
    <hyperlink ref="P1049" r:id="rId2062" display="https://my.zakupivli.pro/remote/dispatcher/state_purchase_view/59899535" xr:uid="{09A97715-8A13-4491-B68A-163B7D433CF7}"/>
    <hyperlink ref="N1046" r:id="rId2063" xr:uid="{2B604CF3-8C82-46E9-B99C-88377CA60726}"/>
    <hyperlink ref="N1047" r:id="rId2064" xr:uid="{645D9959-2B2D-4E6F-B0B1-A2A3849B89DB}"/>
    <hyperlink ref="N1048" r:id="rId2065" xr:uid="{52A28351-9EF3-4FDF-A58D-A1789855921E}"/>
    <hyperlink ref="N1049" r:id="rId2066" xr:uid="{4D796333-93FB-4067-B88D-DF2BBAD4AC63}"/>
    <hyperlink ref="P1050" r:id="rId2067" display="https://my.zakupivli.pro/remote/dispatcher/state_purchase_view/59941982" xr:uid="{F1B34852-D099-4AEA-8F38-B91718DCF756}"/>
    <hyperlink ref="P1051" r:id="rId2068" display="https://my.zakupivli.pro/remote/dispatcher/state_purchase_view/59941599" xr:uid="{0C5C5F50-3ABA-4332-9D8A-26BF896C98D2}"/>
    <hyperlink ref="N1050" r:id="rId2069" xr:uid="{EB204B96-6D29-4E54-BCEB-3C8C252195DE}"/>
    <hyperlink ref="N1051" r:id="rId2070" xr:uid="{DA99439B-01E1-4CBC-8BD6-B47D3DBCFE98}"/>
    <hyperlink ref="P1052" r:id="rId2071" display="https://my.zakupivli.pro/remote/dispatcher/state_purchase_view/60071327" xr:uid="{4AB56FF3-47A7-47A5-9AC7-294BB19DD207}"/>
    <hyperlink ref="P1053" r:id="rId2072" display="https://my.zakupivli.pro/remote/dispatcher/state_purchase_view/60070202" xr:uid="{954E5BCE-CF44-471C-93E3-FDEC98B1405C}"/>
    <hyperlink ref="P1054" r:id="rId2073" display="https://my.zakupivli.pro/remote/dispatcher/state_purchase_view/60068731" xr:uid="{5CA7D5F6-7E1B-4E99-9E86-7E002766DD83}"/>
    <hyperlink ref="P1055" r:id="rId2074" display="https://my.zakupivli.pro/remote/dispatcher/state_purchase_view/60068496" xr:uid="{7761815C-AF8D-4170-BD60-5AA71B09D70E}"/>
    <hyperlink ref="P1056" r:id="rId2075" display="https://my.zakupivli.pro/remote/dispatcher/state_purchase_view/60064231" xr:uid="{AF69FDAC-04AB-4869-9C93-5D57321D47D5}"/>
    <hyperlink ref="P1057" r:id="rId2076" display="https://my.zakupivli.pro/remote/dispatcher/state_purchase_view/60063461" xr:uid="{FA4BCC9E-ED6C-4416-BA0B-42B475980ED4}"/>
    <hyperlink ref="P1058" r:id="rId2077" display="https://my.zakupivli.pro/remote/dispatcher/state_purchase_view/60062964" xr:uid="{A55C6069-409C-45E3-9774-C1A29F786418}"/>
    <hyperlink ref="P1059" r:id="rId2078" display="https://my.zakupivli.pro/remote/dispatcher/state_purchase_view/60047891" xr:uid="{82D4F40D-811A-4397-9ED5-8BF44454150D}"/>
    <hyperlink ref="P1060" r:id="rId2079" display="https://my.zakupivli.pro/remote/dispatcher/state_purchase_view/60047433" xr:uid="{929DE5AD-6F2B-4C46-8D3F-489613CFBC9C}"/>
    <hyperlink ref="P1061" r:id="rId2080" display="https://my.zakupivli.pro/remote/dispatcher/state_purchase_view/60044483" xr:uid="{F366744D-94DD-4618-BADB-31003435F766}"/>
    <hyperlink ref="P1062" r:id="rId2081" display="https://my.zakupivli.pro/remote/dispatcher/state_purchase_view/60044375" xr:uid="{A4A22018-9D14-4C13-8404-BE92D23CC4A2}"/>
    <hyperlink ref="P1063" r:id="rId2082" display="https://my.zakupivli.pro/remote/dispatcher/state_purchase_view/60044361" xr:uid="{D8FE11C7-3CDF-4190-A3A2-7771CD58C0FC}"/>
    <hyperlink ref="P1064" r:id="rId2083" display="https://my.zakupivli.pro/remote/dispatcher/state_purchase_view/60044037" xr:uid="{8C5318A1-22C0-44A5-8776-10BE08C68942}"/>
    <hyperlink ref="N1052" r:id="rId2084" xr:uid="{40928A83-1027-40C4-8320-2391B607FE75}"/>
    <hyperlink ref="N1053" r:id="rId2085" xr:uid="{121F603A-A9E0-48C3-B2F1-5561D515BF26}"/>
    <hyperlink ref="N1054" r:id="rId2086" xr:uid="{41EB5ED0-7BA9-4B99-B19E-7FC362251587}"/>
    <hyperlink ref="N1055" r:id="rId2087" xr:uid="{6A078221-576A-41A6-AB93-9DEF74F3743F}"/>
    <hyperlink ref="N1056" r:id="rId2088" xr:uid="{B715C837-563A-459B-873F-5F4A44D4A72B}"/>
    <hyperlink ref="N1057" r:id="rId2089" xr:uid="{E73ACC75-C0E1-4897-B916-E064EE56F55F}"/>
    <hyperlink ref="N1058" r:id="rId2090" xr:uid="{FE52E33E-F8F4-47DE-B158-CFC7AF17AF5B}"/>
    <hyperlink ref="N1059" r:id="rId2091" xr:uid="{A359EC13-DB9A-4DBE-A78D-227293F94BF8}"/>
    <hyperlink ref="N1060" r:id="rId2092" xr:uid="{8AD2EF8D-20BC-4C05-A743-5CE2C1E3D84F}"/>
    <hyperlink ref="N1061" r:id="rId2093" xr:uid="{B7D63338-EBD4-4D27-9313-761E97DC8A78}"/>
    <hyperlink ref="N1062" r:id="rId2094" xr:uid="{C2D9EAA6-3730-4EFA-A58A-6ABB1727FD29}"/>
    <hyperlink ref="N1063" r:id="rId2095" xr:uid="{1021C1D4-A19E-4DAD-9B65-B66609C0D634}"/>
    <hyperlink ref="N1064" r:id="rId2096" xr:uid="{0DD61F22-5D79-47C8-B718-2FBEE296D19D}"/>
    <hyperlink ref="P1065" r:id="rId2097" display="https://my.zakupivli.pro/remote/dispatcher/state_purchase_view/60193887" xr:uid="{88DF3559-A186-45C9-8C52-FD5AD4FAB459}"/>
    <hyperlink ref="P1066" r:id="rId2098" display="https://my.zakupivli.pro/remote/dispatcher/state_purchase_view/60193349" xr:uid="{67B8390F-CF82-4769-88D5-AD644BF060E9}"/>
    <hyperlink ref="P1067" r:id="rId2099" display="https://my.zakupivli.pro/remote/dispatcher/state_purchase_view/60193024" xr:uid="{AE66D6FF-3027-4DBD-90D7-D73172549EAB}"/>
    <hyperlink ref="P1068" r:id="rId2100" display="https://my.zakupivli.pro/remote/dispatcher/state_purchase_view/60168545" xr:uid="{0472C5BB-EF4E-47FA-AB2A-FDF28FC7697C}"/>
    <hyperlink ref="N1065" r:id="rId2101" xr:uid="{4CBBBDC6-5F9E-45F3-B34E-F61E3CC04E92}"/>
    <hyperlink ref="N1066" r:id="rId2102" xr:uid="{A2B10D18-5B08-444E-A96F-5B1DB7604591}"/>
    <hyperlink ref="N1067" r:id="rId2103" xr:uid="{6692C7AA-702B-40EF-957E-B0A16E4DE3EA}"/>
    <hyperlink ref="N1068" r:id="rId2104" xr:uid="{D25F2348-9F1D-4626-AD1F-867606D1BD44}"/>
    <hyperlink ref="P1069" r:id="rId2105" display="https://my.zakupivli.pro/remote/dispatcher/state_purchase_view/60216674" xr:uid="{08138C68-C3F8-4A0D-823A-2EB54A0F7185}"/>
    <hyperlink ref="P1070" r:id="rId2106" display="https://my.zakupivli.pro/remote/dispatcher/state_purchase_view/60216127" xr:uid="{ECA70A7A-7EEA-47BF-96D2-757DD27B39E4}"/>
    <hyperlink ref="P1071" r:id="rId2107" display="https://my.zakupivli.pro/remote/dispatcher/state_purchase_view/60215788" xr:uid="{1FFE6DC7-45B0-41D9-B364-AD7F4D1C8B81}"/>
    <hyperlink ref="P1072" r:id="rId2108" display="https://my.zakupivli.pro/remote/dispatcher/state_purchase_view/60215677" xr:uid="{1C3D697F-BEAA-4646-810F-479AB3F61A93}"/>
    <hyperlink ref="P1073" r:id="rId2109" display="https://my.zakupivli.pro/remote/dispatcher/state_purchase_view/60215472" xr:uid="{B6FACFDC-5634-4A4A-9DF8-C8E03920AE7E}"/>
    <hyperlink ref="P1074" r:id="rId2110" display="https://my.zakupivli.pro/remote/dispatcher/state_purchase_view/60215368" xr:uid="{5AF32B3E-727A-4861-A0D1-1B7A38E5F585}"/>
    <hyperlink ref="P1075" r:id="rId2111" display="https://my.zakupivli.pro/remote/dispatcher/state_purchase_view/60215232" xr:uid="{ACFB2F19-600C-4ABF-9A15-D0949BE8C5CA}"/>
    <hyperlink ref="N1069" r:id="rId2112" xr:uid="{B3E86E93-32BB-4AF8-BF30-373EB44E0FEF}"/>
    <hyperlink ref="N1070" r:id="rId2113" xr:uid="{CDBAAE52-139F-4272-8DF8-9AC171E0455D}"/>
    <hyperlink ref="N1071" r:id="rId2114" xr:uid="{B3B7DFFE-7626-444D-89FE-49BAD607711E}"/>
    <hyperlink ref="N1072" r:id="rId2115" xr:uid="{1A3E92C1-87CE-4191-9808-98C705048BFF}"/>
    <hyperlink ref="N1073" r:id="rId2116" xr:uid="{E19541D3-0297-45C2-9764-320FB4CE4954}"/>
    <hyperlink ref="N1074" r:id="rId2117" xr:uid="{BE74488E-CFE7-4AA7-822E-A72CD8A264B9}"/>
    <hyperlink ref="N1075" r:id="rId2118" xr:uid="{DD1D0A86-992A-4B85-B843-E5A9F615ED8A}"/>
    <hyperlink ref="P1076" r:id="rId2119" display="https://my.zakupivli.pro/remote/dispatcher/state_purchase_view/60238175" xr:uid="{D880D30B-82C3-47B8-98C3-ACC344EF1FAF}"/>
    <hyperlink ref="P1077" r:id="rId2120" display="https://my.zakupivli.pro/remote/dispatcher/state_purchase_view/60237997" xr:uid="{8C953132-58C7-4E1B-8F20-3F95595FB332}"/>
    <hyperlink ref="P1078" r:id="rId2121" display="https://my.zakupivli.pro/remote/dispatcher/state_purchase_view/60237708" xr:uid="{8D597DE9-4BAB-408C-84A0-099D800F4C50}"/>
    <hyperlink ref="P1079" r:id="rId2122" display="https://my.zakupivli.pro/remote/dispatcher/state_purchase_view/60237438" xr:uid="{ADE3681B-85FF-4263-BD28-917C017D2091}"/>
    <hyperlink ref="P1080" r:id="rId2123" display="https://my.zakupivli.pro/remote/dispatcher/state_purchase_view/60237216" xr:uid="{8A2ABA63-8BFB-4F5C-A608-B11933D87B51}"/>
    <hyperlink ref="N1076" r:id="rId2124" xr:uid="{CF68A155-27DD-4BBC-8B3F-CC8536226363}"/>
    <hyperlink ref="N1077" r:id="rId2125" xr:uid="{A03E9B72-92D6-48FF-8E8C-A1F9E9725A83}"/>
    <hyperlink ref="N1078" r:id="rId2126" xr:uid="{CB9CBA9B-45ED-405C-96FF-344E572E9F26}"/>
    <hyperlink ref="N1079" r:id="rId2127" xr:uid="{0D456215-54B7-4EE3-9375-344A2C3ED17F}"/>
    <hyperlink ref="N1080" r:id="rId2128" xr:uid="{0E52CF2E-112D-4AB7-B2A4-177ABB047C23}"/>
    <hyperlink ref="P1081" r:id="rId2129" display="https://my.zakupivli.pro/remote/dispatcher/state_purchase_view/60270749" xr:uid="{4BC0A4E2-BE36-4137-AE03-C90CDC023FA3}"/>
    <hyperlink ref="P1082" r:id="rId2130" display="https://my.zakupivli.pro/remote/dispatcher/state_purchase_view/60265394" xr:uid="{DFD0C527-8043-49B3-BCB2-EBEAA54E695F}"/>
    <hyperlink ref="P1083" r:id="rId2131" display="https://my.zakupivli.pro/remote/dispatcher/state_purchase_view/60263803" xr:uid="{D460BBC7-709C-4763-B556-6550EDF1BDBC}"/>
    <hyperlink ref="N1081" r:id="rId2132" xr:uid="{AD2679CC-F66C-4803-AAE2-3075DD4A0469}"/>
    <hyperlink ref="N1082" r:id="rId2133" xr:uid="{D067FC5F-BD94-42A4-AD6E-59049C1F7138}"/>
    <hyperlink ref="N1083" r:id="rId2134" xr:uid="{54119B9A-BCE9-4C81-9E28-A308D3B86587}"/>
    <hyperlink ref="P1084" r:id="rId2135" display="https://my.zakupivli.pro/remote/dispatcher/state_purchase_view/60294015" xr:uid="{442BFB73-D7D7-487C-AAF7-3F0A8BE6903D}"/>
    <hyperlink ref="P1085" r:id="rId2136" display="https://my.zakupivli.pro/remote/dispatcher/state_purchase_view/60293760" xr:uid="{84B52C2D-7C9B-4320-85B6-25A3FCD496B6}"/>
    <hyperlink ref="P1086" r:id="rId2137" display="https://my.zakupivli.pro/remote/dispatcher/state_purchase_view/60293316" xr:uid="{3C77B3BD-07B2-48BB-BB14-A52047E9FC71}"/>
    <hyperlink ref="P1087" r:id="rId2138" display="https://my.zakupivli.pro/remote/dispatcher/state_purchase_view/60293182" xr:uid="{D3DBD320-8618-4D3A-834F-B36AF01DD98F}"/>
    <hyperlink ref="P1088" r:id="rId2139" display="https://my.zakupivli.pro/remote/dispatcher/state_purchase_view/60292907" xr:uid="{53003FB4-7CF9-4943-8364-4D681CFB6D51}"/>
    <hyperlink ref="N1084" r:id="rId2140" xr:uid="{E2E8854F-C018-4214-967C-EEF2CA3D9633}"/>
    <hyperlink ref="N1085" r:id="rId2141" xr:uid="{DF83ECE9-FFA3-43D3-B2B2-CFDD68476DE7}"/>
    <hyperlink ref="N1086" r:id="rId2142" xr:uid="{52EEBD45-1D2F-472C-8C40-21D2614777EC}"/>
    <hyperlink ref="N1087" r:id="rId2143" xr:uid="{FEB45850-0DFE-4804-BB91-F4DB5F0AD82F}"/>
    <hyperlink ref="N1088" r:id="rId2144" xr:uid="{CA3FC48E-69FF-439B-B2E9-C2C24F3FEE76}"/>
    <hyperlink ref="P1089" r:id="rId2145" display="https://my.zakupivli.pro/remote/dispatcher/state_purchase_view/60342656" xr:uid="{40FB0B63-6DDC-45DD-A3FC-5615BF4D5E62}"/>
    <hyperlink ref="P1090" r:id="rId2146" display="https://my.zakupivli.pro/remote/dispatcher/state_purchase_view/60341421" xr:uid="{74B65979-C96B-439B-85E7-6C7F11FCCC73}"/>
    <hyperlink ref="P1091" r:id="rId2147" display="https://my.zakupivli.pro/remote/dispatcher/state_purchase_view/60340885" xr:uid="{6511EB41-AE6C-4BA2-801A-B7EBED80F75E}"/>
    <hyperlink ref="N1089" r:id="rId2148" xr:uid="{207F2E7C-91EF-425C-8CDD-577E1960D87B}"/>
    <hyperlink ref="N1090" r:id="rId2149" xr:uid="{F6D7C1D0-01DA-4C99-B382-B4390164F304}"/>
    <hyperlink ref="N1091" r:id="rId2150" xr:uid="{0E8F54C9-3E64-413D-B2D7-80782323EE04}"/>
    <hyperlink ref="N1092" r:id="rId2151" xr:uid="{39628DE2-50EB-488C-B756-133D60EDF7EE}"/>
    <hyperlink ref="P1092" r:id="rId2152" display="https://my.zakupivli.pro/remote/dispatcher/state_purchase_view/60439056" xr:uid="{D23FFA61-7180-4F39-9B03-F469745AE5F4}"/>
    <hyperlink ref="P1093" r:id="rId2153" display="https://my.zakupivli.pro/remote/dispatcher/state_purchase_view/60505517" xr:uid="{2F5D9748-642D-4AC6-AA8A-0A87D3E08F41}"/>
    <hyperlink ref="N1093" r:id="rId2154" xr:uid="{56240732-0601-48E1-9E07-379940702A1B}"/>
    <hyperlink ref="P1094" r:id="rId2155" display="https://my.zakupivli.pro/remote/dispatcher/state_purchase_view/60535635" xr:uid="{BF2565BC-920E-436B-9F8C-C70D199A5C79}"/>
    <hyperlink ref="P1095" r:id="rId2156" display="https://my.zakupivli.pro/remote/dispatcher/state_purchase_view/60535374" xr:uid="{46ECD4A0-49D8-4202-8557-53659B6357C5}"/>
    <hyperlink ref="P1096" r:id="rId2157" display="https://my.zakupivli.pro/remote/dispatcher/state_purchase_view/60535125" xr:uid="{84EB2AA2-6BC2-44FB-945E-7B35661912E3}"/>
    <hyperlink ref="P1097" r:id="rId2158" display="https://my.zakupivli.pro/remote/dispatcher/state_purchase_view/60534949" xr:uid="{F02B73FB-160B-4509-8436-3B43F6ED3910}"/>
    <hyperlink ref="N1094" r:id="rId2159" xr:uid="{0FD5EF09-4340-4C66-86DC-C4378DC9A7AD}"/>
    <hyperlink ref="N1095" r:id="rId2160" xr:uid="{21BFB08D-DCD3-4FDF-9146-3BF53C9E904C}"/>
    <hyperlink ref="N1096" r:id="rId2161" xr:uid="{FB027AFB-A70C-4D1A-89FF-4868F0BB6A16}"/>
    <hyperlink ref="N1097" r:id="rId2162" xr:uid="{31DECE65-D5A7-46E9-9647-69593A11FA96}"/>
    <hyperlink ref="P1098" r:id="rId2163" display="https://my.zakupivli.pro/remote/dispatcher/state_purchase_view/60540211" xr:uid="{B3EB3D7E-6D5C-4D68-A9D3-FE50DA5B1331}"/>
    <hyperlink ref="P1099" r:id="rId2164" display="https://my.zakupivli.pro/remote/dispatcher/state_purchase_view/60539749" xr:uid="{AE1DAA55-146D-4FF9-AB17-B6EFE4A501B4}"/>
    <hyperlink ref="P1100" r:id="rId2165" display="https://my.zakupivli.pro/remote/dispatcher/state_purchase_view/60539705" xr:uid="{933474D5-1FC6-455E-958D-9447FFD38FC6}"/>
    <hyperlink ref="N1098" r:id="rId2166" xr:uid="{46EDFB31-8DB2-4440-BD29-1D38B2026A07}"/>
    <hyperlink ref="N1099" r:id="rId2167" xr:uid="{6B88C7E7-23E3-4561-BE52-86611C10C39B}"/>
    <hyperlink ref="N1100" r:id="rId2168" xr:uid="{910360C4-F3FF-4ACA-A7B7-D7427B3FA743}"/>
    <hyperlink ref="P1101" r:id="rId2169" display="https://my.zakupivli.pro/remote/dispatcher/state_purchase_view/60601688" xr:uid="{680E1E2F-043D-4767-9C81-75CC545BB5DF}"/>
    <hyperlink ref="P1102" r:id="rId2170" display="https://my.zakupivli.pro/remote/dispatcher/state_purchase_view/60601653" xr:uid="{B0E82D06-C66B-47A2-9A84-40DFAEA78B17}"/>
    <hyperlink ref="N1101" r:id="rId2171" xr:uid="{EB1E6B37-D30D-4178-836F-A376ABDCAB5E}"/>
    <hyperlink ref="N1102" r:id="rId2172" xr:uid="{8C6B8B90-9644-41E9-9A3B-604866F22AE6}"/>
    <hyperlink ref="P1103" r:id="rId2173" display="https://my.zakupivli.pro/remote/dispatcher/state_purchase_view/60616351" xr:uid="{D903989A-EBBD-45C9-94FA-64991527E396}"/>
    <hyperlink ref="P1104" r:id="rId2174" display="https://my.zakupivli.pro/remote/dispatcher/state_purchase_view/60616255" xr:uid="{5FFADE1E-23CA-4B22-9157-4095E485CFD0}"/>
    <hyperlink ref="P1105" r:id="rId2175" display="https://my.zakupivli.pro/remote/dispatcher/state_purchase_view/60616244" xr:uid="{5E6F5471-7220-475F-AA02-5C8934A52D40}"/>
    <hyperlink ref="N1103" r:id="rId2176" xr:uid="{8A15A1E7-E3D5-4259-8D95-C4CE0C2CE99E}"/>
    <hyperlink ref="N1104" r:id="rId2177" xr:uid="{F386D1DB-C12E-46EF-AADC-C6148117B6D5}"/>
    <hyperlink ref="N1105" r:id="rId2178" xr:uid="{09C20C8A-012C-42AB-B409-810F2EDA628C}"/>
    <hyperlink ref="P1106" r:id="rId2179" display="https://my.zakupivli.pro/remote/dispatcher/state_purchase_view/60641481" xr:uid="{B824D4F7-8EE3-403D-B1FA-3A6DF63AF7D6}"/>
    <hyperlink ref="N1106" r:id="rId2180" xr:uid="{12D7B1B8-FAC0-4F8C-9B56-5E6681B60094}"/>
    <hyperlink ref="P1107" r:id="rId2181" display="https://my.zakupivli.pro/remote/dispatcher/state_purchase_view/60773263" xr:uid="{92B70335-E5D8-499E-BB96-02E18959D260}"/>
    <hyperlink ref="N1107" r:id="rId2182" xr:uid="{CB57E3DF-837B-485C-A2C0-29F002EE5DAD}"/>
    <hyperlink ref="P1108" r:id="rId2183" display="https://my.zakupivli.pro/remote/dispatcher/state_purchase_view/60781506" xr:uid="{EBA2E3DC-0944-4881-8756-CFAD7F473D6C}"/>
    <hyperlink ref="N1108" r:id="rId2184" xr:uid="{F739037A-6E08-4825-B38E-C95CDA5A8AE8}"/>
    <hyperlink ref="P1109" r:id="rId2185" display="https://my.zakupivli.pro/remote/dispatcher/state_purchase_view/60853228" xr:uid="{3B5CC55E-6609-4D78-BF9A-01BE2DD24D46}"/>
    <hyperlink ref="P1110" r:id="rId2186" display="https://my.zakupivli.pro/remote/dispatcher/state_purchase_view/60853219" xr:uid="{AAE14FAC-9700-48CD-9E0C-BF65EE2D36AD}"/>
    <hyperlink ref="P1111" r:id="rId2187" display="https://my.zakupivli.pro/remote/dispatcher/state_purchase_view/60852937" xr:uid="{149AFCB2-B031-43E0-9349-28AB3690BD51}"/>
    <hyperlink ref="N1109" r:id="rId2188" xr:uid="{381267BF-0416-404B-9ABD-AEB9FE6409A3}"/>
    <hyperlink ref="N1110" r:id="rId2189" xr:uid="{F6F826BF-4281-4FE5-8AE2-D44C90A7D3A8}"/>
    <hyperlink ref="N1111" r:id="rId2190" xr:uid="{B39A8B54-55D4-4C09-BEB9-B622AE07E570}"/>
    <hyperlink ref="P1112" r:id="rId2191" display="https://my.zakupivli.pro/remote/dispatcher/state_purchase_view/60904735" xr:uid="{32702233-BFCE-4452-AA9E-8CB53D7D5077}"/>
    <hyperlink ref="P1113" r:id="rId2192" display="https://my.zakupivli.pro/remote/dispatcher/state_purchase_view/60904345" xr:uid="{A1B588A3-7928-4599-8EE5-F4B5B70B168C}"/>
    <hyperlink ref="P1114" r:id="rId2193" display="https://my.zakupivli.pro/remote/dispatcher/state_purchase_view/60904191" xr:uid="{118D92C4-40E7-4EC7-B08D-1AF29F77EB19}"/>
    <hyperlink ref="P1115" r:id="rId2194" display="https://my.zakupivli.pro/remote/dispatcher/state_purchase_view/60904007" xr:uid="{4F023AE2-3B00-47EE-9B03-780116B24428}"/>
    <hyperlink ref="P1116" r:id="rId2195" display="https://my.zakupivli.pro/remote/dispatcher/state_purchase_view/60891328" xr:uid="{1D1E358E-3CAA-4790-8ED7-AFD9C1087E76}"/>
    <hyperlink ref="N1112" r:id="rId2196" xr:uid="{5E90B6D8-1EAB-43A6-8185-631535CBB7DC}"/>
    <hyperlink ref="N1113" r:id="rId2197" xr:uid="{A8283D5F-CDF5-4608-8D56-274762177A00}"/>
    <hyperlink ref="N1114" r:id="rId2198" xr:uid="{47A9BD77-59ED-4C50-B5CA-5280D8B7E526}"/>
    <hyperlink ref="N1115" r:id="rId2199" xr:uid="{A413BD3E-CFE2-4968-BA81-F94E6CD0B7EA}"/>
    <hyperlink ref="N1116" r:id="rId2200" xr:uid="{D986325D-666C-4552-8CED-769408364014}"/>
    <hyperlink ref="P1117" r:id="rId2201" display="https://my.zakupivli.pro/remote/dispatcher/state_purchase_view/60962145" xr:uid="{13C36E79-796D-4FFC-AF4B-78A9D7E71665}"/>
    <hyperlink ref="P1118" r:id="rId2202" display="https://my.zakupivli.pro/remote/dispatcher/state_purchase_view/60961942" xr:uid="{B8304C83-BAEF-400B-8681-50EC4DECFD29}"/>
    <hyperlink ref="P1119" r:id="rId2203" display="https://my.zakupivli.pro/remote/dispatcher/state_purchase_view/60961667" xr:uid="{455E77A2-99F2-4154-B691-1433FA34DE9E}"/>
    <hyperlink ref="N1117" r:id="rId2204" xr:uid="{96AC4F81-ADB3-499A-A0BF-3CF09CF05BF5}"/>
    <hyperlink ref="N1118" r:id="rId2205" xr:uid="{CA6418CA-2EE2-415A-AD3D-E7F2B8CA20EB}"/>
    <hyperlink ref="N1119" r:id="rId2206" xr:uid="{B83E0219-D3BB-43AA-8283-AE7C77646925}"/>
    <hyperlink ref="P1120" r:id="rId2207" display="https://my.zakupivli.pro/remote/dispatcher/state_purchase_view/60983117" xr:uid="{6878EA6E-D2FA-43B3-BA11-8FB790D3921F}"/>
    <hyperlink ref="P1121" r:id="rId2208" display="https://my.zakupivli.pro/remote/dispatcher/state_purchase_view/60973872" xr:uid="{AE7A377D-B560-4212-BA6B-67F555CF2FD7}"/>
    <hyperlink ref="P1122" r:id="rId2209" display="https://my.zakupivli.pro/remote/dispatcher/state_purchase_view/60971624" xr:uid="{9C884905-EA44-453E-9968-4E5757CC9833}"/>
    <hyperlink ref="P1123" r:id="rId2210" display="https://my.zakupivli.pro/remote/dispatcher/state_purchase_view/60969813" xr:uid="{17F2C740-9C22-44E2-B698-FC7A92284678}"/>
    <hyperlink ref="N1120" r:id="rId2211" xr:uid="{553CC2ED-5CC1-4047-BD51-54374C67EFF0}"/>
    <hyperlink ref="N1121" r:id="rId2212" xr:uid="{CC17CE21-FF3A-462E-8B8D-C74BF90D64B6}"/>
    <hyperlink ref="N1122" r:id="rId2213" xr:uid="{AFC9031B-EEE7-4E4C-B5A9-F5623E702884}"/>
    <hyperlink ref="N1123" r:id="rId2214" xr:uid="{987FA196-88A7-4247-AB10-3B44763F4568}"/>
    <hyperlink ref="P1124" r:id="rId2215" display="https://my.zakupivli.pro/remote/dispatcher/state_purchase_view/61011521" xr:uid="{480D266D-9492-4845-A678-2A9BFF7781C4}"/>
    <hyperlink ref="P1125" r:id="rId2216" display="https://my.zakupivli.pro/remote/dispatcher/state_purchase_view/61011379" xr:uid="{6FC5F5B4-9288-4D32-A551-129B737BBD11}"/>
    <hyperlink ref="P1126" r:id="rId2217" display="https://my.zakupivli.pro/remote/dispatcher/state_purchase_view/60998951" xr:uid="{77FFA60B-0685-4AB6-8DCB-EF85B19EE349}"/>
    <hyperlink ref="N1124" r:id="rId2218" xr:uid="{8E33C724-A23E-4C1B-B811-A23420380EA0}"/>
    <hyperlink ref="N1125" r:id="rId2219" xr:uid="{643180AF-2D1F-406D-8E85-1DA0EB8B466D}"/>
    <hyperlink ref="N1126" r:id="rId2220" xr:uid="{C1EA3D28-39F9-434F-9FCB-10B11C17EC51}"/>
    <hyperlink ref="P1127" r:id="rId2221" display="https://my.zakupivli.pro/remote/dispatcher/state_purchase_view/61014811" xr:uid="{E719F63D-A814-418B-B21B-C5E60F1203A6}"/>
    <hyperlink ref="N1127" r:id="rId2222" xr:uid="{E9B64AD5-C53A-4FA4-976E-1FCB27998B18}"/>
    <hyperlink ref="P1128" r:id="rId2223" display="https://my.zakupivli.pro/remote/dispatcher/state_purchase_view/61050178" xr:uid="{8792129C-F769-4382-88F9-E902D604734C}"/>
    <hyperlink ref="P1129" r:id="rId2224" display="https://my.zakupivli.pro/remote/dispatcher/state_purchase_view/61049183" xr:uid="{CE9B6B2E-8EE0-4761-8D82-058995D87C44}"/>
    <hyperlink ref="N1128" r:id="rId2225" xr:uid="{F29FD7E8-FB0F-4BF3-A51F-76CBC10E3C64}"/>
    <hyperlink ref="N1129" r:id="rId2226" xr:uid="{A16620DA-7C0A-4926-BD36-ABE9FA3D0A02}"/>
    <hyperlink ref="P1130" r:id="rId2227" display="https://my.zakupivli.pro/remote/dispatcher/state_purchase_view/61077928" xr:uid="{FD6664C5-3588-4186-AC0F-C682294E8CF7}"/>
    <hyperlink ref="N1130" r:id="rId2228" xr:uid="{B4C968C6-61E8-4AD9-B22F-EF456B5FAF1C}"/>
    <hyperlink ref="P1131" r:id="rId2229" display="https://my.zakupivli.pro/remote/dispatcher/state_purchase_view/61130931" xr:uid="{1A588094-AABC-4364-9D25-893630E4515F}"/>
    <hyperlink ref="P1132" r:id="rId2230" display="https://my.zakupivli.pro/remote/dispatcher/state_purchase_view/61130826" xr:uid="{AD669D7C-9549-45A9-9AB5-7BD8C16EB01B}"/>
    <hyperlink ref="P1133" r:id="rId2231" display="https://my.zakupivli.pro/remote/dispatcher/state_purchase_view/61122012" xr:uid="{6328A2AE-6972-4FF3-B5C4-DD5CBD71DDE6}"/>
    <hyperlink ref="N1131" r:id="rId2232" xr:uid="{BB1DD470-A9DA-4441-B726-96D3DDFE5272}"/>
    <hyperlink ref="N1132" r:id="rId2233" xr:uid="{BF9FB71C-1CCB-4C7B-A5E4-8D0D6B6C7DEB}"/>
    <hyperlink ref="N1133" r:id="rId2234" xr:uid="{354F7649-6FF3-4F0E-AB3E-F107C867CE1C}"/>
    <hyperlink ref="P1134" r:id="rId2235" display="https://my.zakupivli.pro/remote/dispatcher/state_purchase_view/61158555" xr:uid="{30105B84-A01B-4560-9227-7C70BEEF6DEA}"/>
    <hyperlink ref="P1135" r:id="rId2236" display="https://my.zakupivli.pro/remote/dispatcher/state_purchase_view/61158360" xr:uid="{CF8A3D10-529A-4DE8-83D5-F681419C5603}"/>
    <hyperlink ref="P1136" r:id="rId2237" display="https://my.zakupivli.pro/remote/dispatcher/state_purchase_view/61157905" xr:uid="{8D8A3D75-49EE-4BDB-B9A8-01777E78884B}"/>
    <hyperlink ref="P1137" r:id="rId2238" display="https://my.zakupivli.pro/remote/dispatcher/state_purchase_view/61143988" xr:uid="{747CB972-A5A7-4EBE-B2BD-7B3A49FE53D5}"/>
    <hyperlink ref="P1138" r:id="rId2239" display="https://my.zakupivli.pro/remote/dispatcher/state_purchase_view/61143872" xr:uid="{0E93B4EB-2221-498D-874E-7EE4A5E53DC0}"/>
    <hyperlink ref="N1134" r:id="rId2240" xr:uid="{474C6BA7-0217-41A7-BC6D-8AD750632630}"/>
    <hyperlink ref="N1135" r:id="rId2241" xr:uid="{FD962D6F-13B4-41B2-9173-536ACD1EC674}"/>
    <hyperlink ref="N1136" r:id="rId2242" xr:uid="{7D476279-9C67-433C-8E1E-7609FF2EEBF0}"/>
    <hyperlink ref="N1137" r:id="rId2243" xr:uid="{1177338D-7849-4040-88C6-B6BF024F06F9}"/>
    <hyperlink ref="N1138" r:id="rId2244" xr:uid="{5CC5121B-3483-475F-BBD2-3FDC2D014D5F}"/>
    <hyperlink ref="P1139" r:id="rId2245" display="https://my.zakupivli.pro/remote/dispatcher/state_purchase_view/61224916" xr:uid="{EA6460C9-B859-4D70-94D0-C3FE06B7C9F5}"/>
    <hyperlink ref="N1139" r:id="rId2246" xr:uid="{5F975AB3-A96F-49B4-B3EF-8AE7152501B0}"/>
    <hyperlink ref="P1140" r:id="rId2247" display="https://my.zakupivli.pro/remote/dispatcher/state_purchase_view/61271746" xr:uid="{04F8F471-4EBA-4200-82ED-4EB058329F80}"/>
    <hyperlink ref="P1141" r:id="rId2248" display="https://my.zakupivli.pro/remote/dispatcher/state_purchase_view/61268878" xr:uid="{B5AF2394-74E4-43BD-810D-57481EB90A45}"/>
    <hyperlink ref="P1142" r:id="rId2249" display="https://my.zakupivli.pro/remote/dispatcher/state_purchase_view/61268850" xr:uid="{4CD46EE4-31DB-499B-88B5-8A7BA2D4E4BA}"/>
    <hyperlink ref="N1140" r:id="rId2250" xr:uid="{2C40E20E-D7A9-4F52-87E6-6A716552269D}"/>
    <hyperlink ref="N1141" r:id="rId2251" xr:uid="{E0B37AB1-4867-4D37-9E24-7AA45F19861A}"/>
    <hyperlink ref="N1142" r:id="rId2252" xr:uid="{EE0FD762-09B8-4042-B293-DB44571DBE6C}"/>
    <hyperlink ref="P1143" r:id="rId2253" display="https://my.zakupivli.pro/remote/dispatcher/state_purchase_view/61302632" xr:uid="{80AAB76D-76FC-497D-9548-68AC39A07E00}"/>
    <hyperlink ref="P1144" r:id="rId2254" display="https://my.zakupivli.pro/remote/dispatcher/state_purchase_view/61285293" xr:uid="{B2D83821-9ECE-4F0D-967E-A120F888FAC4}"/>
    <hyperlink ref="N1143" r:id="rId2255" xr:uid="{154AB41C-6052-4896-82D6-2DA01FFF8A82}"/>
    <hyperlink ref="N1144" r:id="rId2256" xr:uid="{82B32733-D55C-405E-BB13-BACA25E49420}"/>
    <hyperlink ref="P1148" r:id="rId2257" display="https://my.zakupivli.pro/remote/dispatcher/state_purchase_view/61470402" xr:uid="{9B869DF1-F98E-472D-81B3-18091366B684}"/>
    <hyperlink ref="P1149" r:id="rId2258" display="https://my.zakupivli.pro/remote/dispatcher/state_purchase_view/61469452" xr:uid="{218BD9BB-DBB7-459A-A9F4-6E199DC5327A}"/>
    <hyperlink ref="P1145" r:id="rId2259" display="https://my.zakupivli.pro/remote/dispatcher/state_purchase_view/61349840" xr:uid="{316F26F9-7DD0-4DC0-A904-4D489B356AF2}"/>
    <hyperlink ref="P1146" r:id="rId2260" display="https://my.zakupivli.pro/remote/dispatcher/state_purchase_view/61348521" xr:uid="{C3FDAE3D-00E5-43E4-9403-833A1E5F2A8D}"/>
    <hyperlink ref="P1147" r:id="rId2261" display="https://my.zakupivli.pro/remote/dispatcher/state_purchase_view/61345643" xr:uid="{E81BAB4F-53A2-4EE0-8F7C-CC52500FC938}"/>
    <hyperlink ref="N1145" r:id="rId2262" xr:uid="{40C69F45-5446-4FB7-8002-0C06BFD5FFAD}"/>
    <hyperlink ref="N1146" r:id="rId2263" xr:uid="{D7D4CE4A-BFDC-4643-B216-D7F9C28BC2B7}"/>
    <hyperlink ref="N1147" r:id="rId2264" xr:uid="{1876A1B8-45CE-42FA-A9B9-F598B0D83A75}"/>
    <hyperlink ref="N1148" r:id="rId2265" xr:uid="{D5401B9E-C608-49EA-A02E-19DE159465CD}"/>
    <hyperlink ref="N1149" r:id="rId2266" xr:uid="{96AECF49-87A6-467A-B471-7A9391E1F701}"/>
  </hyperlinks>
  <pageMargins left="0.7" right="0.7" top="0.75" bottom="0.75" header="0.3" footer="0.3"/>
  <pageSetup paperSize="9" scale="34" orientation="landscape" r:id="rId22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2025-08-25T05:28:53Z</dcterms:modified>
</cp:coreProperties>
</file>