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DA345C5B-0C77-46FE-88B0-575DE5A464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836" i="1" l="1"/>
  <c r="P835" i="1"/>
  <c r="P834" i="1"/>
  <c r="P833" i="1"/>
  <c r="P832" i="1"/>
  <c r="P831" i="1"/>
  <c r="P830" i="1"/>
  <c r="P829" i="1" l="1"/>
  <c r="P828" i="1" l="1"/>
  <c r="P827" i="1"/>
  <c r="P826" i="1" l="1"/>
  <c r="P825" i="1"/>
  <c r="P824" i="1"/>
  <c r="P823" i="1"/>
  <c r="P822" i="1" l="1"/>
  <c r="P821" i="1"/>
  <c r="P820" i="1"/>
  <c r="P819" i="1"/>
  <c r="P818" i="1"/>
  <c r="P817" i="1" l="1"/>
  <c r="P816" i="1"/>
  <c r="P815" i="1"/>
  <c r="P814" i="1" l="1"/>
  <c r="P813" i="1" l="1"/>
  <c r="P812" i="1"/>
  <c r="P811" i="1"/>
  <c r="P810" i="1"/>
  <c r="P809" i="1"/>
  <c r="P808" i="1"/>
  <c r="P807" i="1"/>
  <c r="P806" i="1"/>
  <c r="P805" i="1"/>
  <c r="P804" i="1"/>
  <c r="P803" i="1"/>
  <c r="P802" i="1" l="1"/>
  <c r="P801" i="1" l="1"/>
  <c r="P800" i="1"/>
  <c r="P799" i="1"/>
  <c r="P798" i="1"/>
  <c r="P797" i="1"/>
  <c r="P796" i="1"/>
  <c r="P795" i="1" l="1"/>
  <c r="P794" i="1"/>
  <c r="P793" i="1"/>
  <c r="P792" i="1"/>
  <c r="P791" i="1"/>
  <c r="P790" i="1" l="1"/>
  <c r="P789" i="1" l="1"/>
  <c r="P788" i="1"/>
  <c r="P787" i="1"/>
  <c r="P786" i="1" l="1"/>
  <c r="P785" i="1" l="1"/>
  <c r="P784" i="1"/>
  <c r="P783" i="1"/>
  <c r="P782" i="1"/>
  <c r="P781" i="1"/>
  <c r="P780" i="1" l="1"/>
  <c r="P779" i="1"/>
  <c r="P778" i="1"/>
  <c r="P777" i="1"/>
  <c r="P776" i="1"/>
  <c r="P775" i="1"/>
  <c r="P774" i="1" l="1"/>
  <c r="P773" i="1"/>
  <c r="P772" i="1" l="1"/>
  <c r="P771" i="1"/>
  <c r="P770" i="1"/>
  <c r="P769" i="1"/>
  <c r="P768" i="1"/>
  <c r="P767" i="1"/>
  <c r="P766" i="1"/>
  <c r="P765" i="1"/>
  <c r="P764" i="1"/>
  <c r="P763" i="1"/>
  <c r="P762" i="1" l="1"/>
  <c r="P761" i="1"/>
  <c r="P760" i="1" l="1"/>
  <c r="P759" i="1"/>
  <c r="P758" i="1" l="1"/>
  <c r="P757" i="1" l="1"/>
  <c r="P756" i="1" l="1"/>
  <c r="P755" i="1" l="1"/>
  <c r="P754" i="1"/>
  <c r="P753" i="1"/>
  <c r="P752" i="1"/>
  <c r="P751" i="1"/>
  <c r="P750" i="1" l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 l="1"/>
  <c r="P736" i="1"/>
  <c r="P735" i="1" l="1"/>
  <c r="P734" i="1"/>
  <c r="P733" i="1"/>
  <c r="P732" i="1" l="1"/>
  <c r="P731" i="1" l="1"/>
  <c r="P730" i="1"/>
  <c r="P729" i="1"/>
  <c r="P728" i="1" l="1"/>
  <c r="P727" i="1" l="1"/>
  <c r="P726" i="1"/>
  <c r="P725" i="1"/>
  <c r="P724" i="1"/>
  <c r="P723" i="1"/>
  <c r="P722" i="1"/>
  <c r="P721" i="1"/>
  <c r="P720" i="1" l="1"/>
  <c r="P719" i="1"/>
  <c r="P718" i="1"/>
  <c r="P717" i="1"/>
  <c r="P716" i="1" l="1"/>
  <c r="P715" i="1"/>
  <c r="P714" i="1"/>
  <c r="P713" i="1"/>
  <c r="P712" i="1" l="1"/>
  <c r="P711" i="1"/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<sst xmlns="http://schemas.openxmlformats.org/spreadsheetml/2006/main" count="5861" uniqueCount="1768">
  <si>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</si>
  <si>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</si>
  <si>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</si>
  <si>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</si>
  <si>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</si>
  <si>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</si>
  <si>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</si>
  <si>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</si>
  <si>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</si>
  <si>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</si>
  <si>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</si>
  <si>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</si>
  <si>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</si>
  <si>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</si>
  <si>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</si>
  <si>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</si>
  <si>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</si>
  <si>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</si>
  <si>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</si>
  <si>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</si>
  <si>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</si>
  <si>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</si>
  <si>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</si>
  <si>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</si>
  <si>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</si>
  <si>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</si>
  <si>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</si>
  <si>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</si>
  <si>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</si>
  <si>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</si>
  <si>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</si>
  <si>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</si>
  <si>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</si>
  <si>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</si>
  <si>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</si>
  <si>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</si>
  <si>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</si>
  <si>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</si>
  <si>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</si>
  <si>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</si>
  <si>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</si>
  <si>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</si>
  <si>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</si>
  <si>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</si>
  <si>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</si>
  <si>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</si>
  <si>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</si>
  <si>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</si>
  <si>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</si>
  <si>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</si>
  <si>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</si>
  <si>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</si>
  <si>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</si>
  <si>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</si>
  <si>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</si>
  <si>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</si>
  <si>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</si>
  <si>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</si>
  <si>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</si>
  <si>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</si>
  <si>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</si>
  <si>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</si>
  <si>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</si>
  <si>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</si>
  <si>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</si>
  <si>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</si>
  <si>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</si>
  <si>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</si>
  <si>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</si>
  <si>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</si>
  <si>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</si>
  <si>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</si>
  <si>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</si>
  <si>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</si>
  <si>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</si>
  <si>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</si>
  <si>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</si>
  <si>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</si>
  <si>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</si>
  <si>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</si>
  <si>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</si>
  <si>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</si>
  <si>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</si>
  <si>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</si>
  <si>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</si>
  <si>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</si>
  <si>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</si>
  <si>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</si>
  <si>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</si>
  <si>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</si>
  <si>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</si>
  <si>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</si>
  <si>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</si>
  <si>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</si>
  <si>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</si>
  <si>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</si>
  <si>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</si>
  <si>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</si>
  <si>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</si>
  <si>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</si>
  <si>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</si>
  <si>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</si>
  <si>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</si>
  <si>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</si>
  <si>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</si>
  <si>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</si>
  <si>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</si>
  <si>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</si>
  <si>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</si>
  <si>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</si>
  <si>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</si>
  <si>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</si>
  <si>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</si>
  <si>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</si>
  <si>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</si>
  <si>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</si>
  <si>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</si>
  <si>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</si>
  <si>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</si>
  <si>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</si>
  <si>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</si>
  <si>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</si>
  <si>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</si>
  <si>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</si>
  <si>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</si>
  <si>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</si>
  <si>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</si>
  <si>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</si>
  <si>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</si>
  <si>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</si>
  <si>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</si>
  <si>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</si>
  <si>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</si>
  <si>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</si>
  <si>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</si>
  <si>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</si>
  <si>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</si>
  <si>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</si>
  <si>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</si>
  <si>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</si>
  <si>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</si>
  <si>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</si>
  <si>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</si>
  <si>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</si>
  <si>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</si>
  <si>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</si>
  <si>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</si>
  <si>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</si>
  <si>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</si>
  <si>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</si>
  <si>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</si>
  <si>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</si>
  <si>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</si>
  <si>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</si>
  <si>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</si>
  <si>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</si>
  <si>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</si>
  <si>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</si>
  <si>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</si>
  <si>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</si>
  <si>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</si>
  <si>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</si>
  <si>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</si>
  <si>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</si>
  <si>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</si>
  <si>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</si>
  <si>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</si>
  <si>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</si>
  <si>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</si>
  <si>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</si>
  <si>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</si>
  <si>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</si>
  <si>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</si>
  <si>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</si>
  <si>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</si>
  <si>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</si>
  <si>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</si>
  <si>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</si>
  <si>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</si>
  <si>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</si>
  <si>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</si>
  <si>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</si>
  <si>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</si>
  <si>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</si>
  <si>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</si>
  <si>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</si>
  <si>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</si>
  <si>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</si>
  <si>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</si>
  <si>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</si>
  <si>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</si>
  <si>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</si>
  <si>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</si>
  <si>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</si>
  <si>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</si>
  <si>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</si>
  <si>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</si>
  <si>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</si>
  <si>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</si>
  <si>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</si>
  <si>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</si>
  <si>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</si>
  <si>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</si>
  <si>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</si>
  <si>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</si>
  <si>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</si>
  <si>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</si>
  <si>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</si>
  <si>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</si>
  <si>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</si>
  <si>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</si>
  <si>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</si>
  <si>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</si>
  <si>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</si>
  <si>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</si>
  <si>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</si>
  <si>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</si>
  <si>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</si>
  <si>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</si>
  <si>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</si>
  <si>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</si>
  <si>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</si>
  <si>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</si>
  <si>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</si>
  <si>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</si>
  <si>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</si>
  <si>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</si>
  <si>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</si>
  <si>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</si>
  <si>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</si>
  <si>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</si>
  <si>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</si>
  <si>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</si>
  <si>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</si>
  <si>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</si>
  <si>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</si>
  <si>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</si>
  <si>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</si>
  <si>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</si>
  <si>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</si>
  <si>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</si>
  <si>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</si>
  <si>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</si>
  <si>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</si>
  <si>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</si>
  <si>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</si>
  <si>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</si>
  <si>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</si>
  <si>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</si>
  <si>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</si>
  <si>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</si>
  <si>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</si>
  <si>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</si>
  <si>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</si>
  <si>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</si>
  <si>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</si>
  <si>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</si>
  <si>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</si>
  <si>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</si>
  <si>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</si>
  <si>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</si>
  <si>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</si>
  <si>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</si>
  <si>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</si>
  <si>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</si>
  <si>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</si>
  <si>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</si>
  <si>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</si>
  <si>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</si>
  <si>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</si>
  <si>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</si>
  <si>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</si>
  <si>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</si>
  <si>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</si>
  <si>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</si>
  <si>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</si>
  <si>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</si>
  <si>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</si>
  <si>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</si>
  <si>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</si>
  <si>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</si>
  <si>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</si>
  <si>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</si>
  <si>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</si>
  <si>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</si>
  <si>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</si>
  <si>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</si>
  <si>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</si>
  <si>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</si>
  <si>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</si>
  <si>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</si>
  <si>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</si>
  <si>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</si>
  <si>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</si>
  <si>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</si>
  <si>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</si>
  <si>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</si>
  <si>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</si>
  <si>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</si>
  <si>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</si>
  <si>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</si>
  <si>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</si>
  <si>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</si>
  <si>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</si>
  <si>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</si>
  <si>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</si>
  <si>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</si>
  <si>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</si>
  <si>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</si>
  <si>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</si>
  <si>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</si>
  <si>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</si>
  <si>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</si>
  <si>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</si>
  <si>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</si>
  <si>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</si>
  <si>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</si>
  <si>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</si>
  <si>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</si>
  <si>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</si>
  <si>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</si>
  <si>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</si>
  <si>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</si>
  <si>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</si>
  <si>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</si>
  <si>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</si>
  <si>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</si>
  <si>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</si>
  <si>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</si>
  <si>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</si>
  <si>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</si>
  <si>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</si>
  <si>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</si>
  <si>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</si>
  <si>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</si>
  <si>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</si>
  <si>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</si>
  <si>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</si>
  <si>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</si>
  <si>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</si>
  <si>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</si>
  <si>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</si>
  <si>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</si>
  <si>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</si>
  <si>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</si>
  <si>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</si>
  <si>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</si>
  <si>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</si>
  <si>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</si>
  <si>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</si>
  <si>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</si>
  <si>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</si>
  <si>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</si>
  <si>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</si>
  <si>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</si>
  <si>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</si>
  <si>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</si>
  <si>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</si>
  <si>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</si>
  <si>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</si>
  <si>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</si>
  <si>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</si>
  <si>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</si>
  <si>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</si>
  <si>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</si>
  <si>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</si>
  <si>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</si>
  <si>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</si>
  <si>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</si>
  <si>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</si>
  <si>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</si>
  <si>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</si>
  <si>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</si>
  <si>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Приєднання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</si>
  <si>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</si>
  <si>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</si>
  <si>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</si>
  <si>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</si>
  <si>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</si>
  <si>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</si>
  <si>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</si>
  <si>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</si>
  <si>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</si>
  <si>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</si>
  <si>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</si>
  <si>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</si>
  <si>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</si>
  <si>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</si>
  <si>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</si>
  <si>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</si>
  <si>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</si>
  <si>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</si>
  <si>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</si>
  <si>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</si>
  <si>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</si>
  <si>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</si>
  <si>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</si>
  <si>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</si>
  <si>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</si>
  <si>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</si>
  <si>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</si>
  <si>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</si>
  <si>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</si>
  <si>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</si>
  <si>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</si>
  <si>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</si>
  <si>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</si>
  <si>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</si>
  <si>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</si>
  <si>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</si>
  <si>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</si>
  <si>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</si>
  <si>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</si>
  <si>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</si>
  <si>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</si>
  <si>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</si>
  <si>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</si>
  <si>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</si>
  <si>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</si>
  <si>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</si>
  <si>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</si>
  <si>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</si>
  <si>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</si>
  <si>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</si>
  <si>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</si>
  <si>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</si>
  <si>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</si>
  <si>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</si>
  <si>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</si>
  <si>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</si>
  <si>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</si>
  <si>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</si>
  <si>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</si>
  <si>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</si>
  <si>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</si>
  <si>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</si>
  <si>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</si>
  <si>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</si>
  <si>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</si>
  <si>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</si>
  <si>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</si>
  <si>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</si>
  <si>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</si>
  <si>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</si>
  <si>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</si>
  <si>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</si>
  <si>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</si>
  <si>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</si>
  <si>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</si>
  <si>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</si>
  <si>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</si>
  <si>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</si>
  <si>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</si>
  <si>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</si>
  <si>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</si>
  <si>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</si>
  <si>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</si>
  <si>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</si>
  <si>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</si>
  <si>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</si>
  <si>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</si>
  <si>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</si>
  <si>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</si>
  <si>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</si>
  <si>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</si>
  <si>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</si>
  <si>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</si>
  <si>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</si>
  <si>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</si>
  <si>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</si>
  <si>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</si>
  <si>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</si>
  <si>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</si>
  <si>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</si>
  <si>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</si>
  <si>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</si>
  <si>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</si>
  <si>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</si>
  <si>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</si>
  <si>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</si>
  <si>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</si>
  <si>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</si>
  <si>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</si>
  <si>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</si>
  <si>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</si>
  <si>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</si>
  <si>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</si>
  <si>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</si>
  <si>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</si>
  <si>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</si>
  <si>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</si>
  <si>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</si>
  <si>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</si>
  <si>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</si>
  <si>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</si>
  <si>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</si>
  <si>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</si>
  <si>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</si>
  <si>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</si>
  <si>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</si>
  <si>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</si>
  <si>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</si>
  <si>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</si>
  <si>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</si>
  <si>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</si>
  <si>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</si>
  <si>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</si>
  <si>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</si>
  <si>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</si>
  <si>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</si>
  <si>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</si>
  <si>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</si>
  <si>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</si>
  <si>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</si>
  <si>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</si>
  <si>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</si>
  <si>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</si>
  <si>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</si>
  <si>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</si>
  <si>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</si>
  <si>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</si>
  <si>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</si>
  <si>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</si>
  <si>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</si>
  <si>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</si>
  <si>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</si>
  <si>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</si>
  <si>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</si>
  <si>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</si>
  <si>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</si>
  <si>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</si>
  <si>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</si>
  <si>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</si>
  <si>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</si>
  <si>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</si>
  <si>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</si>
  <si>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</si>
  <si>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</si>
  <si>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</si>
  <si>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</si>
  <si>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</si>
  <si>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</si>
  <si>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</si>
  <si>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</si>
  <si>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</si>
  <si>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</si>
  <si>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</si>
  <si>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</si>
  <si>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</si>
  <si>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</si>
  <si>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</si>
  <si>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</si>
  <si>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</si>
  <si>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</si>
  <si>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</si>
  <si>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</si>
  <si>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</si>
  <si>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</si>
  <si>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</si>
  <si>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</si>
  <si>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</si>
  <si>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</si>
  <si>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</si>
  <si>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</si>
  <si>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</si>
  <si>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</si>
  <si>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</si>
  <si>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</si>
  <si>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</si>
  <si>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</si>
  <si>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</si>
  <si>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</si>
  <si>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</si>
  <si>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</si>
  <si>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</si>
  <si>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</si>
  <si>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</si>
  <si>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</si>
  <si>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</si>
  <si>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</si>
  <si>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</si>
  <si>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</si>
  <si>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</si>
  <si>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</si>
  <si>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</si>
  <si>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</si>
  <si>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</si>
  <si>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</si>
  <si>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</si>
  <si>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</si>
  <si>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</si>
  <si>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</si>
  <si>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</si>
  <si>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</si>
  <si>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</si>
  <si>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</si>
  <si>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</si>
  <si>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</si>
  <si>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</si>
  <si>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</si>
  <si>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</si>
  <si>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</si>
  <si>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</si>
  <si>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</si>
  <si>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</si>
  <si>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</si>
  <si>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</si>
  <si>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</si>
  <si>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</si>
  <si>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</si>
  <si>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</si>
  <si>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</si>
  <si>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</si>
  <si>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</si>
  <si>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</si>
  <si>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</si>
  <si>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</si>
  <si>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</si>
  <si>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</si>
  <si>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</si>
  <si>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</si>
  <si>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</si>
  <si>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</si>
  <si>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</si>
  <si>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</si>
  <si>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</si>
  <si>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</si>
  <si>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</si>
  <si>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</si>
  <si>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</si>
  <si>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</si>
  <si>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</si>
  <si>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</si>
  <si>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</si>
  <si>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</si>
  <si>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</si>
  <si>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</si>
  <si>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</si>
  <si>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</si>
  <si>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</si>
  <si>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</si>
  <si>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</si>
  <si>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</si>
  <si>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</si>
  <si>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</si>
  <si>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</si>
  <si>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</si>
  <si>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</si>
  <si>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</si>
  <si>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</si>
  <si>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</si>
  <si>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</si>
  <si>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</si>
  <si>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</si>
  <si>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</si>
  <si>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</si>
  <si>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</si>
  <si>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</si>
  <si>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</si>
  <si>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</si>
  <si>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</si>
  <si>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</si>
  <si>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</si>
  <si>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</si>
  <si>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</si>
  <si>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</si>
  <si>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</si>
  <si>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</si>
  <si>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</si>
  <si>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</si>
  <si>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</si>
  <si>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</si>
  <si>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</si>
  <si>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</si>
  <si>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</si>
  <si>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</si>
  <si>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</si>
  <si>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</si>
  <si>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</si>
  <si>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</si>
  <si>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</si>
  <si>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</si>
  <si>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</si>
  <si>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</si>
  <si>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</si>
  <si>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</si>
  <si>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</si>
  <si>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</si>
  <si>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</si>
  <si>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</si>
  <si>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</si>
  <si>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</si>
  <si>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</si>
  <si>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</si>
  <si>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</si>
  <si>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</si>
  <si>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</si>
  <si>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</si>
  <si>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</si>
  <si>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</si>
  <si>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</si>
  <si>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</si>
  <si>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</si>
  <si>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</si>
  <si>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</si>
  <si>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</si>
  <si>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</si>
  <si>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</si>
  <si>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</si>
  <si>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</si>
  <si>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</si>
  <si>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</si>
  <si>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</si>
  <si>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</si>
  <si>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</si>
  <si>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</si>
  <si>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</si>
  <si>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</si>
  <si>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</si>
  <si>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</si>
  <si>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</si>
  <si>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</si>
  <si>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</si>
  <si>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</si>
  <si>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</si>
  <si>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</si>
  <si>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</si>
  <si>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</si>
  <si>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</si>
  <si>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</si>
  <si>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</si>
  <si>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</si>
  <si>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</si>
  <si>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</si>
  <si>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</si>
  <si>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</si>
  <si>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</si>
  <si>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</si>
  <si>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</si>
  <si>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</si>
  <si>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</si>
  <si>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</si>
  <si>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</si>
  <si>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</si>
  <si>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</si>
  <si>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</si>
  <si>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</si>
  <si>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</si>
  <si>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</si>
  <si>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</si>
  <si>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</si>
  <si>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</si>
  <si>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</si>
  <si>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</si>
  <si>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</si>
  <si>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</si>
  <si>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</si>
  <si>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</si>
  <si>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</si>
  <si>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</si>
  <si>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</si>
  <si>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</si>
  <si>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</si>
  <si>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</si>
  <si>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</si>
  <si>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</si>
  <si>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</si>
  <si>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</si>
  <si>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</si>
  <si>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</si>
  <si>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</si>
  <si>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</si>
  <si>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</si>
  <si>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</si>
  <si>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</si>
  <si>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</si>
  <si>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</si>
  <si>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</si>
  <si>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</si>
  <si>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</si>
  <si>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</si>
  <si>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</si>
  <si>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</si>
  <si>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</si>
  <si>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</si>
  <si>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</si>
  <si>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</si>
  <si>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</si>
  <si>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</si>
  <si>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</si>
  <si>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</si>
  <si>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</si>
  <si>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</si>
  <si>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</si>
  <si>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</si>
  <si>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</si>
  <si>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</si>
  <si>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</si>
  <si>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</si>
  <si>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</si>
  <si>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</si>
  <si>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</si>
  <si>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</si>
  <si>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</si>
  <si>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</si>
  <si>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</si>
  <si>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</si>
  <si>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</si>
  <si>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</si>
  <si>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</si>
  <si>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</si>
  <si>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</si>
  <si>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</si>
  <si>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</si>
  <si>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</si>
  <si>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</si>
  <si>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</si>
  <si>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</si>
  <si>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</si>
  <si>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</si>
  <si>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</si>
  <si>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</si>
  <si>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</si>
  <si>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</si>
  <si>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</si>
  <si>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</si>
  <si>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</si>
  <si>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</si>
  <si>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</si>
  <si>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</si>
  <si>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</si>
  <si>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</si>
  <si>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</si>
  <si>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</si>
  <si>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</si>
  <si>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</si>
  <si>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</si>
  <si>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</si>
  <si>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</si>
  <si>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</si>
  <si>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</si>
  <si>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</si>
  <si>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</si>
  <si>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</si>
  <si>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</si>
  <si>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</si>
  <si>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</si>
  <si>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</si>
  <si>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</si>
  <si>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</si>
  <si>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</si>
  <si>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</si>
  <si>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</si>
  <si>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</si>
  <si>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</si>
  <si>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</si>
  <si>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</si>
  <si>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</si>
  <si>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</si>
  <si>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</si>
  <si>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</si>
  <si>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</si>
  <si>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</si>
  <si>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</si>
  <si>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</si>
  <si>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</si>
  <si>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</si>
  <si>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</si>
  <si>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</si>
  <si>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</si>
  <si>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</si>
  <si>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</si>
  <si>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</si>
  <si>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</si>
  <si>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</si>
  <si>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</si>
  <si>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</si>
  <si>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</si>
  <si>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</si>
  <si>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</si>
  <si>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</si>
  <si>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</si>
  <si>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</si>
  <si>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</si>
  <si>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</si>
  <si>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</si>
  <si>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</si>
  <si>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</si>
  <si>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</si>
  <si>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</si>
  <si>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</si>
  <si>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</si>
  <si>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</si>
  <si>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</si>
  <si>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</si>
  <si>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</si>
  <si>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</si>
  <si>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</si>
  <si>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</si>
  <si>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</si>
  <si>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</si>
  <si>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</si>
  <si>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</si>
  <si>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</si>
  <si>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</si>
  <si>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</si>
  <si>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</si>
  <si>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</si>
  <si>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</si>
  <si>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</si>
  <si>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</si>
  <si>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</si>
  <si>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</si>
  <si>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</si>
  <si>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</si>
  <si>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</si>
  <si>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</si>
  <si>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</si>
  <si>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</si>
  <si>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</si>
  <si>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</si>
  <si>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</si>
  <si>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</si>
  <si>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</si>
  <si>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</si>
  <si>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</si>
  <si>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</si>
  <si>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</si>
  <si>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</si>
  <si>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</si>
  <si>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</si>
  <si>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</si>
  <si>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</si>
  <si>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</si>
  <si>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</si>
  <si>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</si>
  <si>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</si>
  <si>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</si>
  <si>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</si>
  <si>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</si>
  <si>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</si>
  <si>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</si>
  <si>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</si>
  <si>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</si>
  <si>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</si>
  <si>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</si>
  <si>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</si>
  <si>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</si>
  <si>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</si>
  <si>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</si>
  <si>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</si>
  <si>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</si>
  <si>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</si>
  <si>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</si>
  <si>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</si>
  <si>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</si>
  <si>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</si>
  <si>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</si>
  <si>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</si>
  <si>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</si>
  <si>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</si>
  <si>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</si>
  <si>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</si>
  <si>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</si>
  <si>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</si>
  <si>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</si>
  <si>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</si>
  <si>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</si>
  <si>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</si>
  <si>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</si>
  <si>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</si>
  <si>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</si>
  <si>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</si>
  <si>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</si>
  <si>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</si>
  <si>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</si>
  <si>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</si>
  <si>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</si>
  <si>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</si>
  <si>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</si>
  <si>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</si>
  <si>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</si>
  <si>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</si>
  <si>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</si>
  <si>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</si>
  <si>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</si>
  <si>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</si>
  <si>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</si>
  <si>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</si>
  <si>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</si>
  <si>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</si>
  <si>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</si>
  <si>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</si>
  <si>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</si>
  <si>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</si>
  <si>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</si>
  <si>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</si>
  <si>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</si>
  <si>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</si>
  <si>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</si>
  <si>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</si>
  <si>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</si>
  <si>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</si>
  <si>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</si>
  <si>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</si>
  <si>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</si>
  <si>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</si>
  <si>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</si>
  <si>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</si>
  <si>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</si>
  <si>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</si>
  <si>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</si>
  <si>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</si>
  <si>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</si>
  <si>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</si>
  <si>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</si>
  <si>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</si>
  <si>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</si>
  <si>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</si>
  <si>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</si>
  <si>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</si>
  <si>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</si>
  <si>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</si>
  <si>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</si>
  <si>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</si>
  <si>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</si>
  <si>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</si>
  <si>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</si>
  <si>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</si>
  <si>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</si>
  <si>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</si>
  <si>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</si>
  <si>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</si>
  <si>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</si>
  <si>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</si>
  <si>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</si>
  <si>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</si>
  <si>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</si>
  <si>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</si>
  <si>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</si>
  <si>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</si>
  <si>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</si>
  <si>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</si>
  <si>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</si>
  <si>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</si>
  <si>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</si>
  <si>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</si>
  <si>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</si>
  <si>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</si>
  <si>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</si>
  <si>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</si>
  <si>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</si>
  <si>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</si>
  <si>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</si>
  <si>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</si>
  <si>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</si>
  <si>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</si>
  <si>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</si>
  <si>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</si>
  <si>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</si>
  <si>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</si>
  <si>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</si>
  <si>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</si>
  <si>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</si>
  <si>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</si>
  <si>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</si>
  <si>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</si>
  <si>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</si>
  <si>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</si>
  <si>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</si>
  <si>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</si>
  <si>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</si>
  <si>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</si>
  <si>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</si>
  <si>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</si>
  <si>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</si>
  <si>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</si>
  <si>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</si>
  <si>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</si>
  <si>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</si>
  <si>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</si>
  <si>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</si>
  <si>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</si>
  <si>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</si>
  <si>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</si>
  <si>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</si>
  <si>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</si>
  <si>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</si>
  <si>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</si>
  <si>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</si>
  <si>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</si>
  <si>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</si>
  <si>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</si>
  <si>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</si>
  <si>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</si>
  <si>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</si>
  <si>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</si>
  <si>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</si>
  <si>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</si>
  <si>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</si>
  <si>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</si>
  <si>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</si>
  <si>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</si>
  <si>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</si>
  <si>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</si>
  <si>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</si>
  <si>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</si>
  <si>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</si>
  <si>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</si>
  <si>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</si>
  <si>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</si>
  <si>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</si>
  <si>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</si>
  <si>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</si>
  <si>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</si>
  <si>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</si>
  <si>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</si>
  <si>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</si>
  <si>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</si>
  <si>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</si>
  <si>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</si>
  <si>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</si>
  <si>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</si>
  <si>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</si>
  <si>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</si>
  <si>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</si>
  <si>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</si>
  <si>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</si>
  <si>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</si>
  <si>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</si>
  <si>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</si>
  <si>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</si>
  <si>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</si>
  <si>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</si>
  <si>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</si>
  <si>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</si>
  <si>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</si>
  <si>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</si>
  <si>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</si>
  <si>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</si>
  <si>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</si>
  <si>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</si>
  <si>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</si>
  <si>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</si>
  <si>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</si>
  <si>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</si>
  <si>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</si>
  <si>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</si>
  <si>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</si>
  <si>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</si>
  <si>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</si>
  <si>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</si>
  <si>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</si>
  <si>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</si>
  <si>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</si>
  <si>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</si>
  <si>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</si>
  <si>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</si>
  <si>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</si>
  <si>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</si>
  <si>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</si>
  <si>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</si>
  <si>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</si>
  <si>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</si>
  <si>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</si>
  <si>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</si>
  <si>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</si>
  <si>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</si>
  <si>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</si>
  <si>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</si>
  <si>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</si>
  <si>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</si>
  <si>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</si>
  <si>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</si>
  <si>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</si>
  <si>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</si>
  <si>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</si>
  <si>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</si>
  <si>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</si>
  <si>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</si>
  <si>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</si>
  <si>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</si>
  <si>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</si>
  <si>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</si>
  <si>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</si>
  <si>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</si>
  <si>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</si>
  <si>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</si>
  <si>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</si>
  <si>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</si>
  <si>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</si>
  <si>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</si>
  <si>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</si>
  <si>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</si>
  <si>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</si>
  <si>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</si>
  <si>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</si>
  <si>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</si>
  <si>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</si>
  <si>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</si>
  <si>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</si>
  <si>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</si>
  <si>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</si>
  <si>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</si>
  <si>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</si>
  <si>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</si>
  <si>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</si>
  <si>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</si>
  <si>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</si>
  <si>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</si>
  <si>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</si>
  <si>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</si>
  <si>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</si>
  <si>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</si>
  <si>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</si>
  <si>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</si>
  <si>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</si>
  <si>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</si>
  <si>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</si>
  <si>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</si>
  <si>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</si>
  <si>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</si>
  <si>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</si>
  <si>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</si>
  <si>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</si>
  <si>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</si>
  <si>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</si>
  <si>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</si>
  <si>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</si>
  <si>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</si>
  <si>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</si>
  <si>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</si>
  <si>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</si>
  <si>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</si>
  <si>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</si>
  <si>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</si>
  <si>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</si>
  <si>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</si>
  <si>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</si>
  <si>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</si>
  <si>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</si>
  <si>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</si>
  <si>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</si>
  <si>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</si>
  <si>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</si>
  <si>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</si>
  <si>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</si>
  <si>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</si>
  <si>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</si>
  <si>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</si>
  <si>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</si>
  <si>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</si>
  <si>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</si>
  <si>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</si>
  <si>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</si>
  <si>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</si>
  <si>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</si>
  <si>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</si>
  <si>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</si>
  <si>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</si>
  <si>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</si>
  <si>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</si>
  <si>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</si>
  <si>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</si>
  <si>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</si>
  <si>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</si>
  <si>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</si>
  <si>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</si>
  <si>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</si>
  <si>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</si>
  <si>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</si>
  <si>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</si>
  <si>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</si>
  <si>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</si>
  <si>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</si>
  <si>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</si>
  <si>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</si>
  <si>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</si>
  <si>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</si>
  <si>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</si>
  <si>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</si>
  <si>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</si>
  <si>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</si>
  <si>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</si>
  <si>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</si>
  <si>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</si>
  <si>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</si>
  <si>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</si>
  <si>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</si>
  <si>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</si>
  <si>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</si>
  <si>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</si>
  <si>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</si>
  <si>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</si>
  <si>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</si>
  <si>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</si>
  <si>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</si>
  <si>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</si>
  <si>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</si>
  <si>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</si>
  <si>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</si>
  <si>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</si>
  <si>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</si>
  <si>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</si>
  <si>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</si>
  <si>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</si>
  <si>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</si>
  <si>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</si>
  <si>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</si>
  <si>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</si>
  <si>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</si>
  <si>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</si>
  <si>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</si>
  <si>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</si>
  <si>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</si>
  <si>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</si>
  <si>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</si>
  <si>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</si>
  <si>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</si>
  <si>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</si>
  <si>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</si>
  <si>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</si>
  <si>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</si>
  <si>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</si>
  <si>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</si>
  <si>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</si>
  <si>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</si>
  <si>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</si>
  <si>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</si>
  <si>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</si>
  <si>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</si>
  <si>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</si>
  <si>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</si>
  <si>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</si>
  <si>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</si>
  <si>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</si>
  <si>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</si>
  <si>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</si>
  <si>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</si>
  <si>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</si>
  <si>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</si>
  <si>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</si>
  <si>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</si>
  <si>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</si>
  <si>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</si>
  <si>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</si>
  <si>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</si>
  <si>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</si>
  <si>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</si>
  <si>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</si>
  <si>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</si>
  <si>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</si>
  <si>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</si>
  <si>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</si>
  <si>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</si>
  <si>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</si>
  <si>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</si>
  <si>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</si>
  <si>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</si>
  <si>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</si>
  <si>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</si>
  <si>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</si>
  <si>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</si>
  <si>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</si>
  <si>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</si>
  <si>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</si>
  <si>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</si>
  <si>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</si>
  <si>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</si>
  <si>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</si>
  <si>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</si>
  <si>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</si>
  <si>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</si>
  <si>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</si>
  <si>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</si>
  <si>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</si>
  <si>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</si>
  <si>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</si>
  <si>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</si>
  <si>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</si>
  <si>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</si>
  <si>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</si>
  <si>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</si>
  <si>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</si>
  <si>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</si>
  <si>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</si>
  <si>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</si>
  <si>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</si>
  <si>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</si>
  <si>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</si>
  <si>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</si>
  <si>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</si>
  <si>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</si>
  <si>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</si>
  <si>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</si>
  <si>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</si>
  <si>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</si>
  <si>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</si>
  <si>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</si>
  <si>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</si>
  <si>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</si>
  <si>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</si>
  <si>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</si>
  <si>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</si>
  <si>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</si>
  <si>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</si>
  <si>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</si>
  <si>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</si>
  <si>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</si>
  <si>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</si>
  <si>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</si>
  <si>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</si>
  <si>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</si>
  <si>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</si>
  <si>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</si>
  <si>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</si>
  <si>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</si>
  <si>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</si>
  <si>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</si>
  <si>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</si>
  <si>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</si>
  <si>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</si>
  <si>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</si>
  <si>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</si>
  <si>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</si>
  <si>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</si>
  <si>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</si>
  <si>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</si>
  <si>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</si>
  <si>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</si>
  <si>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</si>
  <si>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</si>
  <si>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</si>
  <si>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</si>
  <si>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</si>
  <si>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</si>
  <si>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</si>
  <si>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</si>
  <si>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</si>
  <si>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</si>
  <si>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</si>
  <si>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</si>
  <si>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</si>
  <si>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</si>
  <si>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</si>
  <si>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</si>
  <si>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</si>
  <si>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</si>
  <si>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</si>
  <si>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</si>
  <si>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</si>
  <si>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</si>
  <si>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</si>
  <si>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</si>
  <si>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</si>
  <si>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</si>
  <si>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</si>
  <si>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</si>
  <si>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</si>
  <si>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</si>
  <si>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</si>
  <si>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</si>
  <si>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</si>
  <si>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</si>
  <si>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</si>
  <si>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</si>
  <si>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</si>
  <si>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</si>
  <si>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</si>
  <si>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</si>
  <si>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</si>
  <si>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</si>
  <si>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</si>
  <si>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</si>
  <si>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</si>
  <si>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</si>
  <si>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</si>
  <si>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</si>
  <si>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</si>
  <si>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</si>
  <si>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</si>
  <si>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</si>
  <si>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</si>
  <si>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</si>
  <si>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</si>
  <si>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</si>
  <si>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</si>
  <si>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</si>
  <si>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</si>
  <si>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</si>
  <si>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</si>
  <si>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</si>
  <si>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</si>
  <si>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</si>
  <si>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</si>
  <si>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</si>
  <si>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</si>
  <si>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</si>
  <si>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</si>
  <si>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</si>
  <si>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</si>
  <si>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</si>
  <si>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</si>
  <si>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</si>
  <si>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</si>
  <si>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</si>
  <si>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</si>
  <si>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</si>
  <si>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</si>
  <si>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</si>
  <si>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</si>
  <si>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</si>
  <si>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</si>
  <si>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</si>
  <si>
    <t>Трансформатори (або еквівалент) (приєднання):Трансформатори (або еквівалент) (приєднання)</t>
  </si>
  <si>
    <t>Вікна металопластикові</t>
  </si>
  <si>
    <t>44220000-8 Столярні вироби</t>
  </si>
  <si>
    <t>https://zakupivli.pro/gov/tenders/ua-2024-10-25-008799-a/lot-e7258f63594447c8bfb65274e192ffb8</t>
  </si>
  <si>
    <t>https://zakupivli.pro/gov/tenders/ua-2024-10-25-003611-a</t>
  </si>
  <si>
    <t>Будівництво КЛ-10 кВ Л-1101 в с. Мар'ївка (Компаніївські ЕМ) для зовнішнього електропостачання станції мобільного зв'язку ПрАТ "Київстар"</t>
  </si>
  <si>
    <t>Будівництво ПЛ-10 кВ Л-1101 оп.№26-30 в с. Мар'ївка (Компаніївські ЕМ) для зовнішнього електропостачання станції мобільного зв'язку ПрАТ "Київстар"</t>
  </si>
  <si>
    <t>Будівництво ПЛІ-0,4 кВ ТП-268 Л-3 оп.№36-36/4 в м. Кропивницький для зовнішнього електропостачання житлового будинку з будівельним майданчиком гр. Халявка І.Ю. по пров. Гулака-Артемовського</t>
  </si>
  <si>
    <t>Провід ASXsn 4x25 (приєднання)</t>
  </si>
  <si>
    <t>https://zakupivli.pro/gov/tenders/ua-2024-10-29-008676-a</t>
  </si>
  <si>
    <t>https://zakupivli.pro/gov/tenders/ua-2024-10-29-008424-a</t>
  </si>
  <si>
    <t>https://zakupivli.pro/gov/tenders/ua-2024-10-29-008170-a</t>
  </si>
  <si>
    <t>https://zakupivli.pro/gov/tenders/ua-2024-10-29-002264-a</t>
  </si>
  <si>
    <t>метри</t>
  </si>
  <si>
    <t>Технічне переоснащення ком.№22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</si>
  <si>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Технічне переоснащення ком.№14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</si>
  <si>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Будівництво ЩТП-838 в м. Кропивницький для зовнішнього електропостачання нежитлової будівлі з будівельним майданчиком гр.Щуцький Д.Є. на перехресті вул. Сєнчева Сергія та Джерельної</t>
  </si>
  <si>
    <t>Будівництво ПЛІ-0,4 кВ ТП-287 Л-2 оп.№18-оп.№18/6 для зовнішнього електропостачання житлового будинку гр.Штанько В.І. по пров. Лелеківський 2-й буд.60 в м. Кропивницький</t>
  </si>
  <si>
    <t>https://zakupivli.pro/gov/tenders/ua-2024-10-30-007644-a</t>
  </si>
  <si>
    <t>https://zakupivli.pro/gov/tenders/ua-2024-10-30-007410-a</t>
  </si>
  <si>
    <t>https://zakupivli.pro/gov/tenders/ua-2024-10-30-006594-a</t>
  </si>
  <si>
    <t>https://zakupivli.pro/gov/tenders/ua-2024-10-30-005005-a</t>
  </si>
  <si>
    <t>Будівництво ПЛ-10 кВ Ф-1 оп.83-83/12 ПС "Знам.тягова"-150/35/10 кВ в м.Знам'янка для зовнішнього електропостачання житлового будинку з будівельним майданчиком Бакуліної І.В. по вул.Світанкова (кад.№3510600000:50: 001:0086), 44</t>
  </si>
  <si>
    <t>Основа для кріплення кабеля ВІС 3050.К (приєднання)</t>
  </si>
  <si>
    <t>Будівництво ділянки ПЛ-10кВ Л-173 ПС "Березівка"-150/35/10кВ для зовнішнього електропостачання сонячної електростанції "ФЕНІКС СОЛАР" ТОВ "ФЕНІКС СОЛАР" кад.№3523183800:55:000:0247 на території Смолінської селищної ради Новоукраїнського району Кіровоградської області</t>
  </si>
  <si>
    <t>Будівництво ПЛІ-0,4 кВ ТП-448 Л-20 оп.1-оп.6 для зовнішнього електропостачання нежитлового приміщення ФОП Баркар О.М. по вул.Незалежності, буд.9 корп.1 в м.Кропивницький</t>
  </si>
  <si>
    <t>Будівництво КЛ-0,4 кВ ТП-488 Л-20 оп.1 для зовнішнього електропостачання нежитлового приміщення ФОП Баркар О.М. по вул.Незалежності, буд.9 корп.1 в м.Кропивницький</t>
  </si>
  <si>
    <t>Будівництво 2ПЛІ-0,4 кВ ТП-489 Л-30 Л-40 оп.1-4 в м.Кропивницький для зовнішнього електропостачання вбудованого в житловий будинок нежитлового приміщення ФОП Кременний В.Л. по вул.Генерала Жадова, буд.21 корп.3</t>
  </si>
  <si>
    <t>https://zakupivli.pro/gov/tenders/ua-2024-11-01-010548-a</t>
  </si>
  <si>
    <t>https://zakupivli.pro/gov/tenders/ua-2024-11-01-007893-a</t>
  </si>
  <si>
    <t>https://zakupivli.pro/gov/tenders/ua-2024-11-01-003014-a</t>
  </si>
  <si>
    <t>https://zakupivli.pro/gov/tenders/ua-2024-11-01-000488-a</t>
  </si>
  <si>
    <t>https://zakupivli.pro/gov/tenders/ua-2024-11-01-000327-a</t>
  </si>
  <si>
    <t>https://zakupivli.pro/gov/tenders/ua-2024-11-01-000272-a</t>
  </si>
  <si>
    <t>https://zakupivli.pro/gov/tenders/ua-2024-11-01-000223-a</t>
  </si>
  <si>
    <t>Будівництво КЛ-10 кВ від ЗТП-664 до ЗТП-318 для зовнішнього електропостачання комунального некомерційного підприємства "Кіровоградська обласна лікарня Кіровоградської обласної ради", м. Кропивницький, просп. Університетський, 2/5</t>
  </si>
  <si>
    <t>https://zakupivli.pro/gov/tenders/ua-2024-11-05-013976-a</t>
  </si>
  <si>
    <t>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трансформаторів):Послуги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</t>
  </si>
  <si>
    <t>Комплектуючі до персонального комп’ютеру</t>
  </si>
  <si>
    <t>Послуги з технічного обслуговування та ремонту транспортних засобів ПрАТ "Кіровоградобленерго":Послуги з технічного обслуговування та ремонту транспортних засобів ПрАТ "Кіровоградобленерго"</t>
  </si>
  <si>
    <t>50110000-9 Послуги з ремонту і технічного обслуговування мототранспортних засобів і супутнього обладнання</t>
  </si>
  <si>
    <t>https://zakupivli.pro/gov/tenders/ua-2024-11-06-015235-a/lot-d69c8c45ec2f4c0fa5a82cd614829419</t>
  </si>
  <si>
    <t>https://zakupivli.pro/gov/tenders/ua-2024-11-06-014697-a</t>
  </si>
  <si>
    <t>https://zakupivli.pro/gov/tenders/ua-2024-11-06-013838-a/lot-e19801afb2d0458d9226770d35b97cb7</t>
  </si>
  <si>
    <t>https://zakupivli.pro/gov/tenders/ua-2024-11-07-003266-a</t>
  </si>
  <si>
    <t>Провід ASXsn 4х25 (приєднання)</t>
  </si>
  <si>
    <t>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</si>
  <si>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>https://zakupivli.pro/gov/tenders/ua-2024-11-08-003305-a</t>
  </si>
  <si>
    <t>https://zakupivli.pro/gov/tenders/ua-2024-11-08-002662-a</t>
  </si>
  <si>
    <t>https://zakupivli.pro/gov/tenders/ua-2024-11-08-000190-a/lot-f753d7ae34c146dab6c4dfa4877bb131</t>
  </si>
  <si>
    <t>Будівництво ПЛ-10 кВ Л-117 оп.2 до КТП-86 на території Катеринівської сільської ради Кропивницьких ЕМ для зовнішнього електропостачання садового товариства «Металург»</t>
  </si>
  <si>
    <t>Будівництво КТП-86 на території Катеринівської сільської ради Кропивницьких ЕМ для зовнішнього електропостачання садового товариства «Металург»</t>
  </si>
  <si>
    <t>https://zakupivli.pro/gov/tenders/ua-2024-11-12-010433-a</t>
  </si>
  <si>
    <t>https://zakupivli.pro/gov/tenders/ua-2024-11-12-010311-a</t>
  </si>
  <si>
    <t>Будівництво КЛ-0,4 кВ ТП-828 С-2 для зовнішнього електропостачання ТОВ «АГ» по вул. Яновського, 65/52 корп.№3 в м. Кропивницький</t>
  </si>
  <si>
    <t>Будівництво КЛ-0,4 кВ ТП-828 С-2 для зовнішнього електропостачання ТОВ «АГ» по вул. Яновського, 65/52 корп.№1 в м. Кропивницький</t>
  </si>
  <si>
    <t>Будівництво КЛ-0,4 кВ ТП-828 для зовнішнього електропостачання ТОВ «АГ» по вул. Яновського, 65/52 корп.№2 в м. Кропивницький</t>
  </si>
  <si>
    <t>Будівництво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</si>
  <si>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ПЛІ-0,4 кВ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</si>
  <si>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для зовнішнього електропостачання ТОВ «АГ» по вул. Яновського, 65/52 корп.№4 в м. Кропивницький</t>
  </si>
  <si>
    <t>Будівництво ПЛЗ-10 кВ Л-1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</si>
  <si>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С-2 для зовнішнього електропостачання ТОВ «АГ» по вул. Яновського, 65/52 корп.№2 в м. Кропивницький</t>
  </si>
  <si>
    <t>Будівництво КЛ-0,4 кВ ТП-828 С-2 для зовнішнього електропостачання ТОВ «АГ» по вул. Яновського, 65/52 корп.№4 в м. Кропивницький</t>
  </si>
  <si>
    <t>Будівництво КЛ-0,4 кВ ТП-828 для зовнішнього електропостачання ТОВ «АГ» по вул. Яновського, 65/52 корп.№3 в м. Кропивницький</t>
  </si>
  <si>
    <t>Будівництво КЛ-0,4 кВ ТП-828 для зовнішнього електропостачання ТОВ «АГ» по вул. Яновського, 65/52 корп.№1 в м. Кропивницький</t>
  </si>
  <si>
    <t>Капітальний ремонт огорожі із з/б П/СТ Кіровоградська по вул. Героїв України, 47</t>
  </si>
  <si>
    <t>Послуги з заправки та відновлення картриджів:Послуги з заправки та відновлення картриджів</t>
  </si>
  <si>
    <t>https://zakupivli.pro/gov/tenders/ua-2024-11-14-015224-a</t>
  </si>
  <si>
    <t>https://zakupivli.pro/gov/tenders/ua-2024-11-14-014888-a</t>
  </si>
  <si>
    <t>https://zakupivli.pro/gov/tenders/ua-2024-11-14-014524-a</t>
  </si>
  <si>
    <t>https://zakupivli.pro/gov/tenders/ua-2024-11-14-014426-a</t>
  </si>
  <si>
    <t>https://zakupivli.pro/gov/tenders/ua-2024-11-14-014342-a</t>
  </si>
  <si>
    <t>https://zakupivli.pro/gov/tenders/ua-2024-11-14-014309-a</t>
  </si>
  <si>
    <t>https://zakupivli.pro/gov/tenders/ua-2024-11-14-014257-a</t>
  </si>
  <si>
    <t>https://zakupivli.pro/gov/tenders/ua-2024-11-14-014124-a</t>
  </si>
  <si>
    <t>https://zakupivli.pro/gov/tenders/ua-2024-11-14-014034-a</t>
  </si>
  <si>
    <t>https://zakupivli.pro/gov/tenders/ua-2024-11-14-014016-a</t>
  </si>
  <si>
    <t>https://zakupivli.pro/gov/tenders/ua-2024-11-14-013905-a</t>
  </si>
  <si>
    <t>https://zakupivli.pro/gov/tenders/ua-2024-11-14-003634-a</t>
  </si>
  <si>
    <t>https://zakupivli.pro/gov/tenders/ua-2024-11-14-000435-a/lot-8f19eeb085d646b49b6ef911f2f940b4</t>
  </si>
  <si>
    <t>Будівництво ПЛ-6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</si>
  <si>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Будівництво КЛ-0,4 кВ ТП-441 А-60 для зовнішнього електропостачання магазину ТОВ "ЄВРОТЕХНІКА-2007" по вул. Кропивницького кад. №3510100000:25:156:0111 в м. Кропивницький</t>
  </si>
  <si>
    <t>Будівництво КЛ-6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</si>
  <si>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Технічне переоснащення РП-6 кВ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</si>
  <si>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Стояки СК-22.1-1.1 (з підп'ятником), СК-22.2-1.1 (з підп'ятником) (або еквівалент) (основна діяльність):Стояки СК-22.1-1.1 (з підп'ятником), СК-22.2-1.1 (з підп'ятником) (або еквівалент) (основна діяльність)</t>
  </si>
  <si>
    <t>https://zakupivli.pro/gov/tenders/ua-2024-11-15-012568-a</t>
  </si>
  <si>
    <t>https://zakupivli.pro/gov/tenders/ua-2024-11-15-012380-a</t>
  </si>
  <si>
    <t>https://zakupivli.pro/gov/tenders/ua-2024-11-15-012171-a</t>
  </si>
  <si>
    <t>https://zakupivli.pro/gov/tenders/ua-2024-11-15-012017-a</t>
  </si>
  <si>
    <t>https://zakupivli.pro/gov/tenders/ua-2024-11-15-003479-a/lot-11880c4fa9ad415190f2e963dc3ffcfd</t>
  </si>
  <si>
    <t>https://zakupivli.pro/gov/tenders/ua-2024-11-20-001284-a</t>
  </si>
  <si>
    <t>Трансформатори (приєднання)</t>
  </si>
  <si>
    <t>https://zakupivli.pro/gov/tenders/ua-2024-11-21-004000-a</t>
  </si>
  <si>
    <t>Будівництво ПЛІ-0,4 кВ Л-20 оп.10-21 КТП-756 в м. Кропивницький для зовнішнього електропостачання житлового будинку гр. Шаповалов М. А. по вул. Ягідна буд. 26 в с-ще Нове, м. Кропивницький</t>
  </si>
  <si>
    <t>https://zakupivli.pro/gov/tenders/ua-2024-11-22-008839-a</t>
  </si>
  <si>
    <t>Будівництво ПЛІ-0,4кВ Л-3 ЦРП-12  оп.№1-№10 в м. Кропивницький для зовнішнього електропостачання станції мобільного зв'язку ПрАТ "ВФ Україна" по вул. Олени Теліги, 8</t>
  </si>
  <si>
    <t>Ремонт ГБО</t>
  </si>
  <si>
    <t>https://zakupivli.pro/gov/tenders/ua-2024-11-26-016347-a</t>
  </si>
  <si>
    <t>https://zakupivli.pro/gov/tenders/ua-2024-11-26-009164-a</t>
  </si>
  <si>
    <t>Шафи КТП (або еквівалент) (приєднання):Шафи КТП (або еквівалент) (приєднання)</t>
  </si>
  <si>
    <t>https://zakupivli.pro/gov/tenders/ua-2024-11-27-011735-a/lot-005bd18e83f34633b7d96ff26d4c1a03</t>
  </si>
  <si>
    <t>https://zakupivli.pro/gov/tenders/ua-2024-11-27-005230-a</t>
  </si>
  <si>
    <t xml:space="preserve">Закупівля не відбулась </t>
  </si>
  <si>
    <t>Будівництво ПЛЗ-10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</si>
  <si>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>Будівництво ПЛ-10кВ, ПЛІ-0,4кВ Л-154, Л-1 КТП-58 в с.Вершино-Кам'янка Новгородківських ЕМ для зовнішнього електропостачання житлового будинку гр. Процюк О. А. по вул. Центральна, 79</t>
  </si>
  <si>
    <t>Будівництво ПЛ-10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</si>
  <si>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>https://zakupivli.pro/gov/tenders/ua-2024-12-06-014938-a</t>
  </si>
  <si>
    <t>https://zakupivli.pro/gov/tenders/ua-2024-12-06-014805-a</t>
  </si>
  <si>
    <t>https://zakupivli.pro/gov/tenders/ua-2024-12-06-014140-a/lot-628c39fa42db430685f2c3e79f0a736d</t>
  </si>
  <si>
    <t>https://zakupivli.pro/gov/tenders/ua-2024-12-06-012047-a</t>
  </si>
  <si>
    <t>Будівництво ЩТП-425 в с.Вершино-Кам'янка Новгородківських ЕМ для зовнішнього електропостачання житлового будинку гр. Процюк О. А. по вул. Центральна, 79</t>
  </si>
  <si>
    <t>Роботи по реконструкції  ПЛ-0,4 кВ Л-2 КТП-377  оп. №36 для зовнішнього  електропостачання житлового будинку Решетицької І.В. в с. Приютівка Олександрійського району (Олександрійські ЕМ)</t>
  </si>
  <si>
    <t>Гравій, пісок, щебінь і наповнювачі (основна діяльність):Гравій, пісок, щебінь і наповнювачі (основна діяльність)</t>
  </si>
  <si>
    <t>Будівництво ПЛІ-0,4 кВ Л-4 оп.№1 - оп.№4  КТП-420 ПНВМП фірма "ІНКОПМАРК" по вул. Велика Перспективна (між будинками №17 та №19) в  м. Кропивницький</t>
  </si>
  <si>
    <t>14210000-6 Гравій, пісок, щебінь і наповнювачі</t>
  </si>
  <si>
    <t>https://zakupivli.pro/gov/tenders/ua-2024-12-06-011782-a</t>
  </si>
  <si>
    <t>https://zakupivli.pro/gov/tenders/ua-2024-12-05-016124-a/lot-5b948d2d35fa4166a57eeab1785cc6de</t>
  </si>
  <si>
    <t>https://zakupivli.pro/gov/tenders/ua-2024-12-05-015239-a/lot-1187ee375879455ba98b9232d0729d74</t>
  </si>
  <si>
    <t>https://zakupivli.pro/gov/tenders/ua-2024-12-04-012135-a</t>
  </si>
  <si>
    <t>https://zakupivli.pro/gov/tenders/ua-2024-12-03-012447-a/lot-27a447f16f4a4a818eb01daf699ca267</t>
  </si>
  <si>
    <t>https://zakupivli.pro/gov/tenders/ua-2024-12-02-004435-a</t>
  </si>
  <si>
    <t>Панель ЩО-05-1414 (приєднання)</t>
  </si>
  <si>
    <t>31720000-9 Електромеханічне обладнання</t>
  </si>
  <si>
    <t>https://zakupivli.pro/gov/tenders/ua-2024-12-16-012483-a</t>
  </si>
  <si>
    <t>https://zakupivli.pro/gov/tenders/ua-2024-12-16-012032-a</t>
  </si>
  <si>
    <t>Частини електродвигунів, генераторів і трансформаторів (основна діяльність):Частини електродвигунів, генераторів і трансформаторів (основна діяльність)</t>
  </si>
  <si>
    <t>Послуги з повірки засобів вимірювальної техніки (основна діяльність):ЛОТ 1 -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</si>
  <si>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2 -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</si>
  <si>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3 -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</si>
  <si>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4 -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</si>
  <si>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5 - Послуги з повірки засобів вимірювальної техніки (основна діяльність)</t>
  </si>
  <si>
    <t>https://zakupivli.pro/gov/tenders/ua-2024-12-17-020706-a/lot-c9c271d6a6ab49e8b5d1d79964e6819d</t>
  </si>
  <si>
    <t>71630000-3 Послуги з технічного огляду та випробовувань</t>
  </si>
  <si>
    <t>https://zakupivli.pro/gov/tenders/ua-2024-12-17-016908-a/lot-3e531e5cd5e8429a83f954cc68e1da17</t>
  </si>
  <si>
    <t>https://zakupivli.pro/gov/tenders/ua-2024-12-17-016908-a/lot-e99018e179d04c2f89fc2b4dc1cc8ca4</t>
  </si>
  <si>
    <t>https://zakupivli.pro/gov/tenders/ua-2024-12-17-016908-a/lot-47b80c82df264fb6bba9e168a480914e</t>
  </si>
  <si>
    <t>https://zakupivli.pro/gov/tenders/ua-2024-12-17-016908-a/lot-35b0ab82a7f64756b2663012645b01a3</t>
  </si>
  <si>
    <t>https://zakupivli.pro/gov/tenders/ua-2024-12-17-016908-a/lot-5a42616100344db4a23e981012b6a810</t>
  </si>
  <si>
    <t>Конструкції та їх частини (основна діяльність):ЛОТ1</t>
  </si>
  <si>
    <t>Конструкції та їх частини (основна діяльність):ЛОТ2</t>
  </si>
  <si>
    <t>Конструкції та їх частини (основна діяльність):ЛОТ3</t>
  </si>
  <si>
    <t>Частини для лісогосподарської техніки:Частини для лісогосподарської техніки (основна діяльність)</t>
  </si>
  <si>
    <t>Елементи електричних схем (основна діяльність):Елементи електричних схем (основна діяльність)</t>
  </si>
  <si>
    <t>16820000-9 Частини для лісогосподарської техніки</t>
  </si>
  <si>
    <t>https://zakupivli.pro/gov/tenders/ua-2024-12-19-015237-a/lot-32acbfc5db2140a58cad3239c51ef67e</t>
  </si>
  <si>
    <t>https://zakupivli.pro/gov/tenders/ua-2024-12-19-015237-a/lot-314cfa8962ac4a7692f6a0a741729e26</t>
  </si>
  <si>
    <t>https://zakupivli.pro/gov/tenders/ua-2024-12-19-015237-a/lot-866ba318f0d74c89ac62062a62b4e097</t>
  </si>
  <si>
    <t>https://zakupivli.pro/gov/tenders/ua-2024-12-19-013809-a/lot-996ccce8132043d0b711cfba2c2aab7f</t>
  </si>
  <si>
    <t>https://zakupivli.pro/gov/tenders/ua-2024-12-19-008061-a/lot-4f3ca28a506440b7aac92e4c4b38309e</t>
  </si>
  <si>
    <t>Електророзподільні кабелі (основна діяльність):Електророзподільні кабелі (основна діяльність)</t>
  </si>
  <si>
    <t>https://zakupivli.pro/gov/tenders/ua-2024-12-20-005683-a/lot-a70ea84e10ae476286482dd01a112183</t>
  </si>
  <si>
    <t>Шини для транспортних засобів (Основна діяльність)
:Шини для транспортних засобів (Основна діяльність)</t>
  </si>
  <si>
    <t>Капітальний ремонт комплексу будівль та споруд цех з ремонту приладів обліку, літ. «Х» (лабораторія СДЗП)  за адресою Аджамська, 9, м. Кропивницький (вентиляційна система)</t>
  </si>
  <si>
    <t>https://zakupivli.pro/gov/tenders/ua-2024-12-23-019298-a/lot-a887349b3fb143d5bd934266cc2c168f</t>
  </si>
  <si>
    <t>https://zakupivli.pro/gov/tenders/ua-2024-12-23-011949-a/lot-9f8ce52257bd4588893567d880c0eefb</t>
  </si>
  <si>
    <t>https://zakupivli.pro/gov/tenders/ua-2024-12-23-005679-a</t>
  </si>
  <si>
    <t>Баласти для розрядних ламп чи трубок (основна діяльність):Баласти для розрядних ламп чи трубок (основна діяльність)</t>
  </si>
  <si>
    <t>https://zakupivli.pro/gov/tenders/ua-2024-12-24-017756-a/lot-aadf24d394f0401fbdb306221bfe5c69</t>
  </si>
  <si>
    <t>Будівельні прути, стрижні, дроти та профілі (основна діяльність):ЛОТ 1 - Будівельні прути, стрижні, дроти та профілі (основна діяльність)</t>
  </si>
  <si>
    <t>Будівельні прути, стрижні, дроти та профілі (основна діяльність):ЛОТ 2 - Будівельні прути, стрижні, дроти та профілі (основна діяльність)</t>
  </si>
  <si>
    <t>Технічне переоснащення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</si>
  <si>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Будівництво КЛ-0,4кВ А-23 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</si>
  <si>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</si>
  <si>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44330000-2 Будівельні прути, стрижні, дроти та профілі</t>
  </si>
  <si>
    <t>https://zakupivli.pro/gov/tenders/ua-2024-12-25-010078-a</t>
  </si>
  <si>
    <t>https://zakupivli.pro/gov/tenders/ua-2024-12-25-004680-a</t>
  </si>
  <si>
    <t>https://zakupivli.pro/gov/tenders/ua-2024-12-25-000652-a</t>
  </si>
  <si>
    <t>https://zakupivli.pro/gov/tenders/ua-2024-12-25-000472-a/lot-da02b9c11d7d432285ebb6054f941b00</t>
  </si>
  <si>
    <t>Елементи електричних схем ЛОТ №1-2 (основна діяльність):ЛОТ1</t>
  </si>
  <si>
    <t>Елементи електричних схем ЛОТ №1-2 (основна діяльність):ЛОТ2</t>
  </si>
  <si>
    <t>Будівництво  КЛ-10кВ Ф13БЛ-ТП 836 в м. Кропивницький для зовнішнього електропостачання комплексу будівель гр. Бєліченко О.О. по вул. Промислова, 10/8</t>
  </si>
  <si>
    <t>Шафа КТПС 100 кВА</t>
  </si>
  <si>
    <t>Спеціалізована хімічна продукція (основна діяльність):Спеціалізована хімічна продукція (основна діяльність)</t>
  </si>
  <si>
    <t>24950000-8 Спеціалізована хімічна продукція</t>
  </si>
  <si>
    <t>https://zakupivli.pro/gov/tenders/ua-2024-12-26-010326-a/lot-8495b0b47a884eb9a5e5781237145fc2</t>
  </si>
  <si>
    <t>https://zakupivli.pro/gov/tenders/ua-2024-12-26-010326-a/lot-9327d6896194476caacb1f261a954423</t>
  </si>
  <si>
    <t>https://zakupivli.pro/gov/tenders/ua-2024-12-26-008861-a</t>
  </si>
  <si>
    <t>https://zakupivli.pro/gov/tenders/ua-2024-12-26-007271-a</t>
  </si>
  <si>
    <t>https://zakupivli.pro/gov/tenders/ua-2024-12-26-006943-a</t>
  </si>
  <si>
    <t>https://zakupivli.pro/gov/tenders/ua-2024-12-26-005498-a/lot-182d36d9de1d40afb80055f988a85186</t>
  </si>
  <si>
    <t>Телеметричне та термінальне обладнання (основна діяльність):Телеметричне та термінальне обладнання (основна діяльність)</t>
  </si>
  <si>
    <t>32440000-9 Телеметричне та термінальне обладнання</t>
  </si>
  <si>
    <t>https://zakupivli.pro/gov/tenders/ua-2024-12-30-006675-a/lot-b79a8ddabf8343659b9fd9e960942b9c</t>
  </si>
  <si>
    <t>Будівництво ПЛІ-0,4 кВ Л-9 оп.№9 ТП-12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</si>
  <si>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ПЛІ-0,4 кВ Л-17 ЗТП-298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</si>
  <si>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ПЛ-10 кВ Л-121/В в сел. Вільшанка Голованівського району Кіровоградської області</t>
  </si>
  <si>
    <t>Будівництво КЛ-0,4 А-21 ЗТП-299 в м. Кропивницький для зовнішнього електропостачання житлового будинку гр. Гордієнко В.В. по вул. Михайлівська, буд. 30/37</t>
  </si>
  <si>
    <t>Будівництво ПЛІ-0,4 кВ оп.26/1-26/4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</si>
  <si>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Технічне переоснащення ПЛ-0,4 кВ оп.10-22 до 26/1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</si>
  <si>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https://zakupivli.pro/gov/tenders/ua-2025-01-03-000698-a</t>
  </si>
  <si>
    <t>https://zakupivli.pro/gov/tenders/ua-2025-01-03-000567-a</t>
  </si>
  <si>
    <t>https://zakupivli.pro/gov/tenders/ua-2025-01-03-000294-a</t>
  </si>
  <si>
    <t>https://zakupivli.pro/gov/tenders/ua-2025-01-02-003891-a</t>
  </si>
  <si>
    <t>https://zakupivli.pro/gov/tenders/ua-2025-01-02-001786-a</t>
  </si>
  <si>
    <t>https://zakupivli.pro/gov/tenders/ua-2025-01-02-001375-a</t>
  </si>
  <si>
    <t>Лічильники (основна діяльність):Лічильники (основна діяльність)</t>
  </si>
  <si>
    <t>Електронне обладнання (або еквівалент) (основна діяльність):ЛОТ 1</t>
  </si>
  <si>
    <t>Електронне обладнання (або еквівалент) (основна діяльність):ЛОТ 2</t>
  </si>
  <si>
    <t>Електронне обладнання (або еквівалент) (основна діяльність):ЛОТ 3</t>
  </si>
  <si>
    <t>Електронне обладнання (або еквівалент) (основна діяльність):ЛОТ 4</t>
  </si>
  <si>
    <t>https://zakupivli.pro/gov/tenders/ua-2025-01-03-004740-a/lot-70092edfd275441faa65347500714538</t>
  </si>
  <si>
    <t>https://zakupivli.pro/gov/tenders/ua-2025-01-03-003984-a/lot-50b685476034412da7562ca35923381f</t>
  </si>
  <si>
    <t>https://zakupivli.pro/gov/tenders/ua-2025-01-03-003984-a/lot-452604689ca9495a953a47e51fdc2042</t>
  </si>
  <si>
    <t>https://zakupivli.pro/gov/tenders/ua-2025-01-03-003984-a/lot-d9dc049fd427431c887b0b22fc44c310</t>
  </si>
  <si>
    <t>https://zakupivli.pro/gov/tenders/ua-2025-01-03-003984-a/lot-decf2d07245e4d41802cc4d48de309e9</t>
  </si>
  <si>
    <t>торги відмінено</t>
  </si>
  <si>
    <t>https://zakupivli.pro/gov/tenders/ua-2025-01-07-003941-a/lot-b62fd9b22d1245d9a8b4c094ea7037e6</t>
  </si>
  <si>
    <t>закупівля скасована</t>
  </si>
  <si>
    <t>Технічне переоснащення ЗТП-299 в м. Кропивницький для зовнішнього електропостачання житлового будинку гр. Гордієнко В.В. по вул. Михайлівська, буд. 30/37</t>
  </si>
  <si>
    <t>Мастильні засоби (або еквівалент) (основна діяльність):ЛОТ 1</t>
  </si>
  <si>
    <t>Мастильні засоби (або еквівалент) (основна діяльність):ЛОТ 2</t>
  </si>
  <si>
    <t>https://zakupivli.pro/gov/tenders/ua-2025-01-08-007829-a</t>
  </si>
  <si>
    <t>https://zakupivli.pro/gov/tenders/ua-2025-01-08-001594-a/lot-5fa98a015d904ec082c909d73e6a9e7f</t>
  </si>
  <si>
    <t>https://zakupivli.pro/gov/tenders/ua-2025-01-08-001594-a/lot-09dfeed27af7413b87449fe990a10f59</t>
  </si>
  <si>
    <t>Шафа КТП-400/10/0,4 У1 (або еквівалент) (приєднання):Шафа КТП-400/10/0,4 У1 (або еквівалент) (приєднання)</t>
  </si>
  <si>
    <t>Електричне приладдя та супутні товари до електричного обладнання (приєднання):Електричне приладдя та супутні товари до електричного обладнання (приєднання)</t>
  </si>
  <si>
    <t>Гумові вироби (основна діяльність):Гумові вироби (основна діяльність)</t>
  </si>
  <si>
    <t>Конструкційні матеріали (або еквівалент) (основна діяльність):ЛОТ 1</t>
  </si>
  <si>
    <t>Конструкційні матеріали (або еквівалент) (основна діяльність):ЛОТ 2</t>
  </si>
  <si>
    <t>19510000-4 Гумові вироби</t>
  </si>
  <si>
    <t>https://zakupivli.pro/gov/tenders/ua-2025-01-14-013229-a/lot-6c40ccac7e5b4631b61b742e9587204f</t>
  </si>
  <si>
    <t>https://zakupivli.pro/gov/tenders/ua-2025-01-14-012680-a/lot-c5eb74efef1c4e54bc9797769aacf50e</t>
  </si>
  <si>
    <t>https://zakupivli.pro/gov/tenders/ua-2025-01-14-005210-a/lot-195f9e5d6d6142b39c449679b2321205</t>
  </si>
  <si>
    <t>https://zakupivli.pro/gov/tenders/ua-2025-01-14-003223-a/lot-e692f4ba6d6c4710a237418d66031724</t>
  </si>
  <si>
    <t>https://zakupivli.pro/gov/tenders/ua-2025-01-14-003223-a/lot-ceb60723e7cf47e0a6baf1ad44570098</t>
  </si>
  <si>
    <t>Електрична апаратура для комутування та захисту електричних кіл (основна діяльність):Електрична апаратура для комутування та захисту електричних кіл (основна діяльність)</t>
  </si>
  <si>
    <t>Блок керування BU-220-01 Релсіс (або еквівалент); Контролер СКУД ANC-E інтегрований (або еквівалент) (основна діяльність):Блок керування BU-220-01 Релсіс (або еквівалент); Контролер СКУД ANC-E інтегрований (або еквівалент) (основна діяльність)</t>
  </si>
  <si>
    <t>Шафа КТПС 160 кВА (зовнішне електропостачання житлового будинку, гр. Руденко С.В. в с. Липовеньке, Голованівського р-ну)</t>
  </si>
  <si>
    <t>Шафа КТПС 160 кВА (зовнішне електропостачання житлового будинку, гр. Многолітня Н.Я. в с. Тарасівка, Кропивницького р-ну)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</si>
  <si>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</si>
  <si>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https://zakupivli.pro/gov/tenders/ua-2025-01-16-015154-a/lot-a2083914569a4dfe9016d0439e44acc3</t>
  </si>
  <si>
    <t>https://zakupivli.pro/gov/tenders/ua-2025-01-16-010939-a/lot-21f071099f3b4397b02db75d7e195ceb</t>
  </si>
  <si>
    <t>https://zakupivli.pro/gov/tenders/ua-2025-01-16-005603-a</t>
  </si>
  <si>
    <t>https://zakupivli.pro/gov/tenders/ua-2025-01-16-005354-a</t>
  </si>
  <si>
    <t>Будівництво КЛ-0,4 кВ Л-4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</si>
  <si>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Будівництво КЛ-0,4 кВ Л-2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</si>
  <si>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https://zakupivli.pro/gov/tenders/ua-2025-01-16-016675-a</t>
  </si>
  <si>
    <t>https://zakupivli.pro/gov/tenders/ua-2025-01-16-016667-a</t>
  </si>
  <si>
    <t>Електроізоляційна олива (або еквівалент) (основна діяльність):Електроізоляційна олива (або еквівалент) (основна діяльність)</t>
  </si>
  <si>
    <t>https://zakupivli.pro/gov/tenders/ua-2025-01-20-013715-a/lot-93e866fc5ade43b8ac57ab7bb20be4f7</t>
  </si>
  <si>
    <t>Послуги з післягарантійного або негарантійного ремонту приладів обліку електричної енергії виробництва ТОВ «НІК-ЕЛЕКТРОНІКА»</t>
  </si>
  <si>
    <t>Основні неорганічні хімічні речовини (основна діяльність):Основні неорганічні хімічні речовини (основна діяльність)</t>
  </si>
  <si>
    <t>Нове будівництво ЩТП-50/В (100 кВА) в сел. Вільшанка Голованівського району Кіровоградської області</t>
  </si>
  <si>
    <t>Послуги з післягарантійного або негарантійного ремонту приладів обліку електричної енергії</t>
  </si>
  <si>
    <t>Елементи електричних схем ЛОТ №1,2 (основна діяльність):ЛОТ1</t>
  </si>
  <si>
    <t>Елементи електричних схем ЛОТ №1,2 (основна діяльність):ЛОТ2</t>
  </si>
  <si>
    <t>50410000-2 Послуги з ремонту і технічного обслуговування вимірювальних, випробувальних і контрольних приладів</t>
  </si>
  <si>
    <t>https://zakupivli.pro/gov/tenders/ua-2025-01-21-018882-a</t>
  </si>
  <si>
    <t>https://zakupivli.pro/gov/tenders/ua-2025-01-21-018552-a/lot-e49d6d865e6546d0964a02a5429b1c96</t>
  </si>
  <si>
    <t>https://zakupivli.pro/gov/tenders/ua-2025-01-21-014078-a/lot-8e9785c165fc4832b117a5b31bbb9abc</t>
  </si>
  <si>
    <t>https://zakupivli.pro/gov/tenders/ua-2025-01-21-013373-a</t>
  </si>
  <si>
    <t>https://zakupivli.pro/gov/tenders/ua-2025-01-21-013032-a</t>
  </si>
  <si>
    <t>https://zakupivli.pro/gov/tenders/ua-2025-01-21-000895-a/lot-72cf47d587464486b68684e7ea013d5e</t>
  </si>
  <si>
    <t>https://zakupivli.pro/gov/tenders/ua-2025-01-21-000895-a/lot-a9355564e9d5476a9a00f73ee1b4dfa6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</si>
</sst>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0"/>
    <numFmt numFmtId="166" formatCode="#,##0.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my.zakupivli.pro/remote/dispatcher/state_purchase_view/55863477" TargetMode="External"/><Relationship Id="rId21" Type="http://schemas.openxmlformats.org/officeDocument/2006/relationships/hyperlink" Target="https://my.zakupki.prom.ua/remote/dispatcher/state_purchase_view/40091965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987" Type="http://schemas.openxmlformats.org/officeDocument/2006/relationships/hyperlink" Target="https://zakupivli.pro/gov/tenders/UA-2024-03-25-001186-a" TargetMode="External"/><Relationship Id="rId1172" Type="http://schemas.openxmlformats.org/officeDocument/2006/relationships/hyperlink" Target="https://my.zakupivli.pro/remote/dispatcher/state_purchase_view/51817314" TargetMode="External"/><Relationship Id="rId402" Type="http://schemas.openxmlformats.org/officeDocument/2006/relationships/hyperlink" Target="https://zakupki.prom.ua/gov/tenders/UA-2023-07-24-009279-a" TargetMode="External"/><Relationship Id="rId847" Type="http://schemas.openxmlformats.org/officeDocument/2006/relationships/hyperlink" Target="https://zakupivli.pro/gov/tenders/UA-2024-02-20-009792-a" TargetMode="External"/><Relationship Id="rId1032" Type="http://schemas.openxmlformats.org/officeDocument/2006/relationships/hyperlink" Target="https://my.zakupivli.pro/remote/dispatcher/state_purchase_view/50200587" TargetMode="External"/><Relationship Id="rId1477" Type="http://schemas.openxmlformats.org/officeDocument/2006/relationships/hyperlink" Target="https://zakupivli.pro/gov/tenders/ua-2024-11-15-012171-a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1544" Type="http://schemas.openxmlformats.org/officeDocument/2006/relationships/hyperlink" Target="https://my.zakupivli.pro/remote/dispatcher/state_purchase_view/56070139" TargetMode="External"/><Relationship Id="rId43" Type="http://schemas.openxmlformats.org/officeDocument/2006/relationships/hyperlink" Target="https://my.zakupki.prom.ua/remote/dispatcher/state_purchase_view/41520067" TargetMode="External"/><Relationship Id="rId1404" Type="http://schemas.openxmlformats.org/officeDocument/2006/relationships/hyperlink" Target="https://my.zakupivli.pro/remote/dispatcher/state_purchase_view/54407139" TargetMode="External"/><Relationship Id="rId1611" Type="http://schemas.openxmlformats.org/officeDocument/2006/relationships/hyperlink" Target="https://zakupivli.pro/gov/tenders/ua-2025-01-14-005210-a/lot-195f9e5d6d6142b39c449679b2321205" TargetMode="External"/><Relationship Id="rId192" Type="http://schemas.openxmlformats.org/officeDocument/2006/relationships/hyperlink" Target="https://zakupki.prom.ua/gov/tenders/UA-2023-03-20-009888-a" TargetMode="External"/><Relationship Id="rId497" Type="http://schemas.openxmlformats.org/officeDocument/2006/relationships/hyperlink" Target="https://my.zakupki.prom.ua/remote/dispatcher/state_purchase_view/45723610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869" Type="http://schemas.openxmlformats.org/officeDocument/2006/relationships/hyperlink" Target="https://zakupivli.pro/gov/tenders/UA-2024-02-22-000149-a" TargetMode="External"/><Relationship Id="rId1499" Type="http://schemas.openxmlformats.org/officeDocument/2006/relationships/hyperlink" Target="https://zakupivli.pro/gov/tenders/ua-2024-12-06-014805-a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1359" Type="http://schemas.openxmlformats.org/officeDocument/2006/relationships/hyperlink" Target="https://zakupivli.pro/gov/tenders/ua-2024-09-25-009794-a/lot-726c9645d8664293946e2f9fb5c14294" TargetMode="External"/><Relationship Id="rId936" Type="http://schemas.openxmlformats.org/officeDocument/2006/relationships/hyperlink" Target="https://my.zakupivli.pro/remote/dispatcher/state_purchase_view/49743496" TargetMode="External"/><Relationship Id="rId1121" Type="http://schemas.openxmlformats.org/officeDocument/2006/relationships/hyperlink" Target="https://my.zakupivli.pro/remote/dispatcher/state_purchase_view/51251419" TargetMode="External"/><Relationship Id="rId1219" Type="http://schemas.openxmlformats.org/officeDocument/2006/relationships/hyperlink" Target="https://zakupivli.pro/gov/tenders/UA-2024-07-22-008778-a" TargetMode="External"/><Relationship Id="rId1566" Type="http://schemas.openxmlformats.org/officeDocument/2006/relationships/hyperlink" Target="https://zakupivli.pro/gov/tenders/ua-2024-12-26-010326-a/lot-8495b0b47a884eb9a5e5781237145fc2" TargetMode="External"/><Relationship Id="rId65" Type="http://schemas.openxmlformats.org/officeDocument/2006/relationships/hyperlink" Target="https://my.zakupki.prom.ua/remote/dispatcher/state_purchase_view/41426508" TargetMode="External"/><Relationship Id="rId1426" Type="http://schemas.openxmlformats.org/officeDocument/2006/relationships/hyperlink" Target="https://my.zakupivli.pro/remote/dispatcher/state_purchase_view/54591270" TargetMode="External"/><Relationship Id="rId1633" Type="http://schemas.openxmlformats.org/officeDocument/2006/relationships/hyperlink" Target="https://my.zakupivli.pro/remote/dispatcher/state_purchase_view/56727364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7" Type="http://schemas.openxmlformats.org/officeDocument/2006/relationships/hyperlink" Target="https://zakupki.prom.ua/gov/tenders/UA-2022-11-14-013851-a" TargetMode="External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1490" Type="http://schemas.openxmlformats.org/officeDocument/2006/relationships/hyperlink" Target="https://my.zakupivli.pro/remote/dispatcher/state_purchase_view/55188936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143" Type="http://schemas.openxmlformats.org/officeDocument/2006/relationships/hyperlink" Target="https://zakupivli.pro/gov/tenders/UA-2024-06-06-001299-a" TargetMode="External"/><Relationship Id="rId1588" Type="http://schemas.openxmlformats.org/officeDocument/2006/relationships/hyperlink" Target="https://my.zakupivli.pro/remote/dispatcher/state_purchase_view/56341932" TargetMode="External"/><Relationship Id="rId87" Type="http://schemas.openxmlformats.org/officeDocument/2006/relationships/hyperlink" Target="https://my.zakupki.prom.ua/remote/dispatcher/state_purchase_view/41222289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350" Type="http://schemas.openxmlformats.org/officeDocument/2006/relationships/hyperlink" Target="https://zakupivli.pro/gov/tenders/ua-2024-09-23-002326-a" TargetMode="External"/><Relationship Id="rId1448" Type="http://schemas.openxmlformats.org/officeDocument/2006/relationships/hyperlink" Target="https://my.zakupivli.pro/remote/dispatcher/state_purchase_view/54820835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1308" Type="http://schemas.openxmlformats.org/officeDocument/2006/relationships/hyperlink" Target="https://zakupivli.pro/gov/tenders/UA-2024-08-12-006182-a" TargetMode="External"/><Relationship Id="rId1515" Type="http://schemas.openxmlformats.org/officeDocument/2006/relationships/hyperlink" Target="https://my.zakupivli.pro/remote/dispatcher/state_purchase_view/55799831" TargetMode="External"/><Relationship Id="rId14" Type="http://schemas.openxmlformats.org/officeDocument/2006/relationships/hyperlink" Target="https://zakupki.prom.ua/gov/tenders/UA-2022-12-21-012032-a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30" Type="http://schemas.openxmlformats.org/officeDocument/2006/relationships/hyperlink" Target="https://zakupki.prom.ua/gov/tenders/UA-2023-03-30-000276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907" Type="http://schemas.openxmlformats.org/officeDocument/2006/relationships/hyperlink" Target="https://zakupivli.pro/gov/tenders/UA-2024-03-04-011178-a" TargetMode="External"/><Relationship Id="rId1537" Type="http://schemas.openxmlformats.org/officeDocument/2006/relationships/hyperlink" Target="https://zakupivli.pro/gov/tenders/ua-2024-12-19-015237-a/lot-866ba318f0d74c89ac62062a62b4e097" TargetMode="External"/><Relationship Id="rId36" Type="http://schemas.openxmlformats.org/officeDocument/2006/relationships/hyperlink" Target="https://my.zakupki.prom.ua/remote/dispatcher/state_purchase_view/41521176" TargetMode="External"/><Relationship Id="rId1604" Type="http://schemas.openxmlformats.org/officeDocument/2006/relationships/hyperlink" Target="https://my.zakupivli.pro/remote/dispatcher/state_purchase_view/56534913" TargetMode="External"/><Relationship Id="rId185" Type="http://schemas.openxmlformats.org/officeDocument/2006/relationships/hyperlink" Target="https://zakupki.prom.ua/gov/tenders/UA-2023-03-20-010273-a" TargetMode="External"/><Relationship Id="rId392" Type="http://schemas.openxmlformats.org/officeDocument/2006/relationships/hyperlink" Target="https://my.zakupki.prom.ua/remote/dispatcher/state_purchase_view/44101024" TargetMode="External"/><Relationship Id="rId697" Type="http://schemas.openxmlformats.org/officeDocument/2006/relationships/hyperlink" Target="https://my.zakupivli.pro/remote/dispatcher/state_purchase_view/48871901" TargetMode="External"/><Relationship Id="rId252" Type="http://schemas.openxmlformats.org/officeDocument/2006/relationships/hyperlink" Target="https://zakupki.prom.ua/gov/tenders/UA-2023-03-30-005086-a" TargetMode="External"/><Relationship Id="rId1187" Type="http://schemas.openxmlformats.org/officeDocument/2006/relationships/hyperlink" Target="https://zakupivli.pro/gov/tenders/UA-2024-07-01-004453-a" TargetMode="External"/><Relationship Id="rId112" Type="http://schemas.openxmlformats.org/officeDocument/2006/relationships/hyperlink" Target="https://zakupki.prom.ua/gov/tenders/UA-2023-02-13-012766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1394" Type="http://schemas.openxmlformats.org/officeDocument/2006/relationships/hyperlink" Target="https://my.zakupivli.pro/remote/dispatcher/state_purchase_view/54376960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1461" Type="http://schemas.openxmlformats.org/officeDocument/2006/relationships/hyperlink" Target="https://zakupivli.pro/gov/tenders/ua-2024-11-14-014342-a" TargetMode="External"/><Relationship Id="rId929" Type="http://schemas.openxmlformats.org/officeDocument/2006/relationships/hyperlink" Target="https://my.zakupivli.pro/remote/dispatcher/state_purchase_view/49690092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1559" Type="http://schemas.openxmlformats.org/officeDocument/2006/relationships/hyperlink" Target="https://zakupivli.pro/gov/tenders/ua-2024-12-25-000472-a/lot-da02b9c11d7d432285ebb6054f941b00" TargetMode="External"/><Relationship Id="rId58" Type="http://schemas.openxmlformats.org/officeDocument/2006/relationships/hyperlink" Target="https://my.zakupki.prom.ua/remote/dispatcher/state_purchase_view/41428016" TargetMode="External"/><Relationship Id="rId1419" Type="http://schemas.openxmlformats.org/officeDocument/2006/relationships/hyperlink" Target="https://zakupivli.pro/gov/tenders/ua-2024-11-01-003014-a" TargetMode="External"/><Relationship Id="rId1626" Type="http://schemas.openxmlformats.org/officeDocument/2006/relationships/hyperlink" Target="https://my.zakupivli.pro/remote/dispatcher/state_purchase_view/56709458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134" Type="http://schemas.openxmlformats.org/officeDocument/2006/relationships/hyperlink" Target="https://zakupki.prom.ua/gov/tenders/UA-2023-03-03-001590-a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341" Type="http://schemas.openxmlformats.org/officeDocument/2006/relationships/hyperlink" Target="https://zakupki.prom.ua/gov/tenders/UA-2023-04-27-003600-a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1483" Type="http://schemas.openxmlformats.org/officeDocument/2006/relationships/hyperlink" Target="https://zakupivli.pro/gov/tenders/ua-2024-11-21-004000-a" TargetMode="External"/><Relationship Id="rId201" Type="http://schemas.openxmlformats.org/officeDocument/2006/relationships/hyperlink" Target="https://zakupki.prom.ua/gov/tenders/UA-2023-03-23-010751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550" Type="http://schemas.openxmlformats.org/officeDocument/2006/relationships/hyperlink" Target="https://my.zakupivli.pro/remote/dispatcher/state_purchase_view/56178120" TargetMode="External"/><Relationship Id="rId1203" Type="http://schemas.openxmlformats.org/officeDocument/2006/relationships/hyperlink" Target="https://zakupivli.pro/gov/tenders/UA-2024-07-15-002029-a" TargetMode="External"/><Relationship Id="rId1410" Type="http://schemas.openxmlformats.org/officeDocument/2006/relationships/hyperlink" Target="https://my.zakupivli.pro/remote/dispatcher/state_purchase_view/54476090" TargetMode="External"/><Relationship Id="rId1508" Type="http://schemas.openxmlformats.org/officeDocument/2006/relationships/hyperlink" Target="https://zakupivli.pro/gov/tenders/ua-2024-12-06-011782-a" TargetMode="External"/><Relationship Id="rId296" Type="http://schemas.openxmlformats.org/officeDocument/2006/relationships/hyperlink" Target="https://my.zakupki.prom.ua/remote/dispatcher/state_purchase_view/41829038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060" Type="http://schemas.openxmlformats.org/officeDocument/2006/relationships/hyperlink" Target="https://my.zakupivli.pro/remote/dispatcher/state_purchase_view/50523737" TargetMode="External"/><Relationship Id="rId1298" Type="http://schemas.openxmlformats.org/officeDocument/2006/relationships/hyperlink" Target="https://zakupivli.pro/gov/tenders/UA-2024-08-16-002605-a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572" Type="http://schemas.openxmlformats.org/officeDocument/2006/relationships/hyperlink" Target="https://my.zakupivli.pro/remote/dispatcher/state_purchase_view/56282686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1432" Type="http://schemas.openxmlformats.org/officeDocument/2006/relationships/hyperlink" Target="https://my.zakupivli.pro/remote/dispatcher/state_purchase_view/54604192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78" Type="http://schemas.openxmlformats.org/officeDocument/2006/relationships/hyperlink" Target="https://zakupki.prom.ua/gov/tenders/UA-2023-03-20-010821-a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897" Type="http://schemas.openxmlformats.org/officeDocument/2006/relationships/hyperlink" Target="https://my.zakupivli.pro/remote/dispatcher/state_purchase_view/49535400" TargetMode="External"/><Relationship Id="rId1082" Type="http://schemas.openxmlformats.org/officeDocument/2006/relationships/hyperlink" Target="https://my.zakupivli.pro/remote/dispatcher/state_purchase_view/50870545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1594" Type="http://schemas.openxmlformats.org/officeDocument/2006/relationships/hyperlink" Target="https://zakupivli.pro/gov/tenders/ua-2025-01-03-003984-a/lot-d9dc049fd427431c887b0b22fc44c310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454" Type="http://schemas.openxmlformats.org/officeDocument/2006/relationships/hyperlink" Target="https://my.zakupivli.pro/remote/dispatcher/state_purchase_view/54819986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1521" Type="http://schemas.openxmlformats.org/officeDocument/2006/relationships/hyperlink" Target="https://my.zakupivli.pro/remote/dispatcher/state_purchase_view/55863477" TargetMode="External"/><Relationship Id="rId1619" Type="http://schemas.openxmlformats.org/officeDocument/2006/relationships/hyperlink" Target="https://zakupivli.pro/gov/tenders/ua-2025-01-16-010939-a/lot-21f071099f3b4397b02db75d7e195ceb" TargetMode="External"/><Relationship Id="rId20" Type="http://schemas.openxmlformats.org/officeDocument/2006/relationships/hyperlink" Target="https://my.zakupki.prom.ua/remote/dispatcher/state_purchase_view/40091969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639" Type="http://schemas.openxmlformats.org/officeDocument/2006/relationships/hyperlink" Target="https://my.zakupivli.pro/remote/dispatcher/state_purchase_view/48579121" TargetMode="External"/><Relationship Id="rId1171" Type="http://schemas.openxmlformats.org/officeDocument/2006/relationships/hyperlink" Target="https://my.zakupivli.pro/remote/dispatcher/state_purchase_view/51817543" TargetMode="External"/><Relationship Id="rId1269" Type="http://schemas.openxmlformats.org/officeDocument/2006/relationships/hyperlink" Target="https://zakupivli.pro/gov/tenders/UA-2024-08-08-011169-a" TargetMode="External"/><Relationship Id="rId1476" Type="http://schemas.openxmlformats.org/officeDocument/2006/relationships/hyperlink" Target="https://zakupivli.pro/gov/tenders/ua-2024-11-15-012380-a" TargetMode="External"/><Relationship Id="rId401" Type="http://schemas.openxmlformats.org/officeDocument/2006/relationships/hyperlink" Target="https://zakupki.prom.ua/gov/tenders/UA-2023-07-24-008868-a" TargetMode="External"/><Relationship Id="rId846" Type="http://schemas.openxmlformats.org/officeDocument/2006/relationships/hyperlink" Target="https://zakupivli.pro/gov/tenders/UA-2024-02-20-010042-a" TargetMode="External"/><Relationship Id="rId1031" Type="http://schemas.openxmlformats.org/officeDocument/2006/relationships/hyperlink" Target="https://zakupivli.pro/gov/tenders/UA-2024-04-03-011369-a" TargetMode="External"/><Relationship Id="rId1129" Type="http://schemas.openxmlformats.org/officeDocument/2006/relationships/hyperlink" Target="https://zakupivli.pro/gov/tenders/UA-2024-05-27-006168-a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1543" Type="http://schemas.openxmlformats.org/officeDocument/2006/relationships/hyperlink" Target="https://my.zakupivli.pro/remote/dispatcher/state_purchase_view/56084031" TargetMode="External"/><Relationship Id="rId42" Type="http://schemas.openxmlformats.org/officeDocument/2006/relationships/hyperlink" Target="https://my.zakupki.prom.ua/remote/dispatcher/state_purchase_view/41520193" TargetMode="External"/><Relationship Id="rId1403" Type="http://schemas.openxmlformats.org/officeDocument/2006/relationships/hyperlink" Target="https://my.zakupivli.pro/remote/dispatcher/state_purchase_view/54409008" TargetMode="External"/><Relationship Id="rId1610" Type="http://schemas.openxmlformats.org/officeDocument/2006/relationships/hyperlink" Target="https://zakupivli.pro/gov/tenders/ua-2025-01-14-012680-a/lot-c5eb74efef1c4e54bc9797769aacf50e" TargetMode="External"/><Relationship Id="rId191" Type="http://schemas.openxmlformats.org/officeDocument/2006/relationships/hyperlink" Target="https://zakupki.prom.ua/gov/tenders/UA-2023-03-20-010007-a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1498" Type="http://schemas.openxmlformats.org/officeDocument/2006/relationships/hyperlink" Target="https://zakupivli.pro/gov/tenders/ua-2024-12-06-014938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1565" Type="http://schemas.openxmlformats.org/officeDocument/2006/relationships/hyperlink" Target="https://my.zakupivli.pro/remote/dispatcher/state_purchase_view/56200541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1425" Type="http://schemas.openxmlformats.org/officeDocument/2006/relationships/hyperlink" Target="https://zakupivli.pro/gov/tenders/ua-2024-11-05-013976-a" TargetMode="External"/><Relationship Id="rId1632" Type="http://schemas.openxmlformats.org/officeDocument/2006/relationships/hyperlink" Target="https://my.zakupivli.pro/remote/dispatcher/state_purchase_view/56754629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1587" Type="http://schemas.openxmlformats.org/officeDocument/2006/relationships/hyperlink" Target="https://my.zakupivli.pro/remote/dispatcher/state_purchase_view/56341932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447" Type="http://schemas.openxmlformats.org/officeDocument/2006/relationships/hyperlink" Target="https://my.zakupivli.pro/remote/dispatcher/state_purchase_view/54820976" TargetMode="External"/><Relationship Id="rId1307" Type="http://schemas.openxmlformats.org/officeDocument/2006/relationships/hyperlink" Target="https://zakupivli.pro/gov/tenders/UA-2024-08-13-010928-a" TargetMode="External"/><Relationship Id="rId1514" Type="http://schemas.openxmlformats.org/officeDocument/2006/relationships/hyperlink" Target="https://my.zakupivli.pro/remote/dispatcher/state_purchase_view/55800910" TargetMode="External"/><Relationship Id="rId13" Type="http://schemas.openxmlformats.org/officeDocument/2006/relationships/hyperlink" Target="https://zakupki.prom.ua/gov/tenders/UA-2022-12-08-017620-a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1469" Type="http://schemas.openxmlformats.org/officeDocument/2006/relationships/hyperlink" Target="https://zakupivli.pro/gov/tenders/ua-2024-11-14-000435-a/lot-8f19eeb085d646b49b6ef911f2f940b4" TargetMode="External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1536" Type="http://schemas.openxmlformats.org/officeDocument/2006/relationships/hyperlink" Target="https://zakupivli.pro/gov/tenders/ua-2024-12-19-015237-a/lot-314cfa8962ac4a7692f6a0a741729e26" TargetMode="External"/><Relationship Id="rId35" Type="http://schemas.openxmlformats.org/officeDocument/2006/relationships/hyperlink" Target="https://my.zakupki.prom.ua/remote/dispatcher/state_purchase_view/41521877" TargetMode="External"/><Relationship Id="rId1603" Type="http://schemas.openxmlformats.org/officeDocument/2006/relationships/hyperlink" Target="https://zakupivli.pro/gov/tenders/ua-2025-01-08-001594-a/lot-09dfeed27af7413b87449fe990a10f59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393" Type="http://schemas.openxmlformats.org/officeDocument/2006/relationships/hyperlink" Target="https://zakupivli.pro/gov/tenders/ua-2024-10-25-003611-a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1460" Type="http://schemas.openxmlformats.org/officeDocument/2006/relationships/hyperlink" Target="https://zakupivli.pro/gov/tenders/ua-2024-11-14-014426-a" TargetMode="External"/><Relationship Id="rId1558" Type="http://schemas.openxmlformats.org/officeDocument/2006/relationships/hyperlink" Target="https://zakupivli.pro/gov/tenders/ua-2024-12-25-000652-a" TargetMode="External"/><Relationship Id="rId57" Type="http://schemas.openxmlformats.org/officeDocument/2006/relationships/hyperlink" Target="https://my.zakupki.prom.ua/remote/dispatcher/state_purchase_view/41428807" TargetMode="External"/><Relationship Id="rId1113" Type="http://schemas.openxmlformats.org/officeDocument/2006/relationships/hyperlink" Target="https://my.zakupivli.pro/remote/dispatcher/state_purchase_view/51180705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418" Type="http://schemas.openxmlformats.org/officeDocument/2006/relationships/hyperlink" Target="https://zakupivli.pro/gov/tenders/ua-2024-11-01-007893-a" TargetMode="External"/><Relationship Id="rId1625" Type="http://schemas.openxmlformats.org/officeDocument/2006/relationships/hyperlink" Target="https://zakupivli.pro/gov/tenders/ua-2025-01-16-016667-a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1482" Type="http://schemas.openxmlformats.org/officeDocument/2006/relationships/hyperlink" Target="https://my.zakupivli.pro/remote/dispatcher/state_purchase_view/55001569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79" Type="http://schemas.openxmlformats.org/officeDocument/2006/relationships/hyperlink" Target="https://my.zakupki.prom.ua/remote/dispatcher/state_purchase_view/41328890" TargetMode="External"/><Relationship Id="rId1202" Type="http://schemas.openxmlformats.org/officeDocument/2006/relationships/hyperlink" Target="https://my.zakupivli.pro/remote/dispatcher/state_purchase_view/52158746" TargetMode="External"/><Relationship Id="rId1507" Type="http://schemas.openxmlformats.org/officeDocument/2006/relationships/hyperlink" Target="https://my.zakupivli.pro/remote/dispatcher/state_purchase_view/55292923" TargetMode="External"/><Relationship Id="rId295" Type="http://schemas.openxmlformats.org/officeDocument/2006/relationships/hyperlink" Target="https://my.zakupki.prom.ua/remote/dispatcher/state_purchase_view/41830605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1571" Type="http://schemas.openxmlformats.org/officeDocument/2006/relationships/hyperlink" Target="https://zakupivli.pro/gov/tenders/ua-2024-12-26-005498-a/lot-182d36d9de1d40afb80055f988a85186" TargetMode="External"/><Relationship Id="rId70" Type="http://schemas.openxmlformats.org/officeDocument/2006/relationships/hyperlink" Target="https://my.zakupki.prom.ua/remote/dispatcher/state_purchase_view/41385337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431" Type="http://schemas.openxmlformats.org/officeDocument/2006/relationships/hyperlink" Target="https://zakupivli.pro/gov/tenders/ua-2024-11-06-013838-a/lot-e19801afb2d0458d9226770d35b97cb7" TargetMode="External"/><Relationship Id="rId1529" Type="http://schemas.openxmlformats.org/officeDocument/2006/relationships/hyperlink" Target="https://zakupivli.pro/gov/tenders/ua-2024-12-17-016908-a/lot-5a42616100344db4a23e981012b6a810" TargetMode="External"/><Relationship Id="rId28" Type="http://schemas.openxmlformats.org/officeDocument/2006/relationships/hyperlink" Target="https://zakupki.prom.ua/gov/tenders/UA-2023-02-01-009698-a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593" Type="http://schemas.openxmlformats.org/officeDocument/2006/relationships/hyperlink" Target="https://zakupivli.pro/gov/tenders/ua-2025-01-03-003984-a/lot-452604689ca9495a953a47e51fdc2042" TargetMode="External"/><Relationship Id="rId104" Type="http://schemas.openxmlformats.org/officeDocument/2006/relationships/hyperlink" Target="https://my.zakupki.prom.ua/remote/dispatcher/state_purchase_view/40975514" TargetMode="External"/><Relationship Id="rId311" Type="http://schemas.openxmlformats.org/officeDocument/2006/relationships/hyperlink" Target="https://zakupki.prom.ua/gov/tenders/UA-2023-04-04-000044-a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1453" Type="http://schemas.openxmlformats.org/officeDocument/2006/relationships/hyperlink" Target="https://my.zakupivli.pro/remote/dispatcher/state_purchase_view/54820177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520" Type="http://schemas.openxmlformats.org/officeDocument/2006/relationships/hyperlink" Target="https://my.zakupivli.pro/remote/dispatcher/state_purchase_view/55863477" TargetMode="External"/><Relationship Id="rId1618" Type="http://schemas.openxmlformats.org/officeDocument/2006/relationships/hyperlink" Target="https://zakupivli.pro/gov/tenders/ua-2025-01-16-015154-a/lot-a2083914569a4dfe9016d0439e44acc3" TargetMode="External"/><Relationship Id="rId199" Type="http://schemas.openxmlformats.org/officeDocument/2006/relationships/hyperlink" Target="https://zakupki.prom.ua/gov/tenders/UA-2023-03-23-011146-a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1475" Type="http://schemas.openxmlformats.org/officeDocument/2006/relationships/hyperlink" Target="https://zakupivli.pro/gov/tenders/ua-2024-11-15-012568-a" TargetMode="External"/><Relationship Id="rId400" Type="http://schemas.openxmlformats.org/officeDocument/2006/relationships/hyperlink" Target="https://zakupki.prom.ua/gov/tenders/UA-2023-07-12-001298-a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542" Type="http://schemas.openxmlformats.org/officeDocument/2006/relationships/hyperlink" Target="https://my.zakupivli.pro/remote/dispatcher/state_purchase_view/56101118" TargetMode="External"/><Relationship Id="rId912" Type="http://schemas.openxmlformats.org/officeDocument/2006/relationships/hyperlink" Target="https://zakupivli.pro/gov/tenders/UA-2024-03-04-003068-a" TargetMode="External"/><Relationship Id="rId41" Type="http://schemas.openxmlformats.org/officeDocument/2006/relationships/hyperlink" Target="https://my.zakupki.prom.ua/remote/dispatcher/state_purchase_view/41520214" TargetMode="External"/><Relationship Id="rId1402" Type="http://schemas.openxmlformats.org/officeDocument/2006/relationships/hyperlink" Target="https://my.zakupivli.pro/remote/dispatcher/state_purchase_view/54409626" TargetMode="External"/><Relationship Id="rId190" Type="http://schemas.openxmlformats.org/officeDocument/2006/relationships/hyperlink" Target="https://zakupki.prom.ua/gov/tenders/UA-2023-03-20-010028-a" TargetMode="External"/><Relationship Id="rId288" Type="http://schemas.openxmlformats.org/officeDocument/2006/relationships/hyperlink" Target="https://zakupki.prom.ua/gov/tenders/UA-2023-04-04-000049-a" TargetMode="External"/><Relationship Id="rId495" Type="http://schemas.openxmlformats.org/officeDocument/2006/relationships/hyperlink" Target="https://my.zakupki.prom.ua/remote/dispatcher/state_purchase_view/45589939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1497" Type="http://schemas.openxmlformats.org/officeDocument/2006/relationships/hyperlink" Target="https://my.zakupivli.pro/remote/dispatcher/state_purchase_view/55493584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1564" Type="http://schemas.openxmlformats.org/officeDocument/2006/relationships/hyperlink" Target="https://my.zakupivli.pro/remote/dispatcher/state_purchase_view/56204127" TargetMode="External"/><Relationship Id="rId63" Type="http://schemas.openxmlformats.org/officeDocument/2006/relationships/hyperlink" Target="https://my.zakupki.prom.ua/remote/dispatcher/state_purchase_view/41426867" TargetMode="External"/><Relationship Id="rId1217" Type="http://schemas.openxmlformats.org/officeDocument/2006/relationships/hyperlink" Target="https://zakupivli.pro/gov/tenders/UA-2024-07-22-001735-a" TargetMode="External"/><Relationship Id="rId1424" Type="http://schemas.openxmlformats.org/officeDocument/2006/relationships/hyperlink" Target="https://my.zakupivli.pro/remote/dispatcher/state_purchase_view/54552115" TargetMode="External"/><Relationship Id="rId1631" Type="http://schemas.openxmlformats.org/officeDocument/2006/relationships/hyperlink" Target="https://my.zakupivli.pro/remote/dispatcher/state_purchase_view/56755417" TargetMode="External"/><Relationship Id="rId377" Type="http://schemas.openxmlformats.org/officeDocument/2006/relationships/hyperlink" Target="https://zakupki.prom.ua/gov/tenders/UA-2023-06-15-008920-a" TargetMode="External"/><Relationship Id="rId584" Type="http://schemas.openxmlformats.org/officeDocument/2006/relationships/hyperlink" Target="https://my.zakupivli.pro/remote/dispatcher/state_purchase_view/48217755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1586" Type="http://schemas.openxmlformats.org/officeDocument/2006/relationships/hyperlink" Target="https://my.zakupivli.pro/remote/dispatcher/state_purchase_view/56343850" TargetMode="External"/><Relationship Id="rId304" Type="http://schemas.openxmlformats.org/officeDocument/2006/relationships/hyperlink" Target="https://my.zakupki.prom.ua/remote/dispatcher/state_purchase_view/41779380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85" Type="http://schemas.openxmlformats.org/officeDocument/2006/relationships/hyperlink" Target="https://my.zakupki.prom.ua/remote/dispatcher/state_purchase_view/41234599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1446" Type="http://schemas.openxmlformats.org/officeDocument/2006/relationships/hyperlink" Target="https://my.zakupivli.pro/remote/dispatcher/state_purchase_view/54821149" TargetMode="External"/><Relationship Id="rId1306" Type="http://schemas.openxmlformats.org/officeDocument/2006/relationships/hyperlink" Target="https://zakupivli.pro/gov/tenders/UA-2024-08-14-008653-a" TargetMode="External"/><Relationship Id="rId1513" Type="http://schemas.openxmlformats.org/officeDocument/2006/relationships/hyperlink" Target="https://zakupivli.pro/gov/tenders/ua-2024-12-02-004435-a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468" Type="http://schemas.openxmlformats.org/officeDocument/2006/relationships/hyperlink" Target="https://zakupivli.pro/gov/tenders/ua-2024-11-14-003634-a" TargetMode="External"/><Relationship Id="rId600" Type="http://schemas.openxmlformats.org/officeDocument/2006/relationships/hyperlink" Target="https://my.zakupivli.pro/remote/dispatcher/state_purchase_view/48409206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1535" Type="http://schemas.openxmlformats.org/officeDocument/2006/relationships/hyperlink" Target="https://zakupivli.pro/gov/tenders/ua-2024-12-19-015237-a/lot-32acbfc5db2140a58cad3239c51ef67e" TargetMode="External"/><Relationship Id="rId905" Type="http://schemas.openxmlformats.org/officeDocument/2006/relationships/hyperlink" Target="https://my.zakupivli.pro/remote/dispatcher/state_purchase_view/49553110" TargetMode="External"/><Relationship Id="rId34" Type="http://schemas.openxmlformats.org/officeDocument/2006/relationships/hyperlink" Target="https://my.zakupki.prom.ua/remote/dispatcher/state_purchase_view/41548910" TargetMode="External"/><Relationship Id="rId1602" Type="http://schemas.openxmlformats.org/officeDocument/2006/relationships/hyperlink" Target="https://zakupivli.pro/gov/tenders/ua-2025-01-08-001594-a/lot-5fa98a015d904ec082c909d73e6a9e7f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392" Type="http://schemas.openxmlformats.org/officeDocument/2006/relationships/hyperlink" Target="https://zakupivli.pro/gov/tenders/ua-2024-10-25-008799-a/lot-e7258f63594447c8bfb65274e192ffb8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1557" Type="http://schemas.openxmlformats.org/officeDocument/2006/relationships/hyperlink" Target="https://zakupivli.pro/gov/tenders/ua-2024-12-25-004680-a" TargetMode="External"/><Relationship Id="rId56" Type="http://schemas.openxmlformats.org/officeDocument/2006/relationships/hyperlink" Target="https://my.zakupki.prom.ua/remote/dispatcher/state_purchase_view/41429057" TargetMode="External"/><Relationship Id="rId1417" Type="http://schemas.openxmlformats.org/officeDocument/2006/relationships/hyperlink" Target="https://zakupivli.pro/gov/tenders/ua-2024-11-01-010548-a" TargetMode="External"/><Relationship Id="rId1624" Type="http://schemas.openxmlformats.org/officeDocument/2006/relationships/hyperlink" Target="https://zakupivli.pro/gov/tenders/ua-2025-01-16-016675-a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1481" Type="http://schemas.openxmlformats.org/officeDocument/2006/relationships/hyperlink" Target="https://zakupivli.pro/gov/tenders/ua-2024-11-20-001284-a" TargetMode="External"/><Relationship Id="rId1579" Type="http://schemas.openxmlformats.org/officeDocument/2006/relationships/hyperlink" Target="https://my.zakupivli.pro/remote/dispatcher/state_purchase_view/56319028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78" Type="http://schemas.openxmlformats.org/officeDocument/2006/relationships/hyperlink" Target="https://my.zakupki.prom.ua/remote/dispatcher/state_purchase_view/41328917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1439" Type="http://schemas.openxmlformats.org/officeDocument/2006/relationships/hyperlink" Target="https://zakupivli.pro/gov/tenders/ua-2024-11-08-000190-a/lot-f753d7ae34c146dab6c4dfa4877bb131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1492" Type="http://schemas.openxmlformats.org/officeDocument/2006/relationships/hyperlink" Target="https://zakupivli.pro/gov/tenders/ua-2024-11-27-011735-a/lot-005bd18e83f34633b7d96ff26d4c1a03" TargetMode="External"/><Relationship Id="rId1506" Type="http://schemas.openxmlformats.org/officeDocument/2006/relationships/hyperlink" Target="https://my.zakupivli.pro/remote/dispatcher/state_purchase_view/55352960" TargetMode="External"/><Relationship Id="rId294" Type="http://schemas.openxmlformats.org/officeDocument/2006/relationships/hyperlink" Target="https://my.zakupki.prom.ua/remote/dispatcher/state_purchase_view/41866240" TargetMode="External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89" Type="http://schemas.openxmlformats.org/officeDocument/2006/relationships/hyperlink" Target="https://my.zakupki.prom.ua/remote/dispatcher/state_purchase_view/41196363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1517" Type="http://schemas.openxmlformats.org/officeDocument/2006/relationships/hyperlink" Target="https://zakupivli.pro/gov/tenders/ua-2024-12-16-012032-a" TargetMode="External"/><Relationship Id="rId16" Type="http://schemas.openxmlformats.org/officeDocument/2006/relationships/hyperlink" Target="https://zakupki.prom.ua/gov/tenders/UA-2022-12-26-003873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570" Type="http://schemas.openxmlformats.org/officeDocument/2006/relationships/hyperlink" Target="https://zakupivli.pro/gov/tenders/ua-2024-12-26-006943-a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1430" Type="http://schemas.openxmlformats.org/officeDocument/2006/relationships/hyperlink" Target="https://zakupivli.pro/gov/tenders/ua-2024-11-06-014697-a" TargetMode="External"/><Relationship Id="rId1528" Type="http://schemas.openxmlformats.org/officeDocument/2006/relationships/hyperlink" Target="https://zakupivli.pro/gov/tenders/ua-2024-12-17-016908-a/lot-35b0ab82a7f64756b2663012645b01a3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27" Type="http://schemas.openxmlformats.org/officeDocument/2006/relationships/hyperlink" Target="https://my.zakupki.prom.ua/remote/dispatcher/state_purchase_view/40312420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1581" Type="http://schemas.openxmlformats.org/officeDocument/2006/relationships/hyperlink" Target="https://zakupivli.pro/gov/tenders/ua-2025-01-03-000567-a" TargetMode="External"/><Relationship Id="rId80" Type="http://schemas.openxmlformats.org/officeDocument/2006/relationships/hyperlink" Target="https://my.zakupki.prom.ua/remote/dispatcher/state_purchase_view/41328762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1441" Type="http://schemas.openxmlformats.org/officeDocument/2006/relationships/hyperlink" Target="https://my.zakupivli.pro/remote/dispatcher/state_purchase_view/54732316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080" Type="http://schemas.openxmlformats.org/officeDocument/2006/relationships/hyperlink" Target="https://my.zakupivli.pro/remote/dispatcher/state_purchase_view/50840153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1539" Type="http://schemas.openxmlformats.org/officeDocument/2006/relationships/hyperlink" Target="https://zakupivli.pro/gov/tenders/ua-2024-12-19-008061-a/lot-4f3ca28a506440b7aac92e4c4b38309e" TargetMode="External"/><Relationship Id="rId38" Type="http://schemas.openxmlformats.org/officeDocument/2006/relationships/hyperlink" Target="https://my.zakupki.prom.ua/remote/dispatcher/state_purchase_view/4152061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1592" Type="http://schemas.openxmlformats.org/officeDocument/2006/relationships/hyperlink" Target="https://zakupivli.pro/gov/tenders/ua-2025-01-03-003984-a/lot-50b685476034412da7562ca35923381f" TargetMode="External"/><Relationship Id="rId1606" Type="http://schemas.openxmlformats.org/officeDocument/2006/relationships/hyperlink" Target="https://my.zakupivli.pro/remote/dispatcher/state_purchase_view/56516163" TargetMode="External"/><Relationship Id="rId91" Type="http://schemas.openxmlformats.org/officeDocument/2006/relationships/hyperlink" Target="https://my.zakupki.prom.ua/remote/dispatcher/state_purchase_view/41191954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1452" Type="http://schemas.openxmlformats.org/officeDocument/2006/relationships/hyperlink" Target="https://my.zakupivli.pro/remote/dispatcher/state_purchase_view/54820196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49" Type="http://schemas.openxmlformats.org/officeDocument/2006/relationships/hyperlink" Target="https://my.zakupki.prom.ua/remote/dispatcher/state_purchase_view/41519330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396" Type="http://schemas.openxmlformats.org/officeDocument/2006/relationships/hyperlink" Target="https://my.zakupivli.pro/remote/dispatcher/state_purchase_view/54375854" TargetMode="External"/><Relationship Id="rId1617" Type="http://schemas.openxmlformats.org/officeDocument/2006/relationships/hyperlink" Target="https://my.zakupivli.pro/remote/dispatcher/state_purchase_view/56598627" TargetMode="External"/><Relationship Id="rId198" Type="http://schemas.openxmlformats.org/officeDocument/2006/relationships/hyperlink" Target="https://zakupki.prom.ua/gov/tenders/UA-2023-03-22-004354-a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1463" Type="http://schemas.openxmlformats.org/officeDocument/2006/relationships/hyperlink" Target="https://zakupivli.pro/gov/tenders/ua-2024-11-14-014257-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530" Type="http://schemas.openxmlformats.org/officeDocument/2006/relationships/hyperlink" Target="https://my.zakupivli.pro/remote/dispatcher/state_purchase_view/55973222" TargetMode="External"/><Relationship Id="rId1628" Type="http://schemas.openxmlformats.org/officeDocument/2006/relationships/hyperlink" Target="https://my.zakupivli.pro/remote/dispatcher/state_purchase_view/56767709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1474" Type="http://schemas.openxmlformats.org/officeDocument/2006/relationships/hyperlink" Target="https://my.zakupivli.pro/remote/dispatcher/state_purchase_view/54837075" TargetMode="External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1541" Type="http://schemas.openxmlformats.org/officeDocument/2006/relationships/hyperlink" Target="https://zakupivli.pro/gov/tenders/ua-2024-12-20-005683-a/lot-a70ea84e10ae476286482dd01a112183" TargetMode="External"/><Relationship Id="rId40" Type="http://schemas.openxmlformats.org/officeDocument/2006/relationships/hyperlink" Target="https://my.zakupki.prom.ua/remote/dispatcher/state_purchase_view/41520379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1401" Type="http://schemas.openxmlformats.org/officeDocument/2006/relationships/hyperlink" Target="https://zakupivli.pro/gov/tenders/ua-2024-10-29-002264-a" TargetMode="External"/><Relationship Id="rId1639" Type="http://schemas.openxmlformats.org/officeDocument/2006/relationships/hyperlink" Target="https://zakupivli.pro/gov/tenders/ua-2025-01-21-013032-a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1485" Type="http://schemas.openxmlformats.org/officeDocument/2006/relationships/hyperlink" Target="https://my.zakupivli.pro/remote/dispatcher/state_purchase_view/55052216" TargetMode="External"/><Relationship Id="rId287" Type="http://schemas.openxmlformats.org/officeDocument/2006/relationships/hyperlink" Target="https://zakupki.prom.ua/gov/tenders/UA-2023-04-04-000044-a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552" Type="http://schemas.openxmlformats.org/officeDocument/2006/relationships/hyperlink" Target="https://my.zakupivli.pro/remote/dispatcher/state_purchase_view/56165938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1205" Type="http://schemas.openxmlformats.org/officeDocument/2006/relationships/hyperlink" Target="https://zakupivli.pro/gov/tenders/UA-2024-07-15-004574-a" TargetMode="External"/><Relationship Id="rId51" Type="http://schemas.openxmlformats.org/officeDocument/2006/relationships/hyperlink" Target="https://my.zakupki.prom.ua/remote/dispatcher/state_purchase_view/41512826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1412" Type="http://schemas.openxmlformats.org/officeDocument/2006/relationships/hyperlink" Target="https://my.zakupivli.pro/remote/dispatcher/state_purchase_view/54459170" TargetMode="External"/><Relationship Id="rId1496" Type="http://schemas.openxmlformats.org/officeDocument/2006/relationships/hyperlink" Target="https://my.zakupivli.pro/remote/dispatcher/state_purchase_view/55498113" TargetMode="External"/><Relationship Id="rId214" Type="http://schemas.openxmlformats.org/officeDocument/2006/relationships/hyperlink" Target="https://my.zakupki.prom.ua/remote/dispatcher/state_purchase_view/41647901" TargetMode="External"/><Relationship Id="rId298" Type="http://schemas.openxmlformats.org/officeDocument/2006/relationships/hyperlink" Target="https://my.zakupki.prom.ua/remote/dispatcher/state_purchase_view/41781756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1563" Type="http://schemas.openxmlformats.org/officeDocument/2006/relationships/hyperlink" Target="https://my.zakupivli.pro/remote/dispatcher/state_purchase_view/56204817" TargetMode="External"/><Relationship Id="rId62" Type="http://schemas.openxmlformats.org/officeDocument/2006/relationships/hyperlink" Target="https://my.zakupki.prom.ua/remote/dispatcher/state_purchase_view/41426939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1216" Type="http://schemas.openxmlformats.org/officeDocument/2006/relationships/hyperlink" Target="https://my.zakupivli.pro/remote/dispatcher/state_purchase_view/52282158" TargetMode="External"/><Relationship Id="rId1423" Type="http://schemas.openxmlformats.org/officeDocument/2006/relationships/hyperlink" Target="https://zakupivli.pro/gov/tenders/ua-2024-11-01-000223-a" TargetMode="External"/><Relationship Id="rId1630" Type="http://schemas.openxmlformats.org/officeDocument/2006/relationships/hyperlink" Target="https://my.zakupivli.pro/remote/dispatcher/state_purchase_view/56756969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1574" Type="http://schemas.openxmlformats.org/officeDocument/2006/relationships/hyperlink" Target="https://my.zakupivli.pro/remote/dispatcher/state_purchase_view/56334714" TargetMode="External"/><Relationship Id="rId73" Type="http://schemas.openxmlformats.org/officeDocument/2006/relationships/hyperlink" Target="https://my.zakupki.prom.ua/remote/dispatcher/state_purchase_view/41339013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1434" Type="http://schemas.openxmlformats.org/officeDocument/2006/relationships/hyperlink" Target="https://my.zakupivli.pro/remote/dispatcher/state_purchase_view/54641995" TargetMode="External"/><Relationship Id="rId1641" Type="http://schemas.openxmlformats.org/officeDocument/2006/relationships/hyperlink" Target="https://zakupivli.pro/gov/tenders/ua-2025-01-21-000895-a/lot-a9355564e9d5476a9a00f73ee1b4dfa6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1501" Type="http://schemas.openxmlformats.org/officeDocument/2006/relationships/hyperlink" Target="https://zakupivli.pro/gov/tenders/ua-2024-12-06-012047-a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1585" Type="http://schemas.openxmlformats.org/officeDocument/2006/relationships/hyperlink" Target="https://zakupivli.pro/gov/tenders/ua-2025-01-02-001375-a" TargetMode="External"/><Relationship Id="rId84" Type="http://schemas.openxmlformats.org/officeDocument/2006/relationships/hyperlink" Target="https://my.zakupki.prom.ua/remote/dispatcher/state_purchase_view/41234669" TargetMode="External"/><Relationship Id="rId387" Type="http://schemas.openxmlformats.org/officeDocument/2006/relationships/hyperlink" Target="https://my.zakupki.prom.ua/remote/dispatcher/state_purchase_view/44236786" TargetMode="External"/><Relationship Id="rId510" Type="http://schemas.openxmlformats.org/officeDocument/2006/relationships/hyperlink" Target="https://zakupivli.pro/gov/tenders/UA-2023-10-25-014030-a" TargetMode="External"/><Relationship Id="rId594" Type="http://schemas.openxmlformats.org/officeDocument/2006/relationships/hyperlink" Target="https://zakupivli.pro/gov/tenders/UA-2024-01-12-009909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1445" Type="http://schemas.openxmlformats.org/officeDocument/2006/relationships/hyperlink" Target="https://my.zakupivli.pro/remote/dispatcher/state_purchase_view/54822010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00" Type="http://schemas.openxmlformats.org/officeDocument/2006/relationships/hyperlink" Target="https://zakupivli.pro/gov/tenders/UA-2024-03-25-000272-a" TargetMode="External"/><Relationship Id="rId1084" Type="http://schemas.openxmlformats.org/officeDocument/2006/relationships/hyperlink" Target="https://zakupivli.pro/gov/tenders/UA-2024-05-08-001172-a" TargetMode="External"/><Relationship Id="rId1305" Type="http://schemas.openxmlformats.org/officeDocument/2006/relationships/hyperlink" Target="https://zakupivli.pro/gov/tenders/UA-2024-08-14-000304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512" Type="http://schemas.openxmlformats.org/officeDocument/2006/relationships/hyperlink" Target="https://zakupivli.pro/gov/tenders/ua-2024-12-03-012447-a/lot-27a447f16f4a4a818eb01daf699ca267" TargetMode="External"/><Relationship Id="rId1596" Type="http://schemas.openxmlformats.org/officeDocument/2006/relationships/hyperlink" Target="https://my.zakupivli.pro/remote/dispatcher/state_purchase_view/56380662" TargetMode="External"/><Relationship Id="rId11" Type="http://schemas.openxmlformats.org/officeDocument/2006/relationships/hyperlink" Target="https://zakupki.prom.ua/gov/tenders/UA-2022-11-23-004191-a" TargetMode="External"/><Relationship Id="rId314" Type="http://schemas.openxmlformats.org/officeDocument/2006/relationships/hyperlink" Target="https://zakupki.prom.ua/gov/tenders/UA-2023-04-05-004163-a" TargetMode="External"/><Relationship Id="rId398" Type="http://schemas.openxmlformats.org/officeDocument/2006/relationships/hyperlink" Target="https://zakupki.prom.ua/gov/tenders/UA-2023-07-19-0027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95" Type="http://schemas.openxmlformats.org/officeDocument/2006/relationships/hyperlink" Target="https://my.zakupki.prom.ua/remote/dispatcher/state_purchase_view/41189548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1456" Type="http://schemas.openxmlformats.org/officeDocument/2006/relationships/hyperlink" Target="https://my.zakupivli.pro/remote/dispatcher/state_purchase_view/54789788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1316" Type="http://schemas.openxmlformats.org/officeDocument/2006/relationships/hyperlink" Target="https://my.zakupivli.pro/remote/dispatcher/state_purchase_view/53131375" TargetMode="External"/><Relationship Id="rId1523" Type="http://schemas.openxmlformats.org/officeDocument/2006/relationships/hyperlink" Target="https://my.zakupivli.pro/remote/dispatcher/state_purchase_view/55863477" TargetMode="External"/><Relationship Id="rId22" Type="http://schemas.openxmlformats.org/officeDocument/2006/relationships/hyperlink" Target="https://zakupki.prom.ua/gov/tenders/UA-2023-01-17-001178-a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1467" Type="http://schemas.openxmlformats.org/officeDocument/2006/relationships/hyperlink" Target="https://zakupivli.pro/gov/tenders/ua-2024-11-14-013905-a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1534" Type="http://schemas.openxmlformats.org/officeDocument/2006/relationships/hyperlink" Target="https://my.zakupivli.pro/remote/dispatcher/state_purchase_view/55956705" TargetMode="External"/><Relationship Id="rId33" Type="http://schemas.openxmlformats.org/officeDocument/2006/relationships/hyperlink" Target="https://my.zakupki.prom.ua/remote/dispatcher/state_purchase_view/41550489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1601" Type="http://schemas.openxmlformats.org/officeDocument/2006/relationships/hyperlink" Target="https://zakupivli.pro/gov/tenders/ua-2025-01-08-007829-a" TargetMode="External"/><Relationship Id="rId182" Type="http://schemas.openxmlformats.org/officeDocument/2006/relationships/hyperlink" Target="https://zakupki.prom.ua/gov/tenders/UA-2023-03-20-010412-a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1478" Type="http://schemas.openxmlformats.org/officeDocument/2006/relationships/hyperlink" Target="https://zakupivli.pro/gov/tenders/ua-2024-11-15-012017-a" TargetMode="External"/><Relationship Id="rId487" Type="http://schemas.openxmlformats.org/officeDocument/2006/relationships/hyperlink" Target="https://my.zakupki.prom.ua/remote/dispatcher/state_purchase_view/45419691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694" Type="http://schemas.openxmlformats.org/officeDocument/2006/relationships/hyperlink" Target="https://zakupivli.pro/gov/tenders/UA-2024-01-31-010710-a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1545" Type="http://schemas.openxmlformats.org/officeDocument/2006/relationships/hyperlink" Target="https://zakupivli.pro/gov/tenders/ua-2024-12-23-019298-a/lot-a887349b3fb143d5bd934266cc2c168f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00" Type="http://schemas.openxmlformats.org/officeDocument/2006/relationships/hyperlink" Target="https://my.zakupivli.pro/remote/dispatcher/state_purchase_view/50949996" TargetMode="External"/><Relationship Id="rId1184" Type="http://schemas.openxmlformats.org/officeDocument/2006/relationships/hyperlink" Target="https://my.zakupivli.pro/remote/dispatcher/state_purchase_view/51864709" TargetMode="External"/><Relationship Id="rId1405" Type="http://schemas.openxmlformats.org/officeDocument/2006/relationships/hyperlink" Target="https://my.zakupivli.pro/remote/dispatcher/state_purchase_view/54403612" TargetMode="External"/><Relationship Id="rId44" Type="http://schemas.openxmlformats.org/officeDocument/2006/relationships/hyperlink" Target="https://my.zakupki.prom.ua/remote/dispatcher/state_purchase_view/41519874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391" Type="http://schemas.openxmlformats.org/officeDocument/2006/relationships/hyperlink" Target="https://my.zakupivli.pro/remote/dispatcher/state_purchase_view/54293500" TargetMode="External"/><Relationship Id="rId1489" Type="http://schemas.openxmlformats.org/officeDocument/2006/relationships/hyperlink" Target="https://zakupivli.pro/gov/tenders/ua-2024-11-26-009164-a" TargetMode="External"/><Relationship Id="rId1612" Type="http://schemas.openxmlformats.org/officeDocument/2006/relationships/hyperlink" Target="https://zakupivli.pro/gov/tenders/ua-2025-01-14-003223-a/lot-e692f4ba6d6c4710a237418d66031724" TargetMode="External"/><Relationship Id="rId193" Type="http://schemas.openxmlformats.org/officeDocument/2006/relationships/hyperlink" Target="https://zakupki.prom.ua/gov/tenders/UA-2023-03-20-007084-a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498" Type="http://schemas.openxmlformats.org/officeDocument/2006/relationships/hyperlink" Target="https://zakupki.prom.ua/gov/tenders/UA-2023-10-09-004357-a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260" Type="http://schemas.openxmlformats.org/officeDocument/2006/relationships/hyperlink" Target="https://zakupki.prom.ua/gov/tenders/UA-2023-03-31-004510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1556" Type="http://schemas.openxmlformats.org/officeDocument/2006/relationships/hyperlink" Target="https://zakupivli.pro/gov/tenders/ua-2024-12-25-010078-a" TargetMode="External"/><Relationship Id="rId55" Type="http://schemas.openxmlformats.org/officeDocument/2006/relationships/hyperlink" Target="https://my.zakupki.prom.ua/remote/dispatcher/state_purchase_view/41432337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1209" Type="http://schemas.openxmlformats.org/officeDocument/2006/relationships/hyperlink" Target="https://my.zakupivli.pro/remote/dispatcher/state_purchase_view/52221727" TargetMode="External"/><Relationship Id="rId1416" Type="http://schemas.openxmlformats.org/officeDocument/2006/relationships/hyperlink" Target="https://my.zakupivli.pro/remote/dispatcher/state_purchase_view/54453100" TargetMode="External"/><Relationship Id="rId1623" Type="http://schemas.openxmlformats.org/officeDocument/2006/relationships/hyperlink" Target="https://my.zakupivli.pro/remote/dispatcher/state_purchase_view/56624857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271" Type="http://schemas.openxmlformats.org/officeDocument/2006/relationships/hyperlink" Target="https://my.zakupki.prom.ua/remote/dispatcher/state_purchase_view/41779398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1567" Type="http://schemas.openxmlformats.org/officeDocument/2006/relationships/hyperlink" Target="https://zakupivli.pro/gov/tenders/ua-2024-12-26-010326-a/lot-9327d6896194476caacb1f261a954423" TargetMode="External"/><Relationship Id="rId66" Type="http://schemas.openxmlformats.org/officeDocument/2006/relationships/hyperlink" Target="https://my.zakupki.prom.ua/remote/dispatcher/state_purchase_view/41426342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1427" Type="http://schemas.openxmlformats.org/officeDocument/2006/relationships/hyperlink" Target="https://my.zakupivli.pro/remote/dispatcher/state_purchase_view/54590134" TargetMode="External"/><Relationship Id="rId1634" Type="http://schemas.openxmlformats.org/officeDocument/2006/relationships/hyperlink" Target="https://my.zakupivli.pro/remote/dispatcher/state_purchase_view/56727364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1480" Type="http://schemas.openxmlformats.org/officeDocument/2006/relationships/hyperlink" Target="https://my.zakupivli.pro/remote/dispatcher/state_purchase_view/54954390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1578" Type="http://schemas.openxmlformats.org/officeDocument/2006/relationships/hyperlink" Target="https://my.zakupivli.pro/remote/dispatcher/state_purchase_view/56319993" TargetMode="External"/><Relationship Id="rId77" Type="http://schemas.openxmlformats.org/officeDocument/2006/relationships/hyperlink" Target="https://my.zakupki.prom.ua/remote/dispatcher/state_purchase_view/41328966" TargetMode="External"/><Relationship Id="rId282" Type="http://schemas.openxmlformats.org/officeDocument/2006/relationships/hyperlink" Target="https://zakupki.prom.ua/gov/tenders/UA-2023-04-03-010385-a" TargetMode="External"/><Relationship Id="rId503" Type="http://schemas.openxmlformats.org/officeDocument/2006/relationships/hyperlink" Target="https://zakupivli.pro/gov/tenders/UA-2023-10-24-009180-a" TargetMode="External"/><Relationship Id="rId587" Type="http://schemas.openxmlformats.org/officeDocument/2006/relationships/hyperlink" Target="https://zakupivli.pro/gov/tenders/UA-2024-01-08-004546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1438" Type="http://schemas.openxmlformats.org/officeDocument/2006/relationships/hyperlink" Target="https://zakupivli.pro/gov/tenders/ua-2024-11-08-002662-a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1200" Type="http://schemas.openxmlformats.org/officeDocument/2006/relationships/hyperlink" Target="https://my.zakupivli.pro/remote/dispatcher/state_purchase_view/52153166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1491" Type="http://schemas.openxmlformats.org/officeDocument/2006/relationships/hyperlink" Target="https://my.zakupivli.pro/remote/dispatcher/state_purchase_view/55174014" TargetMode="External"/><Relationship Id="rId1505" Type="http://schemas.openxmlformats.org/officeDocument/2006/relationships/hyperlink" Target="https://my.zakupivli.pro/remote/dispatcher/state_purchase_view/55397586" TargetMode="External"/><Relationship Id="rId1589" Type="http://schemas.openxmlformats.org/officeDocument/2006/relationships/hyperlink" Target="https://my.zakupivli.pro/remote/dispatcher/state_purchase_view/56341932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1449" Type="http://schemas.openxmlformats.org/officeDocument/2006/relationships/hyperlink" Target="https://my.zakupivli.pro/remote/dispatcher/state_purchase_view/54820777" TargetMode="External"/><Relationship Id="rId88" Type="http://schemas.openxmlformats.org/officeDocument/2006/relationships/hyperlink" Target="https://my.zakupki.prom.ua/remote/dispatcher/state_purchase_view/41204144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1309" Type="http://schemas.openxmlformats.org/officeDocument/2006/relationships/hyperlink" Target="https://zakupivli.pro/gov/tenders/UA-2024-08-09-003010-a" TargetMode="External"/><Relationship Id="rId1516" Type="http://schemas.openxmlformats.org/officeDocument/2006/relationships/hyperlink" Target="https://zakupivli.pro/gov/tenders/ua-2024-12-16-012483-a" TargetMode="External"/><Relationship Id="rId15" Type="http://schemas.openxmlformats.org/officeDocument/2006/relationships/hyperlink" Target="https://my.zakupki.prom.ua/remote/dispatcher/state_purchase_view/39591644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99" Type="http://schemas.openxmlformats.org/officeDocument/2006/relationships/hyperlink" Target="https://my.zakupki.prom.ua/remote/dispatcher/state_purchase_view/41077146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Relationship Id="rId1527" Type="http://schemas.openxmlformats.org/officeDocument/2006/relationships/hyperlink" Target="https://zakupivli.pro/gov/tenders/ua-2024-12-17-016908-a/lot-47b80c82df264fb6bba9e168a480914e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1580" Type="http://schemas.openxmlformats.org/officeDocument/2006/relationships/hyperlink" Target="https://zakupivli.pro/gov/tenders/ua-2025-01-03-000698-a" TargetMode="External"/><Relationship Id="rId382" Type="http://schemas.openxmlformats.org/officeDocument/2006/relationships/hyperlink" Target="https://my.zakupki.prom.ua/remote/dispatcher/state_purchase_view/44300695" TargetMode="External"/><Relationship Id="rId603" Type="http://schemas.openxmlformats.org/officeDocument/2006/relationships/hyperlink" Target="https://my.zakupivli.pro/remote/dispatcher/state_purchase_view/48421027" TargetMode="External"/><Relationship Id="rId687" Type="http://schemas.openxmlformats.org/officeDocument/2006/relationships/hyperlink" Target="https://zakupivli.pro/gov/tenders/UA-2024-01-31-008115-a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1440" Type="http://schemas.openxmlformats.org/officeDocument/2006/relationships/hyperlink" Target="https://my.zakupivli.pro/remote/dispatcher/state_purchase_view/54732542" TargetMode="External"/><Relationship Id="rId1538" Type="http://schemas.openxmlformats.org/officeDocument/2006/relationships/hyperlink" Target="https://zakupivli.pro/gov/tenders/ua-2024-12-19-013809-a/lot-996ccce8132043d0b711cfba2c2aab7f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37" Type="http://schemas.openxmlformats.org/officeDocument/2006/relationships/hyperlink" Target="https://my.zakupki.prom.ua/remote/dispatcher/state_purchase_view/41520898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1591" Type="http://schemas.openxmlformats.org/officeDocument/2006/relationships/hyperlink" Target="https://zakupivli.pro/gov/tenders/ua-2025-01-03-004740-a/lot-70092edfd275441faa65347500714538" TargetMode="External"/><Relationship Id="rId1605" Type="http://schemas.openxmlformats.org/officeDocument/2006/relationships/hyperlink" Target="https://my.zakupivli.pro/remote/dispatcher/state_purchase_view/56533770" TargetMode="External"/><Relationship Id="rId90" Type="http://schemas.openxmlformats.org/officeDocument/2006/relationships/hyperlink" Target="https://my.zakupki.prom.ua/remote/dispatcher/state_purchase_view/41193065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1451" Type="http://schemas.openxmlformats.org/officeDocument/2006/relationships/hyperlink" Target="https://my.zakupivli.pro/remote/dispatcher/state_purchase_view/54820495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919" Type="http://schemas.openxmlformats.org/officeDocument/2006/relationships/hyperlink" Target="https://zakupivli.pro/gov/tenders/UA-2024-03-05-002444-a" TargetMode="External"/><Relationship Id="rId1090" Type="http://schemas.openxmlformats.org/officeDocument/2006/relationships/hyperlink" Target="https://my.zakupivli.pro/remote/dispatcher/state_purchase_view/50942400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1549" Type="http://schemas.openxmlformats.org/officeDocument/2006/relationships/hyperlink" Target="https://zakupivli.pro/gov/tenders/ua-2024-12-24-017756-a/lot-aadf24d394f0401fbdb306221bfe5c69" TargetMode="External"/><Relationship Id="rId48" Type="http://schemas.openxmlformats.org/officeDocument/2006/relationships/hyperlink" Target="https://my.zakupki.prom.ua/remote/dispatcher/state_purchase_view/41519534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395" Type="http://schemas.openxmlformats.org/officeDocument/2006/relationships/hyperlink" Target="https://my.zakupivli.pro/remote/dispatcher/state_purchase_view/54376354" TargetMode="External"/><Relationship Id="rId1409" Type="http://schemas.openxmlformats.org/officeDocument/2006/relationships/hyperlink" Target="https://zakupivli.pro/gov/tenders/ua-2024-10-30-005005-a" TargetMode="External"/><Relationship Id="rId1616" Type="http://schemas.openxmlformats.org/officeDocument/2006/relationships/hyperlink" Target="https://my.zakupivli.pro/remote/dispatcher/state_purchase_view/56598991" TargetMode="External"/><Relationship Id="rId197" Type="http://schemas.openxmlformats.org/officeDocument/2006/relationships/hyperlink" Target="https://zakupki.prom.ua/gov/tenders/UA-2023-03-22-010199-a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1462" Type="http://schemas.openxmlformats.org/officeDocument/2006/relationships/hyperlink" Target="https://zakupivli.pro/gov/tenders/ua-2024-11-14-014309-a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59" Type="http://schemas.openxmlformats.org/officeDocument/2006/relationships/hyperlink" Target="https://my.zakupki.prom.ua/remote/dispatcher/state_purchase_view/41427937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1627" Type="http://schemas.openxmlformats.org/officeDocument/2006/relationships/hyperlink" Target="https://zakupivli.pro/gov/tenders/ua-2025-01-20-013715-a/lot-93e866fc5ade43b8ac57ab7bb20be4f7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1473" Type="http://schemas.openxmlformats.org/officeDocument/2006/relationships/hyperlink" Target="https://my.zakupivli.pro/remote/dispatcher/state_purchase_view/54855962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540" Type="http://schemas.openxmlformats.org/officeDocument/2006/relationships/hyperlink" Target="https://my.zakupivli.pro/remote/dispatcher/state_purchase_view/56008163" TargetMode="External"/><Relationship Id="rId1638" Type="http://schemas.openxmlformats.org/officeDocument/2006/relationships/hyperlink" Target="https://zakupivli.pro/gov/tenders/ua-2025-01-21-013373-a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1400" Type="http://schemas.openxmlformats.org/officeDocument/2006/relationships/hyperlink" Target="https://zakupivli.pro/gov/tenders/ua-2024-10-29-008170-a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1484" Type="http://schemas.openxmlformats.org/officeDocument/2006/relationships/hyperlink" Target="https://zakupivli.pro/gov/tenders/ua-2024-11-22-008839-a" TargetMode="External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1551" Type="http://schemas.openxmlformats.org/officeDocument/2006/relationships/hyperlink" Target="https://my.zakupivli.pro/remote/dispatcher/state_purchase_view/56178120" TargetMode="External"/><Relationship Id="rId50" Type="http://schemas.openxmlformats.org/officeDocument/2006/relationships/hyperlink" Target="https://my.zakupki.prom.ua/remote/dispatcher/state_purchase_view/41519085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1204" Type="http://schemas.openxmlformats.org/officeDocument/2006/relationships/hyperlink" Target="https://zakupivli.pro/gov/tenders/UA-2024-07-15-002322-a" TargetMode="External"/><Relationship Id="rId1411" Type="http://schemas.openxmlformats.org/officeDocument/2006/relationships/hyperlink" Target="https://my.zakupivli.pro/remote/dispatcher/state_purchase_view/54470389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1495" Type="http://schemas.openxmlformats.org/officeDocument/2006/relationships/hyperlink" Target="https://my.zakupivli.pro/remote/dispatcher/state_purchase_view/55499643" TargetMode="External"/><Relationship Id="rId1509" Type="http://schemas.openxmlformats.org/officeDocument/2006/relationships/hyperlink" Target="https://zakupivli.pro/gov/tenders/ua-2024-12-05-016124-a/lot-5b948d2d35fa4166a57eeab1785cc6de" TargetMode="External"/><Relationship Id="rId297" Type="http://schemas.openxmlformats.org/officeDocument/2006/relationships/hyperlink" Target="https://my.zakupki.prom.ua/remote/dispatcher/state_purchase_view/41816730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62" Type="http://schemas.openxmlformats.org/officeDocument/2006/relationships/hyperlink" Target="https://my.zakupivli.pro/remote/dispatcher/state_purchase_view/56208279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1422" Type="http://schemas.openxmlformats.org/officeDocument/2006/relationships/hyperlink" Target="https://zakupivli.pro/gov/tenders/ua-2024-11-01-000272-a" TargetMode="External"/><Relationship Id="rId61" Type="http://schemas.openxmlformats.org/officeDocument/2006/relationships/hyperlink" Target="https://my.zakupki.prom.ua/remote/dispatcher/state_purchase_view/41427101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19" Type="http://schemas.openxmlformats.org/officeDocument/2006/relationships/hyperlink" Target="https://my.zakupki.prom.ua/remote/dispatcher/state_purchase_view/40092152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1573" Type="http://schemas.openxmlformats.org/officeDocument/2006/relationships/hyperlink" Target="https://zakupivli.pro/gov/tenders/ua-2024-12-30-006675-a/lot-b79a8ddabf8343659b9fd9e960942b9c" TargetMode="External"/><Relationship Id="rId72" Type="http://schemas.openxmlformats.org/officeDocument/2006/relationships/hyperlink" Target="https://my.zakupki.prom.ua/remote/dispatcher/state_purchase_view/41363968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1433" Type="http://schemas.openxmlformats.org/officeDocument/2006/relationships/hyperlink" Target="https://zakupivli.pro/gov/tenders/ua-2024-11-07-003266-a" TargetMode="External"/><Relationship Id="rId1640" Type="http://schemas.openxmlformats.org/officeDocument/2006/relationships/hyperlink" Target="https://zakupivli.pro/gov/tenders/ua-2025-01-21-000895-a/lot-72cf47d587464486b68684e7ea013d5e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1500" Type="http://schemas.openxmlformats.org/officeDocument/2006/relationships/hyperlink" Target="https://zakupivli.pro/gov/tenders/ua-2024-12-06-014140-a/lot-628c39fa42db430685f2c3e79f0a736d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1584" Type="http://schemas.openxmlformats.org/officeDocument/2006/relationships/hyperlink" Target="https://zakupivli.pro/gov/tenders/ua-2025-01-02-001786-a" TargetMode="External"/><Relationship Id="rId83" Type="http://schemas.openxmlformats.org/officeDocument/2006/relationships/hyperlink" Target="https://my.zakupki.prom.ua/remote/dispatcher/state_purchase_view/41235144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1444" Type="http://schemas.openxmlformats.org/officeDocument/2006/relationships/hyperlink" Target="https://my.zakupivli.pro/remote/dispatcher/state_purchase_view/54822874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1304" Type="http://schemas.openxmlformats.org/officeDocument/2006/relationships/hyperlink" Target="https://zakupivli.pro/gov/tenders/UA-2024-08-15-004128-a" TargetMode="External"/><Relationship Id="rId1511" Type="http://schemas.openxmlformats.org/officeDocument/2006/relationships/hyperlink" Target="https://zakupivli.pro/gov/tenders/ua-2024-12-04-012135-a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595" Type="http://schemas.openxmlformats.org/officeDocument/2006/relationships/hyperlink" Target="https://zakupivli.pro/gov/tenders/ua-2025-01-03-003984-a/lot-decf2d07245e4d41802cc4d48de309e9" TargetMode="External"/><Relationship Id="rId1609" Type="http://schemas.openxmlformats.org/officeDocument/2006/relationships/hyperlink" Target="https://zakupivli.pro/gov/tenders/ua-2025-01-14-013229-a/lot-6c40ccac7e5b4631b61b742e9587204f" TargetMode="External"/><Relationship Id="rId10" Type="http://schemas.openxmlformats.org/officeDocument/2006/relationships/hyperlink" Target="https://zakupki.prom.ua/gov/tenders/UA-2022-11-17-012395-a" TargetMode="External"/><Relationship Id="rId94" Type="http://schemas.openxmlformats.org/officeDocument/2006/relationships/hyperlink" Target="https://my.zakupki.prom.ua/remote/dispatcher/state_purchase_view/41190348" TargetMode="External"/><Relationship Id="rId397" Type="http://schemas.openxmlformats.org/officeDocument/2006/relationships/hyperlink" Target="https://zakupki.prom.ua/gov/tenders/UA-2023-07-13-000492-a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1455" Type="http://schemas.openxmlformats.org/officeDocument/2006/relationships/hyperlink" Target="https://my.zakupivli.pro/remote/dispatcher/state_purchase_view/54797048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10" Type="http://schemas.openxmlformats.org/officeDocument/2006/relationships/hyperlink" Target="https://zakupivli.pro/gov/tenders/UA-2024-04-01-005782-a" TargetMode="External"/><Relationship Id="rId1094" Type="http://schemas.openxmlformats.org/officeDocument/2006/relationships/hyperlink" Target="https://my.zakupivli.pro/remote/dispatcher/state_purchase_view/50933225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1399" Type="http://schemas.openxmlformats.org/officeDocument/2006/relationships/hyperlink" Target="https://zakupivli.pro/gov/tenders/ua-2024-10-29-008424-a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1466" Type="http://schemas.openxmlformats.org/officeDocument/2006/relationships/hyperlink" Target="https://zakupivli.pro/gov/tenders/ua-2024-11-14-014016-a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1533" Type="http://schemas.openxmlformats.org/officeDocument/2006/relationships/hyperlink" Target="https://my.zakupivli.pro/remote/dispatcher/state_purchase_view/55969608" TargetMode="External"/><Relationship Id="rId32" Type="http://schemas.openxmlformats.org/officeDocument/2006/relationships/hyperlink" Target="https://my.zakupki.prom.ua/remote/dispatcher/state_purchase_view/41563913" TargetMode="External"/><Relationship Id="rId1600" Type="http://schemas.openxmlformats.org/officeDocument/2006/relationships/hyperlink" Target="https://my.zakupivli.pro/remote/dispatcher/state_purchase_view/56394826" TargetMode="External"/><Relationship Id="rId181" Type="http://schemas.openxmlformats.org/officeDocument/2006/relationships/hyperlink" Target="https://zakupki.prom.ua/gov/tenders/UA-2023-03-20-010476-a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hyperlink" Target="https://my.zakupivli.pro/remote/dispatcher/state_purchase_view/54304558" TargetMode="External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1488" Type="http://schemas.openxmlformats.org/officeDocument/2006/relationships/hyperlink" Target="https://zakupivli.pro/gov/tenders/ua-2024-11-26-016347-a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555" Type="http://schemas.openxmlformats.org/officeDocument/2006/relationships/hyperlink" Target="https://zakupivli.pro/gov/tenders/ua-2024-12-25-010078-a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1415" Type="http://schemas.openxmlformats.org/officeDocument/2006/relationships/hyperlink" Target="https://my.zakupivli.pro/remote/dispatcher/state_purchase_view/54453220" TargetMode="External"/><Relationship Id="rId54" Type="http://schemas.openxmlformats.org/officeDocument/2006/relationships/hyperlink" Target="https://my.zakupki.prom.ua/remote/dispatcher/state_purchase_view/41434270" TargetMode="External"/><Relationship Id="rId1622" Type="http://schemas.openxmlformats.org/officeDocument/2006/relationships/hyperlink" Target="https://my.zakupivli.pro/remote/dispatcher/state_purchase_view/56624862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1577" Type="http://schemas.openxmlformats.org/officeDocument/2006/relationships/hyperlink" Target="https://my.zakupivli.pro/remote/dispatcher/state_purchase_view/56325016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1437" Type="http://schemas.openxmlformats.org/officeDocument/2006/relationships/hyperlink" Target="https://zakupivli.pro/gov/tenders/ua-2024-11-08-003305-a" TargetMode="External"/><Relationship Id="rId1504" Type="http://schemas.openxmlformats.org/officeDocument/2006/relationships/hyperlink" Target="https://my.zakupivli.pro/remote/dispatcher/state_purchase_view/55452603" TargetMode="External"/><Relationship Id="rId292" Type="http://schemas.openxmlformats.org/officeDocument/2006/relationships/hyperlink" Target="https://zakupki.prom.ua/gov/tenders/UA-2023-04-04-000779-a" TargetMode="External"/><Relationship Id="rId597" Type="http://schemas.openxmlformats.org/officeDocument/2006/relationships/hyperlink" Target="https://my.zakupivli.pro/remote/dispatcher/state_purchase_view/48328528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1599" Type="http://schemas.openxmlformats.org/officeDocument/2006/relationships/hyperlink" Target="https://my.zakupivli.pro/remote/dispatcher/state_purchase_view/56394826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1459" Type="http://schemas.openxmlformats.org/officeDocument/2006/relationships/hyperlink" Target="https://zakupivli.pro/gov/tenders/ua-2024-11-14-014524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319" Type="http://schemas.openxmlformats.org/officeDocument/2006/relationships/hyperlink" Target="https://my.zakupivli.pro/remote/dispatcher/state_purchase_view/53189619" TargetMode="External"/><Relationship Id="rId1526" Type="http://schemas.openxmlformats.org/officeDocument/2006/relationships/hyperlink" Target="https://zakupivli.pro/gov/tenders/ua-2024-12-17-016908-a/lot-e99018e179d04c2f89fc2b4dc1cc8ca4" TargetMode="External"/><Relationship Id="rId25" Type="http://schemas.openxmlformats.org/officeDocument/2006/relationships/hyperlink" Target="https://zakupki.prom.ua/gov/tenders/UA-2023-01-17-001056-a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1590" Type="http://schemas.openxmlformats.org/officeDocument/2006/relationships/hyperlink" Target="https://my.zakupivli.pro/remote/dispatcher/state_purchase_view/56341932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450" Type="http://schemas.openxmlformats.org/officeDocument/2006/relationships/hyperlink" Target="https://my.zakupivli.pro/remote/dispatcher/state_purchase_view/54820687" TargetMode="External"/><Relationship Id="rId1548" Type="http://schemas.openxmlformats.org/officeDocument/2006/relationships/hyperlink" Target="https://my.zakupivli.pro/remote/dispatcher/state_purchase_view/56149918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1408" Type="http://schemas.openxmlformats.org/officeDocument/2006/relationships/hyperlink" Target="https://zakupivli.pro/gov/tenders/ua-2024-10-30-006594-a" TargetMode="External"/><Relationship Id="rId47" Type="http://schemas.openxmlformats.org/officeDocument/2006/relationships/hyperlink" Target="https://my.zakupki.prom.ua/remote/dispatcher/state_purchase_view/41519552" TargetMode="External"/><Relationship Id="rId1615" Type="http://schemas.openxmlformats.org/officeDocument/2006/relationships/hyperlink" Target="https://my.zakupivli.pro/remote/dispatcher/state_purchase_view/56611663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1472" Type="http://schemas.openxmlformats.org/officeDocument/2006/relationships/hyperlink" Target="https://my.zakupivli.pro/remote/dispatcher/state_purchase_view/54856228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69" Type="http://schemas.openxmlformats.org/officeDocument/2006/relationships/hyperlink" Target="https://my.zakupki.prom.ua/remote/dispatcher/state_purchase_view/41385730" TargetMode="External"/><Relationship Id="rId1637" Type="http://schemas.openxmlformats.org/officeDocument/2006/relationships/hyperlink" Target="https://zakupivli.pro/gov/tenders/ua-2025-01-21-014078-a/lot-8e9785c165fc4832b117a5b31bbb9abc" TargetMode="External"/><Relationship Id="rId285" Type="http://schemas.openxmlformats.org/officeDocument/2006/relationships/hyperlink" Target="https://zakupki.prom.ua/gov/tenders/UA-2023-04-03-010561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1494" Type="http://schemas.openxmlformats.org/officeDocument/2006/relationships/hyperlink" Target="https://my.zakupivli.pro/remote/dispatcher/state_purchase_view/55499913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1561" Type="http://schemas.openxmlformats.org/officeDocument/2006/relationships/hyperlink" Target="https://my.zakupivli.pro/remote/dispatcher/state_purchase_view/56211568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421" Type="http://schemas.openxmlformats.org/officeDocument/2006/relationships/hyperlink" Target="https://zakupivli.pro/gov/tenders/ua-2024-11-01-000327-a" TargetMode="External"/><Relationship Id="rId1519" Type="http://schemas.openxmlformats.org/officeDocument/2006/relationships/hyperlink" Target="https://my.zakupivli.pro/remote/dispatcher/state_purchase_view/55863477" TargetMode="External"/><Relationship Id="rId18" Type="http://schemas.openxmlformats.org/officeDocument/2006/relationships/hyperlink" Target="https://my.zakupki.prom.ua/remote/dispatcher/state_purchase_view/40092155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1583" Type="http://schemas.openxmlformats.org/officeDocument/2006/relationships/hyperlink" Target="https://zakupivli.pro/gov/tenders/ua-2025-01-02-003891-a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443" Type="http://schemas.openxmlformats.org/officeDocument/2006/relationships/hyperlink" Target="https://zakupivli.pro/gov/tenders/ua-2024-11-12-010311-a" TargetMode="External"/><Relationship Id="rId1303" Type="http://schemas.openxmlformats.org/officeDocument/2006/relationships/hyperlink" Target="https://zakupivli.pro/gov/tenders/UA-2024-08-15-004257-a" TargetMode="External"/><Relationship Id="rId1510" Type="http://schemas.openxmlformats.org/officeDocument/2006/relationships/hyperlink" Target="https://zakupivli.pro/gov/tenders/ua-2024-12-05-015239-a/lot-1187ee375879455ba98b9232d0729d74" TargetMode="External"/><Relationship Id="rId1608" Type="http://schemas.openxmlformats.org/officeDocument/2006/relationships/hyperlink" Target="https://my.zakupivli.pro/remote/dispatcher/state_purchase_view/56511166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1398" Type="http://schemas.openxmlformats.org/officeDocument/2006/relationships/hyperlink" Target="https://zakupivli.pro/gov/tenders/ua-2024-10-29-008676-a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465" Type="http://schemas.openxmlformats.org/officeDocument/2006/relationships/hyperlink" Target="https://zakupivli.pro/gov/tenders/ua-2024-11-14-014034-a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1532" Type="http://schemas.openxmlformats.org/officeDocument/2006/relationships/hyperlink" Target="https://my.zakupivli.pro/remote/dispatcher/state_purchase_view/55973222" TargetMode="External"/><Relationship Id="rId902" Type="http://schemas.openxmlformats.org/officeDocument/2006/relationships/hyperlink" Target="https://my.zakupivli.pro/remote/dispatcher/state_purchase_view/49571405" TargetMode="External"/><Relationship Id="rId31" Type="http://schemas.openxmlformats.org/officeDocument/2006/relationships/hyperlink" Target="https://my.zakupki.prom.ua/remote/dispatcher/state_purchase_view/41576956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1487" Type="http://schemas.openxmlformats.org/officeDocument/2006/relationships/hyperlink" Target="https://my.zakupivli.pro/remote/dispatcher/state_purchase_view/55139944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1554" Type="http://schemas.openxmlformats.org/officeDocument/2006/relationships/hyperlink" Target="https://my.zakupivli.pro/remote/dispatcher/state_purchase_view/56156900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1414" Type="http://schemas.openxmlformats.org/officeDocument/2006/relationships/hyperlink" Target="https://my.zakupivli.pro/remote/dispatcher/state_purchase_view/54453325" TargetMode="External"/><Relationship Id="rId1621" Type="http://schemas.openxmlformats.org/officeDocument/2006/relationships/hyperlink" Target="https://zakupivli.pro/gov/tenders/ua-2025-01-16-005354-a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1576" Type="http://schemas.openxmlformats.org/officeDocument/2006/relationships/hyperlink" Target="https://my.zakupivli.pro/remote/dispatcher/state_purchase_view/56333751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1436" Type="http://schemas.openxmlformats.org/officeDocument/2006/relationships/hyperlink" Target="https://my.zakupivli.pro/remote/dispatcher/state_purchase_view/54634822" TargetMode="External"/><Relationship Id="rId1503" Type="http://schemas.openxmlformats.org/officeDocument/2006/relationships/hyperlink" Target="https://my.zakupivli.pro/remote/dispatcher/state_purchase_view/55454423" TargetMode="External"/><Relationship Id="rId291" Type="http://schemas.openxmlformats.org/officeDocument/2006/relationships/hyperlink" Target="https://zakupki.prom.ua/gov/tenders/UA-2023-04-04-000680-a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1598" Type="http://schemas.openxmlformats.org/officeDocument/2006/relationships/hyperlink" Target="https://my.zakupivli.pro/remote/dispatcher/state_purchase_view/56409739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458" Type="http://schemas.openxmlformats.org/officeDocument/2006/relationships/hyperlink" Target="https://zakupivli.pro/gov/tenders/ua-2024-11-14-014888-a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1525" Type="http://schemas.openxmlformats.org/officeDocument/2006/relationships/hyperlink" Target="https://zakupivli.pro/gov/tenders/ua-2024-12-17-016908-a/lot-3e531e5cd5e8429a83f954cc68e1da17" TargetMode="External"/><Relationship Id="rId24" Type="http://schemas.openxmlformats.org/officeDocument/2006/relationships/hyperlink" Target="https://zakupki.prom.ua/gov/tenders/UA-2023-01-17-001062-a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1547" Type="http://schemas.openxmlformats.org/officeDocument/2006/relationships/hyperlink" Target="https://zakupivli.pro/gov/tenders/ua-2024-12-23-005679-a" TargetMode="External"/><Relationship Id="rId46" Type="http://schemas.openxmlformats.org/officeDocument/2006/relationships/hyperlink" Target="https://my.zakupki.prom.ua/remote/dispatcher/state_purchase_view/41519653" TargetMode="External"/><Relationship Id="rId1407" Type="http://schemas.openxmlformats.org/officeDocument/2006/relationships/hyperlink" Target="https://zakupivli.pro/gov/tenders/ua-2024-10-30-007410-a" TargetMode="External"/><Relationship Id="rId1614" Type="http://schemas.openxmlformats.org/officeDocument/2006/relationships/hyperlink" Target="https://my.zakupivli.pro/remote/dispatcher/state_purchase_view/56621501" TargetMode="External"/><Relationship Id="rId195" Type="http://schemas.openxmlformats.org/officeDocument/2006/relationships/hyperlink" Target="https://zakupki.prom.ua/gov/tenders/UA-2023-03-21-011539-a/lot-80249b19db9144f998b08b5945f2f216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97" Type="http://schemas.openxmlformats.org/officeDocument/2006/relationships/hyperlink" Target="https://zakupivli.pro/gov/tenders/UA-2024-07-08-006915-a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1471" Type="http://schemas.openxmlformats.org/officeDocument/2006/relationships/hyperlink" Target="https://my.zakupivli.pro/remote/dispatcher/state_purchase_view/54856641" TargetMode="External"/><Relationship Id="rId1569" Type="http://schemas.openxmlformats.org/officeDocument/2006/relationships/hyperlink" Target="https://zakupivli.pro/gov/tenders/ua-2024-12-26-007271-a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68" Type="http://schemas.openxmlformats.org/officeDocument/2006/relationships/hyperlink" Target="https://my.zakupki.prom.ua/remote/dispatcher/state_purchase_view/41401307" TargetMode="External"/><Relationship Id="rId1429" Type="http://schemas.openxmlformats.org/officeDocument/2006/relationships/hyperlink" Target="https://zakupivli.pro/gov/tenders/ua-2024-11-06-015235-a/lot-d69c8c45ec2f4c0fa5a82cd614829419" TargetMode="External"/><Relationship Id="rId1636" Type="http://schemas.openxmlformats.org/officeDocument/2006/relationships/hyperlink" Target="https://zakupivli.pro/gov/tenders/ua-2025-01-21-018552-a/lot-e49d6d865e6546d0964a02a5429b1c96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1493" Type="http://schemas.openxmlformats.org/officeDocument/2006/relationships/hyperlink" Target="https://zakupivli.pro/gov/tenders/ua-2024-11-27-005230-a" TargetMode="External"/><Relationship Id="rId211" Type="http://schemas.openxmlformats.org/officeDocument/2006/relationships/hyperlink" Target="https://my.zakupki.prom.ua/remote/dispatcher/state_purchase_view/41649991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560" Type="http://schemas.openxmlformats.org/officeDocument/2006/relationships/hyperlink" Target="https://my.zakupivli.pro/remote/dispatcher/state_purchase_view/56211568" TargetMode="External"/><Relationship Id="rId1213" Type="http://schemas.openxmlformats.org/officeDocument/2006/relationships/hyperlink" Target="https://my.zakupivli.pro/remote/dispatcher/state_purchase_view/52266655" TargetMode="External"/><Relationship Id="rId1420" Type="http://schemas.openxmlformats.org/officeDocument/2006/relationships/hyperlink" Target="https://zakupivli.pro/gov/tenders/ua-2024-11-01-000488-a" TargetMode="External"/><Relationship Id="rId1518" Type="http://schemas.openxmlformats.org/officeDocument/2006/relationships/hyperlink" Target="https://my.zakupivli.pro/remote/dispatcher/state_purchase_view/55872274" TargetMode="External"/><Relationship Id="rId17" Type="http://schemas.openxmlformats.org/officeDocument/2006/relationships/hyperlink" Target="https://my.zakupki.prom.ua/remote/dispatcher/state_purchase_view/39730352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1582" Type="http://schemas.openxmlformats.org/officeDocument/2006/relationships/hyperlink" Target="https://zakupivli.pro/gov/tenders/ua-2025-01-03-000294-a" TargetMode="External"/><Relationship Id="rId81" Type="http://schemas.openxmlformats.org/officeDocument/2006/relationships/hyperlink" Target="https://my.zakupki.prom.ua/remote/dispatcher/state_purchase_view/41328752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1442" Type="http://schemas.openxmlformats.org/officeDocument/2006/relationships/hyperlink" Target="https://zakupivli.pro/gov/tenders/ua-2024-11-12-010433-a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39" Type="http://schemas.openxmlformats.org/officeDocument/2006/relationships/hyperlink" Target="https://my.zakupki.prom.ua/remote/dispatcher/state_purchase_view/41520444" TargetMode="External"/><Relationship Id="rId1607" Type="http://schemas.openxmlformats.org/officeDocument/2006/relationships/hyperlink" Target="https://my.zakupivli.pro/remote/dispatcher/state_purchase_view/56511166" TargetMode="External"/><Relationship Id="rId188" Type="http://schemas.openxmlformats.org/officeDocument/2006/relationships/hyperlink" Target="https://zakupki.prom.ua/gov/tenders/UA-2023-03-20-010114-a" TargetMode="External"/><Relationship Id="rId395" Type="http://schemas.openxmlformats.org/officeDocument/2006/relationships/hyperlink" Target="https://my.zakupki.prom.ua/remote/dispatcher/state_purchase_view/43867505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397" Type="http://schemas.openxmlformats.org/officeDocument/2006/relationships/hyperlink" Target="https://my.zakupivli.pro/remote/dispatcher/state_purchase_view/54362853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1464" Type="http://schemas.openxmlformats.org/officeDocument/2006/relationships/hyperlink" Target="https://zakupivli.pro/gov/tenders/ua-2024-11-14-014124-a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1531" Type="http://schemas.openxmlformats.org/officeDocument/2006/relationships/hyperlink" Target="https://my.zakupivli.pro/remote/dispatcher/state_purchase_view/55973222" TargetMode="External"/><Relationship Id="rId30" Type="http://schemas.openxmlformats.org/officeDocument/2006/relationships/hyperlink" Target="https://my.zakupki.prom.ua/remote/dispatcher/state_purchase_view/40518990" TargetMode="External"/><Relationship Id="rId1629" Type="http://schemas.openxmlformats.org/officeDocument/2006/relationships/hyperlink" Target="https://my.zakupivli.pro/remote/dispatcher/state_purchase_view/56767093" TargetMode="External"/><Relationship Id="rId277" Type="http://schemas.openxmlformats.org/officeDocument/2006/relationships/hyperlink" Target="https://my.zakupki.prom.ua/remote/dispatcher/state_purchase_view/41776988" TargetMode="External"/><Relationship Id="rId484" Type="http://schemas.openxmlformats.org/officeDocument/2006/relationships/hyperlink" Target="https://zakupki.prom.ua/gov/plans/UA-P-2023-09-22-000194-b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96" Type="http://schemas.openxmlformats.org/officeDocument/2006/relationships/hyperlink" Target="https://my.zakupivli.pro/remote/dispatcher/state_purchase_view/49990340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486" Type="http://schemas.openxmlformats.org/officeDocument/2006/relationships/hyperlink" Target="https://my.zakupivli.pro/remote/dispatcher/state_purchase_view/55155829" TargetMode="External"/><Relationship Id="rId204" Type="http://schemas.openxmlformats.org/officeDocument/2006/relationships/hyperlink" Target="https://zakupki.prom.ua/gov/tenders/UA-2023-03-23-010434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1553" Type="http://schemas.openxmlformats.org/officeDocument/2006/relationships/hyperlink" Target="https://my.zakupivli.pro/remote/dispatcher/state_purchase_view/56157266" TargetMode="External"/><Relationship Id="rId52" Type="http://schemas.openxmlformats.org/officeDocument/2006/relationships/hyperlink" Target="https://my.zakupki.prom.ua/remote/dispatcher/state_purchase_view/41510975" TargetMode="External"/><Relationship Id="rId1206" Type="http://schemas.openxmlformats.org/officeDocument/2006/relationships/hyperlink" Target="https://my.zakupivli.pro/remote/dispatcher/state_purchase_view/52186008" TargetMode="External"/><Relationship Id="rId1413" Type="http://schemas.openxmlformats.org/officeDocument/2006/relationships/hyperlink" Target="https://my.zakupivli.pro/remote/dispatcher/state_purchase_view/54453684" TargetMode="External"/><Relationship Id="rId1620" Type="http://schemas.openxmlformats.org/officeDocument/2006/relationships/hyperlink" Target="https://zakupivli.pro/gov/tenders/ua-2025-01-16-005603-a" TargetMode="External"/><Relationship Id="rId299" Type="http://schemas.openxmlformats.org/officeDocument/2006/relationships/hyperlink" Target="https://my.zakupki.prom.ua/remote/dispatcher/state_purchase_view/41781166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1575" Type="http://schemas.openxmlformats.org/officeDocument/2006/relationships/hyperlink" Target="https://my.zakupivli.pro/remote/dispatcher/state_purchase_view/56334419" TargetMode="External"/><Relationship Id="rId74" Type="http://schemas.openxmlformats.org/officeDocument/2006/relationships/hyperlink" Target="https://my.zakupki.prom.ua/remote/dispatcher/state_purchase_view/41336632" TargetMode="External"/><Relationship Id="rId500" Type="http://schemas.openxmlformats.org/officeDocument/2006/relationships/hyperlink" Target="https://zakupivli.pro/gov/tenders/UA-2023-10-10-013153-a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1435" Type="http://schemas.openxmlformats.org/officeDocument/2006/relationships/hyperlink" Target="https://my.zakupivli.pro/remote/dispatcher/state_purchase_view/54640544" TargetMode="External"/><Relationship Id="rId1642" Type="http://schemas.openxmlformats.org/officeDocument/2006/relationships/printerSettings" Target="../printerSettings/printerSettings1.bin"/><Relationship Id="rId1502" Type="http://schemas.openxmlformats.org/officeDocument/2006/relationships/hyperlink" Target="https://my.zakupivli.pro/remote/dispatcher/state_purchase_view/55492800" TargetMode="External"/><Relationship Id="rId290" Type="http://schemas.openxmlformats.org/officeDocument/2006/relationships/hyperlink" Target="https://zakupki.prom.ua/gov/tenders/UA-2023-04-04-000406-a" TargetMode="External"/><Relationship Id="rId388" Type="http://schemas.openxmlformats.org/officeDocument/2006/relationships/hyperlink" Target="https://my.zakupki.prom.ua/remote/dispatcher/state_purchase_view/44182962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1597" Type="http://schemas.openxmlformats.org/officeDocument/2006/relationships/hyperlink" Target="https://zakupivli.pro/gov/tenders/ua-2025-01-07-003941-a/lot-b62fd9b22d1245d9a8b4c094ea7037e6" TargetMode="External"/><Relationship Id="rId96" Type="http://schemas.openxmlformats.org/officeDocument/2006/relationships/hyperlink" Target="https://my.zakupki.prom.ua/remote/dispatcher/state_purchase_view/41189546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1457" Type="http://schemas.openxmlformats.org/officeDocument/2006/relationships/hyperlink" Target="https://zakupivli.pro/gov/tenders/ua-2024-11-14-015224-a" TargetMode="External"/><Relationship Id="rId1317" Type="http://schemas.openxmlformats.org/officeDocument/2006/relationships/hyperlink" Target="https://zakupivli.pro/gov/tenders/UA-2024-09-06-000103-a" TargetMode="External"/><Relationship Id="rId1524" Type="http://schemas.openxmlformats.org/officeDocument/2006/relationships/hyperlink" Target="https://zakupivli.pro/gov/tenders/ua-2024-12-17-020706-a/lot-c9c271d6a6ab49e8b5d1d79964e6819d" TargetMode="External"/><Relationship Id="rId23" Type="http://schemas.openxmlformats.org/officeDocument/2006/relationships/hyperlink" Target="https://zakupki.prom.ua/gov/tenders/UA-2023-01-17-001173-a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84" Type="http://schemas.openxmlformats.org/officeDocument/2006/relationships/hyperlink" Target="https://zakupivli.pro/gov/tenders/UA-2024-01-31-007699-a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89" Type="http://schemas.openxmlformats.org/officeDocument/2006/relationships/hyperlink" Target="https://zakupivli.pro/gov/tenders/UA-2024-03-25-000827-a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479" Type="http://schemas.openxmlformats.org/officeDocument/2006/relationships/hyperlink" Target="https://zakupivli.pro/gov/tenders/ua-2024-11-15-003479-a/lot-11880c4fa9ad415190f2e963dc3ffcfd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1546" Type="http://schemas.openxmlformats.org/officeDocument/2006/relationships/hyperlink" Target="https://zakupivli.pro/gov/tenders/ua-2024-12-23-011949-a/lot-9f8ce52257bd4588893567d880c0eefb" TargetMode="External"/><Relationship Id="rId45" Type="http://schemas.openxmlformats.org/officeDocument/2006/relationships/hyperlink" Target="https://my.zakupki.prom.ua/remote/dispatcher/state_purchase_view/41519753" TargetMode="External"/><Relationship Id="rId1406" Type="http://schemas.openxmlformats.org/officeDocument/2006/relationships/hyperlink" Target="https://zakupivli.pro/gov/tenders/ua-2024-10-30-007644-a" TargetMode="External"/><Relationship Id="rId1613" Type="http://schemas.openxmlformats.org/officeDocument/2006/relationships/hyperlink" Target="https://zakupivli.pro/gov/tenders/ua-2025-01-14-003223-a/lot-ceb60723e7cf47e0a6baf1ad44570098" TargetMode="External"/><Relationship Id="rId194" Type="http://schemas.openxmlformats.org/officeDocument/2006/relationships/hyperlink" Target="https://zakupki.prom.ua/gov/tenders/UA-2023-03-20-006270-a" TargetMode="External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1470" Type="http://schemas.openxmlformats.org/officeDocument/2006/relationships/hyperlink" Target="https://my.zakupivli.pro/remote/dispatcher/state_purchase_view/54856895" TargetMode="External"/><Relationship Id="rId1568" Type="http://schemas.openxmlformats.org/officeDocument/2006/relationships/hyperlink" Target="https://zakupivli.pro/gov/tenders/ua-2024-12-26-008861-a" TargetMode="External"/><Relationship Id="rId67" Type="http://schemas.openxmlformats.org/officeDocument/2006/relationships/hyperlink" Target="https://my.zakupki.prom.ua/remote/dispatcher/state_purchase_view/41425999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428" Type="http://schemas.openxmlformats.org/officeDocument/2006/relationships/hyperlink" Target="https://my.zakupivli.pro/remote/dispatcher/state_purchase_view/54588242" TargetMode="External"/><Relationship Id="rId1635" Type="http://schemas.openxmlformats.org/officeDocument/2006/relationships/hyperlink" Target="https://zakupivli.pro/gov/tenders/ua-2025-01-21-018882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52"/>
  <sheetViews>
    <sheetView tabSelected="1" zoomScale="55" zoomScaleNormal="55" workbookViewId="0">
      <pane ySplit="4" topLeftCell="A832" activePane="bottomLeft" state="frozen"/>
      <selection pane="bottomLeft" activeCell="M840" sqref="M840"/>
    </sheetView>
  </sheetViews>
  <sheetFormatPr defaultColWidth="9.109375" defaultRowHeight="15.6" x14ac:dyDescent="0.3"/>
  <cols>
    <col min="1" max="1" width="5.109375" style="1" customWidth="1"/>
    <col min="2" max="2" width="11.5546875" style="1" customWidth="1"/>
    <col min="3" max="3" width="25.5546875" style="1" customWidth="1"/>
    <col min="4" max="4" width="24.6640625" style="1" customWidth="1"/>
    <col min="5" max="5" width="15.44140625" style="1" customWidth="1"/>
    <col min="6" max="6" width="55.109375" style="1" customWidth="1"/>
    <col min="7" max="7" width="10.33203125" style="1" customWidth="1"/>
    <col min="8" max="8" width="15.6640625" style="1" customWidth="1"/>
    <col min="9" max="9" width="11.33203125" style="1" customWidth="1"/>
    <col min="10" max="10" width="15.21875" style="1" customWidth="1"/>
    <col min="11" max="11" width="15.33203125" style="1" customWidth="1"/>
    <col min="12" max="12" width="10.33203125" style="1" customWidth="1"/>
    <col min="13" max="13" width="15.77734375" style="1" customWidth="1"/>
    <col min="14" max="14" width="38.6640625" style="1" customWidth="1"/>
    <col min="15" max="15" width="14.5546875" style="7" customWidth="1"/>
    <col min="16" max="16" width="30.5546875" style="1" customWidth="1"/>
    <col min="17" max="17" width="15" style="1" customWidth="1"/>
    <col min="18" max="18" width="13.44140625" style="1" customWidth="1"/>
    <col min="19" max="19" width="13.88671875" style="1" customWidth="1"/>
    <col min="20" max="20" width="16.6640625" style="7" customWidth="1"/>
    <col min="21" max="21" width="16.33203125" style="1" customWidth="1"/>
    <col min="22" max="22" width="15.6640625" style="1" customWidth="1"/>
    <col min="23" max="16384" width="9.109375" style="1"/>
  </cols>
  <sheetData>
    <row r="1" spans="1:22" ht="25.5" customHeight="1" x14ac:dyDescent="0.3">
      <c r="A1" s="394" t="s">
        <v>19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</row>
    <row r="2" spans="1:22" ht="99" customHeight="1" x14ac:dyDescent="0.3">
      <c r="A2" s="393" t="s">
        <v>1</v>
      </c>
      <c r="B2" s="393" t="s">
        <v>0</v>
      </c>
      <c r="C2" s="393" t="s">
        <v>29</v>
      </c>
      <c r="D2" s="393" t="s">
        <v>2</v>
      </c>
      <c r="E2" s="393" t="s">
        <v>3</v>
      </c>
      <c r="F2" s="393" t="s">
        <v>4</v>
      </c>
      <c r="G2" s="393" t="s">
        <v>5</v>
      </c>
      <c r="H2" s="393" t="s">
        <v>6</v>
      </c>
      <c r="I2" s="393"/>
      <c r="J2" s="393"/>
      <c r="K2" s="393" t="s">
        <v>7</v>
      </c>
      <c r="L2" s="393"/>
      <c r="M2" s="393"/>
      <c r="N2" s="393" t="s">
        <v>11</v>
      </c>
      <c r="O2" s="395" t="s">
        <v>12</v>
      </c>
      <c r="P2" s="393" t="s">
        <v>13</v>
      </c>
      <c r="Q2" s="393" t="s">
        <v>14</v>
      </c>
      <c r="R2" s="393"/>
      <c r="S2" s="393"/>
      <c r="T2" s="395" t="s">
        <v>16</v>
      </c>
      <c r="U2" s="393" t="s">
        <v>17</v>
      </c>
      <c r="V2" s="393" t="s">
        <v>18</v>
      </c>
    </row>
    <row r="3" spans="1:22" ht="103.8" customHeight="1" x14ac:dyDescent="0.3">
      <c r="A3" s="393"/>
      <c r="B3" s="393"/>
      <c r="C3" s="393"/>
      <c r="D3" s="393"/>
      <c r="E3" s="393"/>
      <c r="F3" s="393"/>
      <c r="G3" s="393"/>
      <c r="H3" s="30" t="s">
        <v>8</v>
      </c>
      <c r="I3" s="30" t="s">
        <v>9</v>
      </c>
      <c r="J3" s="30" t="s">
        <v>10</v>
      </c>
      <c r="K3" s="30" t="s">
        <v>8</v>
      </c>
      <c r="L3" s="30" t="s">
        <v>9</v>
      </c>
      <c r="M3" s="30" t="s">
        <v>10</v>
      </c>
      <c r="N3" s="393"/>
      <c r="O3" s="395"/>
      <c r="P3" s="393"/>
      <c r="Q3" s="30" t="s">
        <v>8</v>
      </c>
      <c r="R3" s="30" t="s">
        <v>9</v>
      </c>
      <c r="S3" s="30" t="s">
        <v>15</v>
      </c>
      <c r="T3" s="395"/>
      <c r="U3" s="393"/>
      <c r="V3" s="393"/>
    </row>
    <row r="4" spans="1:22" x14ac:dyDescent="0.3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3">
      <c r="A5" s="30">
        <v>1</v>
      </c>
      <c r="B5" s="30" t="s">
        <v>21</v>
      </c>
      <c r="C5" s="30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30">
        <v>252.33500000000001</v>
      </c>
      <c r="I5" s="30">
        <v>1</v>
      </c>
      <c r="J5" s="30">
        <f>302802/1.2/1000</f>
        <v>252.33500000000001</v>
      </c>
      <c r="K5" s="30">
        <v>252.33500000000001</v>
      </c>
      <c r="L5" s="30">
        <v>1</v>
      </c>
      <c r="M5" s="30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3">
      <c r="A6" s="30">
        <v>2</v>
      </c>
      <c r="B6" s="30" t="s">
        <v>21</v>
      </c>
      <c r="C6" s="30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2"/>
      <c r="I6" s="2">
        <v>2025</v>
      </c>
      <c r="J6" s="2">
        <f>207228/1.2/1000</f>
        <v>172.69</v>
      </c>
      <c r="K6" s="2"/>
      <c r="L6" s="30">
        <v>2025</v>
      </c>
      <c r="M6" s="30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3">
      <c r="A7" s="30">
        <v>3</v>
      </c>
      <c r="B7" s="30" t="s">
        <v>21</v>
      </c>
      <c r="C7" s="30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30"/>
      <c r="I7" s="30">
        <v>12</v>
      </c>
      <c r="J7" s="30">
        <f>128000/1.2/1000</f>
        <v>106.66666666666667</v>
      </c>
      <c r="K7" s="30"/>
      <c r="L7" s="30">
        <v>12</v>
      </c>
      <c r="M7" s="30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3">
      <c r="A8" s="30">
        <v>4</v>
      </c>
      <c r="B8" s="30" t="s">
        <v>40</v>
      </c>
      <c r="C8" s="30" t="s">
        <v>41</v>
      </c>
      <c r="D8" s="30"/>
      <c r="E8" s="30" t="s">
        <v>20</v>
      </c>
      <c r="F8" s="30" t="s">
        <v>42</v>
      </c>
      <c r="G8" s="30" t="s">
        <v>43</v>
      </c>
      <c r="H8" s="30">
        <f>596253.74/1.2/1000</f>
        <v>496.8781166666667</v>
      </c>
      <c r="I8" s="30">
        <v>1</v>
      </c>
      <c r="J8" s="30">
        <f>596253.74/1.2/1000</f>
        <v>496.8781166666667</v>
      </c>
      <c r="K8" s="30">
        <f>596253.74/1.2/1000</f>
        <v>496.8781166666667</v>
      </c>
      <c r="L8" s="30">
        <v>1</v>
      </c>
      <c r="M8" s="30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3">
      <c r="A9" s="30">
        <v>5</v>
      </c>
      <c r="B9" s="30" t="s">
        <v>21</v>
      </c>
      <c r="C9" s="30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2"/>
      <c r="I9" s="2">
        <v>20</v>
      </c>
      <c r="J9" s="2">
        <f>601899.72/1.2/1000</f>
        <v>501.5831</v>
      </c>
      <c r="K9" s="2"/>
      <c r="L9" s="2">
        <v>20</v>
      </c>
      <c r="M9" s="2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3">
      <c r="A10" s="30">
        <v>6</v>
      </c>
      <c r="B10" s="30" t="s">
        <v>21</v>
      </c>
      <c r="C10" s="30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2"/>
      <c r="I10" s="2">
        <v>6</v>
      </c>
      <c r="J10" s="2">
        <f>8905.68/1.2/1000</f>
        <v>7.4214000000000002</v>
      </c>
      <c r="K10" s="2"/>
      <c r="L10" s="2">
        <v>6</v>
      </c>
      <c r="M10" s="2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3">
      <c r="A11" s="30">
        <v>7</v>
      </c>
      <c r="B11" s="30" t="s">
        <v>40</v>
      </c>
      <c r="C11" s="30" t="s">
        <v>41</v>
      </c>
      <c r="D11" s="30"/>
      <c r="E11" s="30" t="s">
        <v>20</v>
      </c>
      <c r="F11" s="30" t="s">
        <v>46</v>
      </c>
      <c r="G11" s="30" t="s">
        <v>43</v>
      </c>
      <c r="H11" s="30">
        <f>65558.2/1.2/1000</f>
        <v>54.631833333333333</v>
      </c>
      <c r="I11" s="30">
        <v>1</v>
      </c>
      <c r="J11" s="30">
        <f>65558.2/1.2/1000</f>
        <v>54.631833333333333</v>
      </c>
      <c r="K11" s="30">
        <f>65558.2/1.2/1000</f>
        <v>54.631833333333333</v>
      </c>
      <c r="L11" s="30">
        <v>1</v>
      </c>
      <c r="M11" s="30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3">
      <c r="A12" s="30">
        <v>8</v>
      </c>
      <c r="B12" s="30" t="s">
        <v>40</v>
      </c>
      <c r="C12" s="30" t="s">
        <v>41</v>
      </c>
      <c r="D12" s="30"/>
      <c r="E12" s="30" t="s">
        <v>20</v>
      </c>
      <c r="F12" s="30" t="s">
        <v>49</v>
      </c>
      <c r="G12" s="30" t="s">
        <v>43</v>
      </c>
      <c r="H12" s="30">
        <f>238641.32/1.2/1000</f>
        <v>198.86776666666668</v>
      </c>
      <c r="I12" s="30">
        <v>1</v>
      </c>
      <c r="J12" s="30">
        <f>238641.32/1.2/1000</f>
        <v>198.86776666666668</v>
      </c>
      <c r="K12" s="30">
        <f>238641.32/1.2/1000</f>
        <v>198.86776666666668</v>
      </c>
      <c r="L12" s="30">
        <v>1</v>
      </c>
      <c r="M12" s="30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3">
      <c r="A13" s="30">
        <v>9</v>
      </c>
      <c r="B13" s="30" t="s">
        <v>40</v>
      </c>
      <c r="C13" s="30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30">
        <f>3306105/1.2/1000</f>
        <v>2755.0875000000001</v>
      </c>
      <c r="I13" s="30">
        <v>1</v>
      </c>
      <c r="J13" s="30">
        <f>3306105/1.2/1000</f>
        <v>2755.0875000000001</v>
      </c>
      <c r="K13" s="30">
        <f>3306105/1.2/1000</f>
        <v>2755.0875000000001</v>
      </c>
      <c r="L13" s="30">
        <v>1</v>
      </c>
      <c r="M13" s="30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" x14ac:dyDescent="0.3">
      <c r="A14" s="30">
        <v>10</v>
      </c>
      <c r="B14" s="30" t="s">
        <v>40</v>
      </c>
      <c r="C14" s="30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30">
        <f>1980000/1.2/1000</f>
        <v>1650</v>
      </c>
      <c r="I14" s="30">
        <v>1</v>
      </c>
      <c r="J14" s="30">
        <f>1980000/1.2/1000</f>
        <v>1650</v>
      </c>
      <c r="K14" s="30">
        <f>1980000/1.2/1000</f>
        <v>1650</v>
      </c>
      <c r="L14" s="30">
        <v>1</v>
      </c>
      <c r="M14" s="30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3.6" x14ac:dyDescent="0.3">
      <c r="A15" s="30">
        <v>11</v>
      </c>
      <c r="B15" s="30" t="s">
        <v>40</v>
      </c>
      <c r="C15" s="30" t="s">
        <v>41</v>
      </c>
      <c r="D15" s="30"/>
      <c r="E15" s="30" t="s">
        <v>20</v>
      </c>
      <c r="F15" s="30" t="s">
        <v>60</v>
      </c>
      <c r="G15" s="30" t="s">
        <v>43</v>
      </c>
      <c r="H15" s="30">
        <f>529516.15/1.2/1000</f>
        <v>441.26345833333335</v>
      </c>
      <c r="I15" s="30">
        <v>1</v>
      </c>
      <c r="J15" s="30">
        <f>529516.15/1.2/1000</f>
        <v>441.26345833333335</v>
      </c>
      <c r="K15" s="30">
        <f>529516.15/1.2/1000</f>
        <v>441.26345833333335</v>
      </c>
      <c r="L15" s="30">
        <v>1</v>
      </c>
      <c r="M15" s="30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2.4" x14ac:dyDescent="0.3">
      <c r="A16" s="30">
        <v>12</v>
      </c>
      <c r="B16" s="30" t="s">
        <v>21</v>
      </c>
      <c r="C16" s="30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30"/>
      <c r="I16" s="30">
        <v>84</v>
      </c>
      <c r="J16" s="30">
        <f>202860/1.2/1000</f>
        <v>169.05</v>
      </c>
      <c r="K16" s="30"/>
      <c r="L16" s="30">
        <v>84</v>
      </c>
      <c r="M16" s="30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2.4" x14ac:dyDescent="0.3">
      <c r="A17" s="30">
        <v>13</v>
      </c>
      <c r="B17" s="30" t="s">
        <v>40</v>
      </c>
      <c r="C17" s="30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30">
        <v>486.35840999999999</v>
      </c>
      <c r="I17" s="30">
        <v>1</v>
      </c>
      <c r="J17" s="30">
        <v>486.35840999999999</v>
      </c>
      <c r="K17" s="30">
        <v>486.35840999999999</v>
      </c>
      <c r="L17" s="30">
        <v>1</v>
      </c>
      <c r="M17" s="30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2.4" x14ac:dyDescent="0.3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">
        <f>51.85488/1.2</f>
        <v>43.212400000000002</v>
      </c>
      <c r="I18" s="30">
        <v>1</v>
      </c>
      <c r="J18" s="5">
        <f>51.85488/1.2</f>
        <v>43.212400000000002</v>
      </c>
      <c r="K18" s="5">
        <f>51.85488/1.2</f>
        <v>43.212400000000002</v>
      </c>
      <c r="L18" s="30">
        <v>1</v>
      </c>
      <c r="M18" s="5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2.4" x14ac:dyDescent="0.3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">
        <f>1345698.88/1.2/1000</f>
        <v>1121.4157333333335</v>
      </c>
      <c r="I19" s="30">
        <v>1</v>
      </c>
      <c r="J19" s="5">
        <f>1345698.88/1.2/1000</f>
        <v>1121.4157333333335</v>
      </c>
      <c r="K19" s="5">
        <f>1345698.88/1.2/1000</f>
        <v>1121.4157333333335</v>
      </c>
      <c r="L19" s="30">
        <v>1</v>
      </c>
      <c r="M19" s="5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2.4" x14ac:dyDescent="0.3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">
        <f>201575.17/1.2/100</f>
        <v>1679.7930833333335</v>
      </c>
      <c r="I20" s="30">
        <v>1</v>
      </c>
      <c r="J20" s="5">
        <f>201575.17/1.2/100</f>
        <v>1679.7930833333335</v>
      </c>
      <c r="K20" s="5">
        <f>201575.17/1.2/100</f>
        <v>1679.7930833333335</v>
      </c>
      <c r="L20" s="30">
        <v>1</v>
      </c>
      <c r="M20" s="5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2.4" x14ac:dyDescent="0.3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">
        <f>185417.83/1.2/1000</f>
        <v>154.51485833333334</v>
      </c>
      <c r="I21" s="30">
        <v>1</v>
      </c>
      <c r="J21" s="5">
        <f>185417.83/1.2/1000</f>
        <v>154.51485833333334</v>
      </c>
      <c r="K21" s="5">
        <f>185417.83/1.2/1000</f>
        <v>154.51485833333334</v>
      </c>
      <c r="L21" s="30">
        <v>1</v>
      </c>
      <c r="M21" s="5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2.4" x14ac:dyDescent="0.3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">
        <f>135928.4/1.2/1000</f>
        <v>113.27366666666667</v>
      </c>
      <c r="I22" s="30">
        <v>1</v>
      </c>
      <c r="J22" s="5">
        <f>135928.4/1.2/1000</f>
        <v>113.27366666666667</v>
      </c>
      <c r="K22" s="5">
        <f>135928.4/1.2/1000</f>
        <v>113.27366666666667</v>
      </c>
      <c r="L22" s="30">
        <v>1</v>
      </c>
      <c r="M22" s="5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2.4" x14ac:dyDescent="0.3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">
        <f>189360.37/1.2/1000</f>
        <v>157.80030833333336</v>
      </c>
      <c r="I23" s="30">
        <v>1</v>
      </c>
      <c r="J23" s="5">
        <f>189360.37/1.2/1000</f>
        <v>157.80030833333336</v>
      </c>
      <c r="K23" s="5">
        <f>189360.37/1.2/1000</f>
        <v>157.80030833333336</v>
      </c>
      <c r="L23" s="30">
        <v>1</v>
      </c>
      <c r="M23" s="5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6.8" x14ac:dyDescent="0.3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"/>
      <c r="I24" s="30">
        <v>10</v>
      </c>
      <c r="J24" s="5">
        <f>11570040/1.2/1000</f>
        <v>9641.7000000000007</v>
      </c>
      <c r="K24" s="5">
        <f>11570040/1.2/1000</f>
        <v>9641.7000000000007</v>
      </c>
      <c r="L24" s="30">
        <v>10</v>
      </c>
      <c r="M24" s="5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" x14ac:dyDescent="0.3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30"/>
      <c r="I25" s="30">
        <v>68</v>
      </c>
      <c r="J25" s="30">
        <f>792362.4/1.2/1000</f>
        <v>660.30200000000002</v>
      </c>
      <c r="K25" s="30">
        <f>792362.4/1.2/1000</f>
        <v>660.30200000000002</v>
      </c>
      <c r="L25" s="30">
        <v>68</v>
      </c>
      <c r="M25" s="30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2.4" x14ac:dyDescent="0.3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30"/>
      <c r="I26" s="30">
        <v>13</v>
      </c>
      <c r="J26" s="30">
        <f>402939.84/1.2/1000</f>
        <v>335.78320000000002</v>
      </c>
      <c r="K26" s="30">
        <f>402939.84/1.2/1000</f>
        <v>335.78320000000002</v>
      </c>
      <c r="L26" s="30">
        <v>13</v>
      </c>
      <c r="M26" s="30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2.4" x14ac:dyDescent="0.3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">
        <f>146052.66/1.2/1000</f>
        <v>121.71055</v>
      </c>
      <c r="I27" s="17">
        <v>1</v>
      </c>
      <c r="J27" s="5">
        <f>146052.66/1.2/1000</f>
        <v>121.71055</v>
      </c>
      <c r="K27" s="5">
        <f>146052.66/1.2/1000</f>
        <v>121.71055</v>
      </c>
      <c r="L27" s="17">
        <v>1</v>
      </c>
      <c r="M27" s="5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2.4" x14ac:dyDescent="0.3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">
        <f>237413.22/1000/1.2</f>
        <v>197.84434999999999</v>
      </c>
      <c r="I28" s="17">
        <v>1</v>
      </c>
      <c r="J28" s="5">
        <f>237413.22/1000/1.2</f>
        <v>197.84434999999999</v>
      </c>
      <c r="K28" s="5">
        <f>237413.22/1000/1.2</f>
        <v>197.84434999999999</v>
      </c>
      <c r="L28" s="17">
        <v>1</v>
      </c>
      <c r="M28" s="5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" x14ac:dyDescent="0.3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">
        <v>187.58670000000001</v>
      </c>
      <c r="I29" s="17">
        <v>1</v>
      </c>
      <c r="J29" s="5">
        <v>187.58670000000001</v>
      </c>
      <c r="K29" s="5">
        <v>187.58670000000001</v>
      </c>
      <c r="L29" s="17">
        <v>1</v>
      </c>
      <c r="M29" s="5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2.4" x14ac:dyDescent="0.3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">
        <v>590.66898333333336</v>
      </c>
      <c r="I30" s="17">
        <v>1</v>
      </c>
      <c r="J30" s="5">
        <v>590.66898333333336</v>
      </c>
      <c r="K30" s="5">
        <v>590.66898333333336</v>
      </c>
      <c r="L30" s="17">
        <v>1</v>
      </c>
      <c r="M30" s="5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" x14ac:dyDescent="0.3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">
        <v>75.020333333333326</v>
      </c>
      <c r="I31" s="17">
        <v>1</v>
      </c>
      <c r="J31" s="5">
        <v>75.020333333333326</v>
      </c>
      <c r="K31" s="5">
        <v>75.020333333333326</v>
      </c>
      <c r="L31" s="17">
        <v>1</v>
      </c>
      <c r="M31" s="5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2.4" x14ac:dyDescent="0.3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">
        <v>230.31730000000002</v>
      </c>
      <c r="I32" s="17">
        <v>1</v>
      </c>
      <c r="J32" s="5">
        <v>230.31730000000002</v>
      </c>
      <c r="K32" s="5">
        <v>230.31730000000002</v>
      </c>
      <c r="L32" s="17">
        <v>1</v>
      </c>
      <c r="M32" s="5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2.4" x14ac:dyDescent="0.3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">
        <v>122.59811666666667</v>
      </c>
      <c r="I33" s="17">
        <v>1</v>
      </c>
      <c r="J33" s="5">
        <v>122.59811666666667</v>
      </c>
      <c r="K33" s="5">
        <v>122.59811666666667</v>
      </c>
      <c r="L33" s="17">
        <v>1</v>
      </c>
      <c r="M33" s="5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2.4" x14ac:dyDescent="0.3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">
        <v>109.43154999999999</v>
      </c>
      <c r="I34" s="17">
        <v>1</v>
      </c>
      <c r="J34" s="5">
        <v>109.43154999999999</v>
      </c>
      <c r="K34" s="5">
        <v>109.43154999999999</v>
      </c>
      <c r="L34" s="17">
        <v>1</v>
      </c>
      <c r="M34" s="5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2.4" x14ac:dyDescent="0.3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">
        <v>115.00135</v>
      </c>
      <c r="I35" s="17">
        <v>1</v>
      </c>
      <c r="J35" s="5">
        <v>115.00135</v>
      </c>
      <c r="K35" s="5">
        <v>115.00135</v>
      </c>
      <c r="L35" s="17">
        <v>1</v>
      </c>
      <c r="M35" s="5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2.4" x14ac:dyDescent="0.3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">
        <v>337.14424166666669</v>
      </c>
      <c r="I36" s="17">
        <v>1</v>
      </c>
      <c r="J36" s="5">
        <v>337.14424166666669</v>
      </c>
      <c r="K36" s="5">
        <v>337.14424166666669</v>
      </c>
      <c r="L36" s="17">
        <v>1</v>
      </c>
      <c r="M36" s="5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" x14ac:dyDescent="0.3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30"/>
      <c r="I37" s="17">
        <v>111</v>
      </c>
      <c r="J37" s="5">
        <v>666</v>
      </c>
      <c r="K37" s="30"/>
      <c r="L37" s="17">
        <v>111</v>
      </c>
      <c r="M37" s="5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" x14ac:dyDescent="0.3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30"/>
      <c r="I38" s="17">
        <v>203</v>
      </c>
      <c r="J38" s="5">
        <v>131.29166666666669</v>
      </c>
      <c r="K38" s="30"/>
      <c r="L38" s="17">
        <v>203</v>
      </c>
      <c r="M38" s="5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" x14ac:dyDescent="0.3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">
        <v>76.942691666666661</v>
      </c>
      <c r="I39" s="17">
        <v>1</v>
      </c>
      <c r="J39" s="5">
        <v>76.942691666666661</v>
      </c>
      <c r="K39" s="5">
        <v>76.942691666666661</v>
      </c>
      <c r="L39" s="17">
        <v>1</v>
      </c>
      <c r="M39" s="5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09.2" x14ac:dyDescent="0.3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30"/>
      <c r="I40" s="17">
        <v>7</v>
      </c>
      <c r="J40" s="5">
        <v>258.53650833333336</v>
      </c>
      <c r="K40" s="30"/>
      <c r="L40" s="17">
        <v>7</v>
      </c>
      <c r="M40" s="5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31.2" x14ac:dyDescent="0.3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30"/>
      <c r="I41" s="17">
        <v>33</v>
      </c>
      <c r="J41" s="5">
        <v>2616.89</v>
      </c>
      <c r="K41" s="30"/>
      <c r="L41" s="17">
        <v>33</v>
      </c>
      <c r="M41" s="5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" x14ac:dyDescent="0.3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30"/>
      <c r="I42" s="17">
        <v>1</v>
      </c>
      <c r="J42" s="5">
        <v>523.82000000000005</v>
      </c>
      <c r="K42" s="30"/>
      <c r="L42" s="17">
        <v>1</v>
      </c>
      <c r="M42" s="5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" x14ac:dyDescent="0.3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30"/>
      <c r="I43" s="17">
        <v>220</v>
      </c>
      <c r="J43" s="5">
        <v>1320</v>
      </c>
      <c r="K43" s="30"/>
      <c r="L43" s="17">
        <v>220</v>
      </c>
      <c r="M43" s="5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" x14ac:dyDescent="0.3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30"/>
      <c r="I44" s="17">
        <v>6</v>
      </c>
      <c r="J44" s="5">
        <v>11549.82</v>
      </c>
      <c r="K44" s="30"/>
      <c r="L44" s="17">
        <v>6</v>
      </c>
      <c r="M44" s="5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" x14ac:dyDescent="0.3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30"/>
      <c r="I45" s="17">
        <v>19</v>
      </c>
      <c r="J45" s="5">
        <v>3350</v>
      </c>
      <c r="K45" s="30"/>
      <c r="L45" s="17">
        <v>19</v>
      </c>
      <c r="M45" s="5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" x14ac:dyDescent="0.3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30"/>
      <c r="I46" s="17">
        <v>1311</v>
      </c>
      <c r="J46" s="5">
        <v>6962</v>
      </c>
      <c r="K46" s="30"/>
      <c r="L46" s="17">
        <v>1311</v>
      </c>
      <c r="M46" s="5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3.6" x14ac:dyDescent="0.3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30"/>
      <c r="I47" s="17">
        <v>2985</v>
      </c>
      <c r="J47" s="5">
        <v>2425.2833333333333</v>
      </c>
      <c r="K47" s="30"/>
      <c r="L47" s="17">
        <v>2985</v>
      </c>
      <c r="M47" s="5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" x14ac:dyDescent="0.3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30"/>
      <c r="I48" s="17">
        <v>7</v>
      </c>
      <c r="J48" s="5">
        <v>8155</v>
      </c>
      <c r="K48" s="30"/>
      <c r="L48" s="17">
        <v>7</v>
      </c>
      <c r="M48" s="5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93.6" x14ac:dyDescent="0.3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30">
        <f>17937191.99/1.2/1000</f>
        <v>14947.659991666666</v>
      </c>
      <c r="I49" s="17">
        <v>1</v>
      </c>
      <c r="J49" s="5">
        <v>14947.659991666666</v>
      </c>
      <c r="K49" s="30">
        <f>17937191.99/1.2/1000</f>
        <v>14947.659991666666</v>
      </c>
      <c r="L49" s="17">
        <v>1</v>
      </c>
      <c r="M49" s="30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" x14ac:dyDescent="0.3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30"/>
      <c r="I50" s="17">
        <v>2883</v>
      </c>
      <c r="J50" s="5">
        <v>2021.069441666667</v>
      </c>
      <c r="K50" s="30"/>
      <c r="L50" s="17">
        <v>2883</v>
      </c>
      <c r="M50" s="5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" x14ac:dyDescent="0.3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30"/>
      <c r="I51" s="17">
        <v>5</v>
      </c>
      <c r="J51" s="5">
        <v>231.75</v>
      </c>
      <c r="K51" s="30"/>
      <c r="L51" s="17">
        <v>5</v>
      </c>
      <c r="M51" s="5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" x14ac:dyDescent="0.3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30"/>
      <c r="I52" s="17">
        <v>20</v>
      </c>
      <c r="J52" s="5">
        <v>125.4</v>
      </c>
      <c r="K52" s="30"/>
      <c r="L52" s="17">
        <v>20</v>
      </c>
      <c r="M52" s="5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6.8" x14ac:dyDescent="0.3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">
        <v>42557.229450000006</v>
      </c>
      <c r="I53" s="17">
        <v>1</v>
      </c>
      <c r="J53" s="5">
        <v>42557.229450000006</v>
      </c>
      <c r="K53" s="5">
        <v>42557.229450000006</v>
      </c>
      <c r="L53" s="17">
        <v>1</v>
      </c>
      <c r="M53" s="5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" x14ac:dyDescent="0.3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30"/>
      <c r="I54" s="17">
        <v>1</v>
      </c>
      <c r="J54" s="5">
        <v>95.23</v>
      </c>
      <c r="K54" s="30"/>
      <c r="L54" s="17">
        <v>1</v>
      </c>
      <c r="M54" s="5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6.8" x14ac:dyDescent="0.3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30"/>
      <c r="I55" s="17">
        <v>44</v>
      </c>
      <c r="J55" s="5">
        <v>3769.83</v>
      </c>
      <c r="K55" s="30"/>
      <c r="L55" s="17">
        <v>44</v>
      </c>
      <c r="M55" s="5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6.8" x14ac:dyDescent="0.3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30"/>
      <c r="I56" s="17">
        <v>220</v>
      </c>
      <c r="J56" s="5">
        <v>1320</v>
      </c>
      <c r="K56" s="30"/>
      <c r="L56" s="30">
        <v>220</v>
      </c>
      <c r="M56" s="30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" x14ac:dyDescent="0.3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30"/>
      <c r="I57" s="17">
        <v>5</v>
      </c>
      <c r="J57" s="5">
        <v>1802.08</v>
      </c>
      <c r="K57" s="30"/>
      <c r="L57" s="30">
        <v>5</v>
      </c>
      <c r="M57" s="30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2.4" x14ac:dyDescent="0.3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">
        <v>1753.2614250000001</v>
      </c>
      <c r="I58" s="17">
        <v>1</v>
      </c>
      <c r="J58" s="5">
        <v>1753.2614250000001</v>
      </c>
      <c r="K58" s="5">
        <v>1753.2614250000001</v>
      </c>
      <c r="L58" s="17">
        <v>1</v>
      </c>
      <c r="M58" s="5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" x14ac:dyDescent="0.3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">
        <v>2892.375</v>
      </c>
      <c r="I59" s="17">
        <v>1</v>
      </c>
      <c r="J59" s="5">
        <v>2892.375</v>
      </c>
      <c r="K59" s="5">
        <v>2892.375</v>
      </c>
      <c r="L59" s="17">
        <v>1</v>
      </c>
      <c r="M59" s="5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2.4" x14ac:dyDescent="0.3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">
        <v>2611.0114750000002</v>
      </c>
      <c r="I60" s="17">
        <v>1</v>
      </c>
      <c r="J60" s="5">
        <v>2611.0114750000002</v>
      </c>
      <c r="K60" s="5">
        <v>2611.0114750000002</v>
      </c>
      <c r="L60" s="17">
        <v>1</v>
      </c>
      <c r="M60" s="5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2.4" x14ac:dyDescent="0.3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">
        <v>1568.5536083333334</v>
      </c>
      <c r="I61" s="17">
        <v>1</v>
      </c>
      <c r="J61" s="5">
        <v>1568.5536083333334</v>
      </c>
      <c r="K61" s="5">
        <v>1568.5536083333334</v>
      </c>
      <c r="L61" s="17">
        <v>1</v>
      </c>
      <c r="M61" s="5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2.4" x14ac:dyDescent="0.3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">
        <v>4437.0822250000001</v>
      </c>
      <c r="I62" s="17">
        <v>1</v>
      </c>
      <c r="J62" s="5">
        <v>4437.0822250000001</v>
      </c>
      <c r="K62" s="5">
        <v>4437.0822250000001</v>
      </c>
      <c r="L62" s="17">
        <v>1</v>
      </c>
      <c r="M62" s="5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2.4" x14ac:dyDescent="0.3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">
        <v>1814.2742500000002</v>
      </c>
      <c r="I63" s="17">
        <v>1</v>
      </c>
      <c r="J63" s="5">
        <v>1814.2742500000002</v>
      </c>
      <c r="K63" s="5">
        <v>1814.2742500000002</v>
      </c>
      <c r="L63" s="17">
        <v>1</v>
      </c>
      <c r="M63" s="5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2.4" x14ac:dyDescent="0.3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">
        <v>4839.9405166666666</v>
      </c>
      <c r="I64" s="17">
        <v>1</v>
      </c>
      <c r="J64" s="5">
        <v>4839.9405166666666</v>
      </c>
      <c r="K64" s="5">
        <v>4839.9405166666666</v>
      </c>
      <c r="L64" s="17">
        <v>1</v>
      </c>
      <c r="M64" s="5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6.8" x14ac:dyDescent="0.3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30"/>
      <c r="I65" s="17">
        <v>990</v>
      </c>
      <c r="J65" s="5">
        <v>4536.68</v>
      </c>
      <c r="K65" s="30"/>
      <c r="L65" s="30">
        <v>990</v>
      </c>
      <c r="M65" s="30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6.8" x14ac:dyDescent="0.3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30"/>
      <c r="I66" s="17">
        <v>20</v>
      </c>
      <c r="J66" s="5">
        <v>113.6</v>
      </c>
      <c r="K66" s="30"/>
      <c r="L66" s="30">
        <v>20</v>
      </c>
      <c r="M66" s="30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" x14ac:dyDescent="0.3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">
        <v>5063.9220000000005</v>
      </c>
      <c r="I67" s="17">
        <v>1</v>
      </c>
      <c r="J67" s="5">
        <v>5063.9220000000005</v>
      </c>
      <c r="K67" s="5">
        <v>5063.9220000000005</v>
      </c>
      <c r="L67" s="17">
        <v>1</v>
      </c>
      <c r="M67" s="5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2.4" x14ac:dyDescent="0.3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">
        <v>779.63</v>
      </c>
      <c r="I68" s="17">
        <v>1</v>
      </c>
      <c r="J68" s="5">
        <v>779.63</v>
      </c>
      <c r="K68" s="5">
        <v>779.63</v>
      </c>
      <c r="L68" s="17">
        <v>1</v>
      </c>
      <c r="M68" s="5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3.6" x14ac:dyDescent="0.3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">
        <v>536.25</v>
      </c>
      <c r="I69" s="17">
        <v>1</v>
      </c>
      <c r="J69" s="5">
        <v>536.25</v>
      </c>
      <c r="K69" s="5">
        <v>536.25</v>
      </c>
      <c r="L69" s="17">
        <v>1</v>
      </c>
      <c r="M69" s="5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" x14ac:dyDescent="0.3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">
        <v>10976.597466666668</v>
      </c>
      <c r="I70" s="17">
        <v>1</v>
      </c>
      <c r="J70" s="5">
        <v>10976.597466666668</v>
      </c>
      <c r="K70" s="5">
        <v>10976.597466666668</v>
      </c>
      <c r="L70" s="17">
        <v>1</v>
      </c>
      <c r="M70" s="5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" x14ac:dyDescent="0.3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">
        <v>11223.566733333335</v>
      </c>
      <c r="I71" s="17">
        <v>1</v>
      </c>
      <c r="J71" s="5">
        <v>11223.566733333335</v>
      </c>
      <c r="K71" s="5">
        <v>11223.566733333335</v>
      </c>
      <c r="L71" s="17">
        <v>1</v>
      </c>
      <c r="M71" s="5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" x14ac:dyDescent="0.3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">
        <v>11550.103533333333</v>
      </c>
      <c r="I72" s="17">
        <v>1</v>
      </c>
      <c r="J72" s="5">
        <v>11550.103533333333</v>
      </c>
      <c r="K72" s="5">
        <v>11550.103533333333</v>
      </c>
      <c r="L72" s="17">
        <v>1</v>
      </c>
      <c r="M72" s="5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2.4" x14ac:dyDescent="0.3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">
        <v>22769.216683333332</v>
      </c>
      <c r="I73" s="17">
        <v>1</v>
      </c>
      <c r="J73" s="5">
        <v>22769.216683333332</v>
      </c>
      <c r="K73" s="5">
        <v>22769.216683333332</v>
      </c>
      <c r="L73" s="17">
        <v>1</v>
      </c>
      <c r="M73" s="5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2.4" x14ac:dyDescent="0.3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">
        <v>8007.6770000000006</v>
      </c>
      <c r="I74" s="17">
        <v>1</v>
      </c>
      <c r="J74" s="5">
        <v>8007.6770000000006</v>
      </c>
      <c r="K74" s="5">
        <v>8007.6770000000006</v>
      </c>
      <c r="L74" s="17">
        <v>1</v>
      </c>
      <c r="M74" s="5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2.4" x14ac:dyDescent="0.3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">
        <v>9955.5533000000014</v>
      </c>
      <c r="I75" s="17">
        <v>1</v>
      </c>
      <c r="J75" s="5">
        <v>9955.5533000000014</v>
      </c>
      <c r="K75" s="5">
        <v>9955.5533000000014</v>
      </c>
      <c r="L75" s="17">
        <v>1</v>
      </c>
      <c r="M75" s="5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2.4" x14ac:dyDescent="0.3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">
        <v>30543.989266666667</v>
      </c>
      <c r="I76" s="17">
        <v>1</v>
      </c>
      <c r="J76" s="5">
        <v>30543.989266666667</v>
      </c>
      <c r="K76" s="5">
        <v>30543.989266666667</v>
      </c>
      <c r="L76" s="17">
        <v>1</v>
      </c>
      <c r="M76" s="5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" x14ac:dyDescent="0.3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">
        <v>2456.56</v>
      </c>
      <c r="I77" s="17">
        <v>1</v>
      </c>
      <c r="J77" s="5">
        <v>2456.56</v>
      </c>
      <c r="K77" s="5">
        <v>2456.56</v>
      </c>
      <c r="L77" s="17">
        <v>1</v>
      </c>
      <c r="M77" s="5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3.6" x14ac:dyDescent="0.3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">
        <v>2438.35</v>
      </c>
      <c r="I78" s="17">
        <v>1</v>
      </c>
      <c r="J78" s="5">
        <v>2438.35</v>
      </c>
      <c r="K78" s="5">
        <v>2438.35</v>
      </c>
      <c r="L78" s="17">
        <v>1</v>
      </c>
      <c r="M78" s="5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3.6" x14ac:dyDescent="0.3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">
        <v>1540.42</v>
      </c>
      <c r="I79" s="17">
        <v>1</v>
      </c>
      <c r="J79" s="5">
        <v>1540.42</v>
      </c>
      <c r="K79" s="5">
        <v>1540.42</v>
      </c>
      <c r="L79" s="17">
        <v>1</v>
      </c>
      <c r="M79" s="5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46.8" x14ac:dyDescent="0.3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">
        <v>14879.444308333335</v>
      </c>
      <c r="I80" s="17">
        <v>1</v>
      </c>
      <c r="J80" s="5">
        <v>14879.444308333335</v>
      </c>
      <c r="K80" s="5">
        <v>14879.444308333335</v>
      </c>
      <c r="L80" s="17">
        <v>1</v>
      </c>
      <c r="M80" s="5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2.4" x14ac:dyDescent="0.3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">
        <v>16220.156625</v>
      </c>
      <c r="I81" s="17">
        <v>1</v>
      </c>
      <c r="J81" s="5">
        <v>16220.156625</v>
      </c>
      <c r="K81" s="5">
        <v>16220.156625</v>
      </c>
      <c r="L81" s="17">
        <v>1</v>
      </c>
      <c r="M81" s="5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2.4" x14ac:dyDescent="0.3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">
        <v>30451.739091666666</v>
      </c>
      <c r="I82" s="17">
        <v>1</v>
      </c>
      <c r="J82" s="5">
        <v>30451.739091666666</v>
      </c>
      <c r="K82" s="5">
        <v>30451.739091666666</v>
      </c>
      <c r="L82" s="17">
        <v>1</v>
      </c>
      <c r="M82" s="5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3.6" x14ac:dyDescent="0.3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">
        <v>1803.85</v>
      </c>
      <c r="I83" s="17">
        <v>1</v>
      </c>
      <c r="J83" s="5">
        <v>1803.85</v>
      </c>
      <c r="K83" s="5">
        <v>1803.85</v>
      </c>
      <c r="L83" s="17">
        <v>1</v>
      </c>
      <c r="M83" s="5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" x14ac:dyDescent="0.3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">
        <v>1746.94</v>
      </c>
      <c r="I84" s="17">
        <v>1</v>
      </c>
      <c r="J84" s="5">
        <v>1746.94</v>
      </c>
      <c r="K84" s="5">
        <v>1746.94</v>
      </c>
      <c r="L84" s="17">
        <v>1</v>
      </c>
      <c r="M84" s="5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2.4" x14ac:dyDescent="0.3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">
        <v>1061.1895</v>
      </c>
      <c r="I85" s="17">
        <v>1</v>
      </c>
      <c r="J85" s="5">
        <v>1061.1895</v>
      </c>
      <c r="K85" s="5">
        <v>1061.1895</v>
      </c>
      <c r="L85" s="17">
        <v>1</v>
      </c>
      <c r="M85" s="5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" x14ac:dyDescent="0.3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">
        <v>580.37230833333331</v>
      </c>
      <c r="I86" s="17">
        <v>1</v>
      </c>
      <c r="J86" s="5">
        <v>580.37230833333331</v>
      </c>
      <c r="K86" s="5">
        <v>580.37230833333331</v>
      </c>
      <c r="L86" s="17">
        <v>1</v>
      </c>
      <c r="M86" s="5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2.4" x14ac:dyDescent="0.3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">
        <v>1126.4987166666667</v>
      </c>
      <c r="I87" s="17">
        <v>1</v>
      </c>
      <c r="J87" s="5">
        <v>1126.4987166666667</v>
      </c>
      <c r="K87" s="5">
        <v>1126.4987166666667</v>
      </c>
      <c r="L87" s="17">
        <v>1</v>
      </c>
      <c r="M87" s="5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62.4" x14ac:dyDescent="0.3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">
        <v>1059.8841916666665</v>
      </c>
      <c r="I88" s="17">
        <v>1</v>
      </c>
      <c r="J88" s="5">
        <v>1059.8841916666665</v>
      </c>
      <c r="K88" s="5">
        <v>1059.8841916666665</v>
      </c>
      <c r="L88" s="17">
        <v>1</v>
      </c>
      <c r="M88" s="5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" x14ac:dyDescent="0.3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">
        <v>379.50758333333329</v>
      </c>
      <c r="I89" s="17">
        <v>1</v>
      </c>
      <c r="J89" s="5">
        <v>379.50758333333329</v>
      </c>
      <c r="K89" s="5">
        <v>379.50758333333329</v>
      </c>
      <c r="L89" s="17">
        <v>1</v>
      </c>
      <c r="M89" s="5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2.4" x14ac:dyDescent="0.3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">
        <v>218.54481666666672</v>
      </c>
      <c r="I90" s="17">
        <v>1</v>
      </c>
      <c r="J90" s="5">
        <v>218.54481666666672</v>
      </c>
      <c r="K90" s="5">
        <v>218.54481666666672</v>
      </c>
      <c r="L90" s="17">
        <v>1</v>
      </c>
      <c r="M90" s="5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" x14ac:dyDescent="0.3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">
        <v>315.9595333333333</v>
      </c>
      <c r="I91" s="17">
        <v>1</v>
      </c>
      <c r="J91" s="5">
        <v>315.9595333333333</v>
      </c>
      <c r="K91" s="5">
        <v>315.9595333333333</v>
      </c>
      <c r="L91" s="17">
        <v>1</v>
      </c>
      <c r="M91" s="5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2.4" x14ac:dyDescent="0.3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">
        <v>421.47824166666669</v>
      </c>
      <c r="I92" s="17">
        <v>1</v>
      </c>
      <c r="J92" s="5">
        <v>421.47824166666669</v>
      </c>
      <c r="K92" s="5">
        <v>421.47824166666669</v>
      </c>
      <c r="L92" s="17">
        <v>1</v>
      </c>
      <c r="M92" s="5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" x14ac:dyDescent="0.3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">
        <v>750.01798333333329</v>
      </c>
      <c r="I93" s="17">
        <v>1</v>
      </c>
      <c r="J93" s="5">
        <v>750.01798333333329</v>
      </c>
      <c r="K93" s="5">
        <v>750.01798333333329</v>
      </c>
      <c r="L93" s="17">
        <v>1</v>
      </c>
      <c r="M93" s="5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" x14ac:dyDescent="0.3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">
        <v>337.77145833333338</v>
      </c>
      <c r="I94" s="17">
        <v>1</v>
      </c>
      <c r="J94" s="5">
        <v>337.77145833333338</v>
      </c>
      <c r="K94" s="5">
        <v>337.77145833333338</v>
      </c>
      <c r="L94" s="17">
        <v>1</v>
      </c>
      <c r="M94" s="5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2.4" x14ac:dyDescent="0.3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">
        <v>239.70174166666669</v>
      </c>
      <c r="I95" s="17">
        <v>1</v>
      </c>
      <c r="J95" s="5">
        <v>239.70174166666669</v>
      </c>
      <c r="K95" s="5">
        <v>239.70174166666669</v>
      </c>
      <c r="L95" s="17">
        <v>1</v>
      </c>
      <c r="M95" s="5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" x14ac:dyDescent="0.3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">
        <v>274.92998333333333</v>
      </c>
      <c r="I96" s="17">
        <v>1</v>
      </c>
      <c r="J96" s="5">
        <v>274.92998333333333</v>
      </c>
      <c r="K96" s="5">
        <v>274.92998333333333</v>
      </c>
      <c r="L96" s="17">
        <v>1</v>
      </c>
      <c r="M96" s="5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62.4" x14ac:dyDescent="0.3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">
        <v>322.49216666666666</v>
      </c>
      <c r="I97" s="17">
        <v>1</v>
      </c>
      <c r="J97" s="5">
        <v>322.49216666666666</v>
      </c>
      <c r="K97" s="5">
        <v>322.49216666666666</v>
      </c>
      <c r="L97" s="17">
        <v>1</v>
      </c>
      <c r="M97" s="5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" x14ac:dyDescent="0.3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">
        <v>390.85191666666668</v>
      </c>
      <c r="I98" s="17">
        <v>1</v>
      </c>
      <c r="J98" s="5">
        <v>390.85191666666668</v>
      </c>
      <c r="K98" s="5">
        <v>390.85191666666668</v>
      </c>
      <c r="L98" s="17">
        <v>1</v>
      </c>
      <c r="M98" s="5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" x14ac:dyDescent="0.3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">
        <v>742.09535000000005</v>
      </c>
      <c r="I99" s="17">
        <v>1</v>
      </c>
      <c r="J99" s="5">
        <v>742.09535000000005</v>
      </c>
      <c r="K99" s="5">
        <v>742.09535000000005</v>
      </c>
      <c r="L99" s="17">
        <v>1</v>
      </c>
      <c r="M99" s="5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2.4" x14ac:dyDescent="0.3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">
        <v>365.38350000000003</v>
      </c>
      <c r="I100" s="17">
        <v>1</v>
      </c>
      <c r="J100" s="5">
        <v>365.38350000000003</v>
      </c>
      <c r="K100" s="5">
        <v>365.38350000000003</v>
      </c>
      <c r="L100" s="17">
        <v>1</v>
      </c>
      <c r="M100" s="5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2.4" x14ac:dyDescent="0.3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">
        <v>1245.8333</v>
      </c>
      <c r="I101" s="17">
        <v>1</v>
      </c>
      <c r="J101" s="5">
        <v>1245.8333</v>
      </c>
      <c r="K101" s="5">
        <v>1245.8333</v>
      </c>
      <c r="L101" s="17">
        <v>1</v>
      </c>
      <c r="M101" s="5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6.8" x14ac:dyDescent="0.3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30"/>
      <c r="I102" s="17">
        <v>979</v>
      </c>
      <c r="J102" s="5">
        <v>727.25</v>
      </c>
      <c r="K102" s="30"/>
      <c r="L102" s="30">
        <v>979</v>
      </c>
      <c r="M102" s="30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" x14ac:dyDescent="0.3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30"/>
      <c r="I103" s="17">
        <v>20</v>
      </c>
      <c r="J103" s="5">
        <v>89.4</v>
      </c>
      <c r="K103" s="30"/>
      <c r="L103" s="30">
        <v>20</v>
      </c>
      <c r="M103" s="30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6.8" x14ac:dyDescent="0.3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30"/>
      <c r="I104" s="17">
        <v>1</v>
      </c>
      <c r="J104" s="5">
        <v>140</v>
      </c>
      <c r="K104" s="30"/>
      <c r="L104" s="30">
        <v>1</v>
      </c>
      <c r="M104" s="30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" x14ac:dyDescent="0.3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">
        <v>2679.66</v>
      </c>
      <c r="I105" s="17">
        <v>1</v>
      </c>
      <c r="J105" s="5">
        <v>2679.66</v>
      </c>
      <c r="K105" s="5">
        <v>2679.66</v>
      </c>
      <c r="L105" s="17">
        <v>1</v>
      </c>
      <c r="M105" s="5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6.8" x14ac:dyDescent="0.3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">
        <v>17914.346766666669</v>
      </c>
      <c r="I106" s="17">
        <v>1</v>
      </c>
      <c r="J106" s="5">
        <v>17914.346766666669</v>
      </c>
      <c r="K106" s="5">
        <v>17914.346766666669</v>
      </c>
      <c r="L106" s="17">
        <v>1</v>
      </c>
      <c r="M106" s="5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458</v>
      </c>
      <c r="V106" s="30"/>
    </row>
    <row r="107" spans="1:22" ht="78" x14ac:dyDescent="0.3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30">
        <v>17914.346766666669</v>
      </c>
      <c r="I107" s="17">
        <v>1</v>
      </c>
      <c r="J107" s="5">
        <v>17914.346766666669</v>
      </c>
      <c r="K107" s="30">
        <v>17914.346766666669</v>
      </c>
      <c r="L107" s="17">
        <v>1</v>
      </c>
      <c r="M107" s="5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0.4" x14ac:dyDescent="0.3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30">
        <v>186.94049166666667</v>
      </c>
      <c r="I108" s="17">
        <v>1</v>
      </c>
      <c r="J108" s="5">
        <f>224328.59/1.2/1000</f>
        <v>186.94049166666667</v>
      </c>
      <c r="K108" s="30">
        <v>186.94049166666667</v>
      </c>
      <c r="L108" s="17">
        <v>1</v>
      </c>
      <c r="M108" s="5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6" x14ac:dyDescent="0.3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30">
        <v>176.64009166666668</v>
      </c>
      <c r="I109" s="17">
        <v>1</v>
      </c>
      <c r="J109" s="5">
        <v>176.64009166666668</v>
      </c>
      <c r="K109" s="30">
        <v>176.64009166666668</v>
      </c>
      <c r="L109" s="17">
        <v>1</v>
      </c>
      <c r="M109" s="5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1.6" x14ac:dyDescent="0.3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30">
        <v>128.66041666666669</v>
      </c>
      <c r="I110" s="17">
        <v>1</v>
      </c>
      <c r="J110" s="5">
        <v>128.66041666666669</v>
      </c>
      <c r="K110" s="30">
        <v>128.66041666666669</v>
      </c>
      <c r="L110" s="17">
        <v>1</v>
      </c>
      <c r="M110" s="5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6" x14ac:dyDescent="0.3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30">
        <v>248.58900000000003</v>
      </c>
      <c r="I111" s="17">
        <v>1</v>
      </c>
      <c r="J111" s="5">
        <v>248.58900000000003</v>
      </c>
      <c r="K111" s="30">
        <v>248.58900000000003</v>
      </c>
      <c r="L111" s="17">
        <v>1</v>
      </c>
      <c r="M111" s="5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56" x14ac:dyDescent="0.3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30">
        <v>192.21574999999999</v>
      </c>
      <c r="I112" s="17">
        <v>1</v>
      </c>
      <c r="J112" s="5">
        <v>192.21574999999999</v>
      </c>
      <c r="K112" s="30">
        <v>192.21574999999999</v>
      </c>
      <c r="L112" s="17">
        <v>1</v>
      </c>
      <c r="M112" s="5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6" x14ac:dyDescent="0.3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30">
        <v>201.14333333333335</v>
      </c>
      <c r="I113" s="17">
        <v>1</v>
      </c>
      <c r="J113" s="5">
        <v>201.14333333333335</v>
      </c>
      <c r="K113" s="30">
        <v>201.14333333333335</v>
      </c>
      <c r="L113" s="17">
        <v>1</v>
      </c>
      <c r="M113" s="5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1.6" x14ac:dyDescent="0.3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30">
        <v>200.39616666666669</v>
      </c>
      <c r="I114" s="17">
        <v>1</v>
      </c>
      <c r="J114" s="5">
        <v>200.39616666666669</v>
      </c>
      <c r="K114" s="30">
        <v>200.39616666666669</v>
      </c>
      <c r="L114" s="17">
        <v>1</v>
      </c>
      <c r="M114" s="5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2.4" x14ac:dyDescent="0.3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30">
        <v>82.108391666666677</v>
      </c>
      <c r="I115" s="19">
        <v>1</v>
      </c>
      <c r="J115" s="30">
        <v>82.108391666666677</v>
      </c>
      <c r="K115" s="30">
        <v>82.108391666666677</v>
      </c>
      <c r="L115" s="19">
        <v>1</v>
      </c>
      <c r="M115" s="30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2.4" x14ac:dyDescent="0.3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30">
        <v>150.86134166666665</v>
      </c>
      <c r="I116" s="19">
        <v>1</v>
      </c>
      <c r="J116" s="30">
        <v>150.86134166666665</v>
      </c>
      <c r="K116" s="30">
        <v>150.86134166666665</v>
      </c>
      <c r="L116" s="19">
        <v>1</v>
      </c>
      <c r="M116" s="30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2.4" x14ac:dyDescent="0.3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30">
        <v>197.69570833333333</v>
      </c>
      <c r="I117" s="19">
        <v>1</v>
      </c>
      <c r="J117" s="30">
        <v>197.69570833333333</v>
      </c>
      <c r="K117" s="30">
        <v>197.69570833333333</v>
      </c>
      <c r="L117" s="19">
        <v>1</v>
      </c>
      <c r="M117" s="30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1.6" x14ac:dyDescent="0.3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30">
        <v>232.07635000000002</v>
      </c>
      <c r="I118" s="19">
        <v>1</v>
      </c>
      <c r="J118" s="30">
        <v>232.07635000000002</v>
      </c>
      <c r="K118" s="30">
        <v>232.07635000000002</v>
      </c>
      <c r="L118" s="19">
        <v>1</v>
      </c>
      <c r="M118" s="30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187.2" x14ac:dyDescent="0.3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30">
        <v>52.414616666666667</v>
      </c>
      <c r="I119" s="19">
        <v>1</v>
      </c>
      <c r="J119" s="30">
        <v>52.414616666666667</v>
      </c>
      <c r="K119" s="30">
        <v>52.414616666666667</v>
      </c>
      <c r="L119" s="19">
        <v>1</v>
      </c>
      <c r="M119" s="30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1.6" x14ac:dyDescent="0.3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30">
        <v>238.34789166666664</v>
      </c>
      <c r="I120" s="19">
        <v>1</v>
      </c>
      <c r="J120" s="30">
        <v>238.34789166666664</v>
      </c>
      <c r="K120" s="30">
        <v>238.34789166666664</v>
      </c>
      <c r="L120" s="19">
        <v>1</v>
      </c>
      <c r="M120" s="30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71.6" x14ac:dyDescent="0.3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30">
        <v>111.73391666666667</v>
      </c>
      <c r="I121" s="19">
        <v>1</v>
      </c>
      <c r="J121" s="30">
        <v>111.73391666666667</v>
      </c>
      <c r="K121" s="30">
        <v>111.73391666666667</v>
      </c>
      <c r="L121" s="19">
        <v>1</v>
      </c>
      <c r="M121" s="30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3.6" x14ac:dyDescent="0.3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30">
        <v>260.60821666666664</v>
      </c>
      <c r="I122" s="19">
        <v>1</v>
      </c>
      <c r="J122" s="30">
        <v>260.60821666666664</v>
      </c>
      <c r="K122" s="30">
        <v>260.60821666666664</v>
      </c>
      <c r="L122" s="19">
        <v>1</v>
      </c>
      <c r="M122" s="30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" x14ac:dyDescent="0.3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30"/>
      <c r="I123" s="19">
        <v>3</v>
      </c>
      <c r="J123" s="30">
        <v>225</v>
      </c>
      <c r="K123" s="30"/>
      <c r="L123" s="19">
        <v>3</v>
      </c>
      <c r="M123" s="30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3.6" x14ac:dyDescent="0.3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30">
        <v>92.896299999999997</v>
      </c>
      <c r="I124" s="19">
        <v>1</v>
      </c>
      <c r="J124" s="30">
        <v>92.896299999999997</v>
      </c>
      <c r="K124" s="30">
        <v>92.896299999999997</v>
      </c>
      <c r="L124" s="19">
        <v>1</v>
      </c>
      <c r="M124" s="30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09.2" x14ac:dyDescent="0.3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30">
        <v>1249.6003833333334</v>
      </c>
      <c r="I125" s="30">
        <v>1</v>
      </c>
      <c r="J125" s="30">
        <v>1249.6003833333334</v>
      </c>
      <c r="K125" s="30">
        <v>1249.6003833333334</v>
      </c>
      <c r="L125" s="30">
        <v>1</v>
      </c>
      <c r="M125" s="30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3.6" x14ac:dyDescent="0.3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30">
        <v>505.40151666666668</v>
      </c>
      <c r="I126" s="30">
        <v>1</v>
      </c>
      <c r="J126" s="30">
        <v>505.40151666666668</v>
      </c>
      <c r="K126" s="30">
        <v>505.40151666666668</v>
      </c>
      <c r="L126" s="30">
        <v>1</v>
      </c>
      <c r="M126" s="30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3.6" x14ac:dyDescent="0.3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30">
        <v>260.60821666666669</v>
      </c>
      <c r="I127" s="30">
        <v>1</v>
      </c>
      <c r="J127" s="30">
        <v>260.60821666666669</v>
      </c>
      <c r="K127" s="30">
        <v>260.60821666666669</v>
      </c>
      <c r="L127" s="30">
        <v>1</v>
      </c>
      <c r="M127" s="30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" x14ac:dyDescent="0.3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30">
        <f>911.5919/1.2</f>
        <v>759.65991666666673</v>
      </c>
      <c r="I128" s="30">
        <v>1</v>
      </c>
      <c r="J128" s="30">
        <f>911.5919/1.2</f>
        <v>759.65991666666673</v>
      </c>
      <c r="K128" s="30">
        <f>911.5919/1.2</f>
        <v>759.65991666666673</v>
      </c>
      <c r="L128" s="30">
        <v>1</v>
      </c>
      <c r="M128" s="30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09.2" x14ac:dyDescent="0.3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30">
        <f>457728.86/1.2/1000</f>
        <v>381.44071666666667</v>
      </c>
      <c r="I129" s="30">
        <v>1</v>
      </c>
      <c r="J129" s="30">
        <f>457728.86/1.2/1000</f>
        <v>381.44071666666667</v>
      </c>
      <c r="K129" s="30">
        <f>457728.86/1.2/1000</f>
        <v>381.44071666666667</v>
      </c>
      <c r="L129" s="30">
        <v>1</v>
      </c>
      <c r="M129" s="30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09.2" x14ac:dyDescent="0.3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2">
        <f>813.26934/1.2</f>
        <v>677.72445000000005</v>
      </c>
      <c r="I130" s="2">
        <v>1</v>
      </c>
      <c r="J130" s="2">
        <f>813.26934/1.2</f>
        <v>677.72445000000005</v>
      </c>
      <c r="K130" s="2">
        <f>813.26934/1.2</f>
        <v>677.72445000000005</v>
      </c>
      <c r="L130" s="2">
        <v>1</v>
      </c>
      <c r="M130" s="2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2.4" x14ac:dyDescent="0.3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30">
        <v>73.280283333333344</v>
      </c>
      <c r="I131" s="19">
        <v>1</v>
      </c>
      <c r="J131" s="30">
        <v>73.280283333333344</v>
      </c>
      <c r="K131" s="30">
        <v>73.280283333333344</v>
      </c>
      <c r="L131" s="19">
        <v>1</v>
      </c>
      <c r="M131" s="30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2.4" x14ac:dyDescent="0.3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30">
        <v>115.23385</v>
      </c>
      <c r="I132" s="19">
        <v>1</v>
      </c>
      <c r="J132" s="30">
        <v>115.23385</v>
      </c>
      <c r="K132" s="30">
        <v>115.23385</v>
      </c>
      <c r="L132" s="19">
        <v>1</v>
      </c>
      <c r="M132" s="30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2.4" x14ac:dyDescent="0.3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30">
        <v>50.018791666666672</v>
      </c>
      <c r="I133" s="19">
        <v>1</v>
      </c>
      <c r="J133" s="30">
        <v>50.018791666666672</v>
      </c>
      <c r="K133" s="30">
        <v>50.018791666666672</v>
      </c>
      <c r="L133" s="19">
        <v>1</v>
      </c>
      <c r="M133" s="30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2.4" x14ac:dyDescent="0.3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30">
        <v>50.018791666666672</v>
      </c>
      <c r="I134" s="19">
        <v>1</v>
      </c>
      <c r="J134" s="30">
        <v>50.018791666666672</v>
      </c>
      <c r="K134" s="30">
        <v>50.018791666666672</v>
      </c>
      <c r="L134" s="19">
        <v>1</v>
      </c>
      <c r="M134" s="30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2.4" x14ac:dyDescent="0.3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30">
        <v>102.12271666666666</v>
      </c>
      <c r="I135" s="19">
        <v>1</v>
      </c>
      <c r="J135" s="30">
        <v>102.12271666666666</v>
      </c>
      <c r="K135" s="30">
        <v>102.12271666666666</v>
      </c>
      <c r="L135" s="19">
        <v>1</v>
      </c>
      <c r="M135" s="30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2.4" x14ac:dyDescent="0.3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30">
        <v>50.688966666666666</v>
      </c>
      <c r="I136" s="19">
        <v>1</v>
      </c>
      <c r="J136" s="30">
        <v>50.688966666666666</v>
      </c>
      <c r="K136" s="30">
        <v>50.688966666666666</v>
      </c>
      <c r="L136" s="19">
        <v>1</v>
      </c>
      <c r="M136" s="30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2.4" x14ac:dyDescent="0.3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30">
        <v>50.24901666666667</v>
      </c>
      <c r="I137" s="19">
        <v>1</v>
      </c>
      <c r="J137" s="30">
        <v>50.24901666666667</v>
      </c>
      <c r="K137" s="30">
        <v>50.24901666666667</v>
      </c>
      <c r="L137" s="19">
        <v>1</v>
      </c>
      <c r="M137" s="30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2.4" x14ac:dyDescent="0.3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30">
        <v>83.923249999999996</v>
      </c>
      <c r="I138" s="19">
        <v>1</v>
      </c>
      <c r="J138" s="30">
        <v>83.923249999999996</v>
      </c>
      <c r="K138" s="30">
        <v>83.923249999999996</v>
      </c>
      <c r="L138" s="19">
        <v>1</v>
      </c>
      <c r="M138" s="30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2.4" x14ac:dyDescent="0.3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4">
        <f>130.78254/1.2</f>
        <v>108.98545000000001</v>
      </c>
      <c r="I139" s="30">
        <v>1</v>
      </c>
      <c r="J139" s="4">
        <f>130.78254/1.2</f>
        <v>108.98545000000001</v>
      </c>
      <c r="K139" s="4">
        <f>130.78254/1.2</f>
        <v>108.98545000000001</v>
      </c>
      <c r="L139" s="30">
        <v>1</v>
      </c>
      <c r="M139" s="4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2.4" x14ac:dyDescent="0.3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30">
        <v>153.88545000000002</v>
      </c>
      <c r="I140" s="19">
        <v>1</v>
      </c>
      <c r="J140" s="30">
        <v>153.88545000000002</v>
      </c>
      <c r="K140" s="30">
        <v>153.88545000000002</v>
      </c>
      <c r="L140" s="19">
        <v>1</v>
      </c>
      <c r="M140" s="30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3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30">
        <v>163.24846666666667</v>
      </c>
      <c r="I141" s="19">
        <v>1</v>
      </c>
      <c r="J141" s="30">
        <v>163.24846666666667</v>
      </c>
      <c r="K141" s="30">
        <v>163.24846666666667</v>
      </c>
      <c r="L141" s="19">
        <v>1</v>
      </c>
      <c r="M141" s="30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2.4" x14ac:dyDescent="0.3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30">
        <v>135.47093333333333</v>
      </c>
      <c r="I142" s="30">
        <v>1</v>
      </c>
      <c r="J142" s="30">
        <v>135.47093333333333</v>
      </c>
      <c r="K142" s="30">
        <v>135.47093333333333</v>
      </c>
      <c r="L142" s="30">
        <v>1</v>
      </c>
      <c r="M142" s="30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2.4" x14ac:dyDescent="0.3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30">
        <v>139.26370000000003</v>
      </c>
      <c r="I143" s="19">
        <v>1</v>
      </c>
      <c r="J143" s="30">
        <v>139.26370000000003</v>
      </c>
      <c r="K143" s="30">
        <v>139.26370000000003</v>
      </c>
      <c r="L143" s="19">
        <v>1</v>
      </c>
      <c r="M143" s="30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2.4" x14ac:dyDescent="0.3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30">
        <v>289.09326666666669</v>
      </c>
      <c r="I144" s="19">
        <v>1</v>
      </c>
      <c r="J144" s="30">
        <v>289.09326666666669</v>
      </c>
      <c r="K144" s="30">
        <v>289.09326666666669</v>
      </c>
      <c r="L144" s="19">
        <v>1</v>
      </c>
      <c r="M144" s="30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2.4" x14ac:dyDescent="0.3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30">
        <v>95.580883333333333</v>
      </c>
      <c r="I145" s="30">
        <v>1</v>
      </c>
      <c r="J145" s="30">
        <v>95.580883333333333</v>
      </c>
      <c r="K145" s="30">
        <v>95.580883333333333</v>
      </c>
      <c r="L145" s="30">
        <v>1</v>
      </c>
      <c r="M145" s="30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2.4" x14ac:dyDescent="0.3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30">
        <v>155.93403333333333</v>
      </c>
      <c r="I146" s="19">
        <v>1</v>
      </c>
      <c r="J146" s="30">
        <v>155.93403333333333</v>
      </c>
      <c r="K146" s="30">
        <v>155.93403333333333</v>
      </c>
      <c r="L146" s="19">
        <v>1</v>
      </c>
      <c r="M146" s="30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1.6" x14ac:dyDescent="0.3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30">
        <v>102.19039166666667</v>
      </c>
      <c r="I147" s="30">
        <v>1</v>
      </c>
      <c r="J147" s="30">
        <v>102.19039166666667</v>
      </c>
      <c r="K147" s="30">
        <v>102.19039166666667</v>
      </c>
      <c r="L147" s="30">
        <v>1</v>
      </c>
      <c r="M147" s="30">
        <v>102.19039166666667</v>
      </c>
      <c r="N147" s="3" t="s">
        <v>381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1.6" x14ac:dyDescent="0.3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30">
        <v>71.533266666666663</v>
      </c>
      <c r="I148" s="30">
        <v>1</v>
      </c>
      <c r="J148" s="30">
        <v>71.533266666666663</v>
      </c>
      <c r="K148" s="30">
        <v>71.533266666666663</v>
      </c>
      <c r="L148" s="30">
        <v>1</v>
      </c>
      <c r="M148" s="30">
        <v>71.533266666666663</v>
      </c>
      <c r="N148" s="3" t="s">
        <v>380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1.6" x14ac:dyDescent="0.3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30">
        <v>696.18994999999995</v>
      </c>
      <c r="I149" s="30">
        <v>1</v>
      </c>
      <c r="J149" s="30">
        <v>696.18994999999995</v>
      </c>
      <c r="K149" s="30">
        <v>696.18994999999995</v>
      </c>
      <c r="L149" s="30">
        <v>1</v>
      </c>
      <c r="M149" s="30">
        <v>696.18994999999995</v>
      </c>
      <c r="N149" s="3" t="s">
        <v>378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1.6" x14ac:dyDescent="0.3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30">
        <v>758.30493333333345</v>
      </c>
      <c r="I150" s="30">
        <v>1</v>
      </c>
      <c r="J150" s="30">
        <v>758.30493333333345</v>
      </c>
      <c r="K150" s="30">
        <v>758.30493333333345</v>
      </c>
      <c r="L150" s="30">
        <v>1</v>
      </c>
      <c r="M150" s="30">
        <v>758.30493333333345</v>
      </c>
      <c r="N150" s="3" t="s">
        <v>377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7.2" x14ac:dyDescent="0.3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30">
        <v>976.18724166666675</v>
      </c>
      <c r="I151" s="30">
        <v>1</v>
      </c>
      <c r="J151" s="30">
        <v>976.18724166666675</v>
      </c>
      <c r="K151" s="30">
        <v>976.18724166666675</v>
      </c>
      <c r="L151" s="30">
        <v>1</v>
      </c>
      <c r="M151" s="30">
        <v>976.18724166666675</v>
      </c>
      <c r="N151" s="3" t="s">
        <v>376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2.8" x14ac:dyDescent="0.3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30">
        <v>532.81869166666672</v>
      </c>
      <c r="I152" s="30">
        <v>1</v>
      </c>
      <c r="J152" s="30">
        <v>532.81869166666672</v>
      </c>
      <c r="K152" s="30">
        <v>532.81869166666672</v>
      </c>
      <c r="L152" s="30">
        <v>1</v>
      </c>
      <c r="M152" s="30">
        <v>532.81869166666672</v>
      </c>
      <c r="N152" s="3" t="s">
        <v>379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6.8" x14ac:dyDescent="0.3">
      <c r="A153" s="30">
        <v>149</v>
      </c>
      <c r="B153" s="30" t="s">
        <v>21</v>
      </c>
      <c r="C153" s="12" t="s">
        <v>171</v>
      </c>
      <c r="D153" s="30" t="s">
        <v>58</v>
      </c>
      <c r="E153" s="30" t="s">
        <v>373</v>
      </c>
      <c r="F153" s="12" t="s">
        <v>370</v>
      </c>
      <c r="G153" s="30" t="s">
        <v>186</v>
      </c>
      <c r="H153" s="30"/>
      <c r="I153" s="17">
        <v>4</v>
      </c>
      <c r="J153" s="30">
        <v>276.76841666666667</v>
      </c>
      <c r="K153" s="30"/>
      <c r="L153" s="17">
        <v>4</v>
      </c>
      <c r="M153" s="30">
        <v>276.76841666666667</v>
      </c>
      <c r="N153" s="3" t="s">
        <v>375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" x14ac:dyDescent="0.3">
      <c r="A154" s="30">
        <v>150</v>
      </c>
      <c r="B154" s="30" t="s">
        <v>21</v>
      </c>
      <c r="C154" s="12" t="s">
        <v>372</v>
      </c>
      <c r="D154" s="30" t="s">
        <v>58</v>
      </c>
      <c r="E154" s="30" t="s">
        <v>373</v>
      </c>
      <c r="F154" s="12" t="s">
        <v>371</v>
      </c>
      <c r="G154" s="30" t="s">
        <v>186</v>
      </c>
      <c r="H154" s="30">
        <v>914.16666666666674</v>
      </c>
      <c r="I154" s="17">
        <v>43</v>
      </c>
      <c r="J154" s="30">
        <v>914.16666666666674</v>
      </c>
      <c r="K154" s="30">
        <v>914.16666666666674</v>
      </c>
      <c r="L154" s="17">
        <v>43</v>
      </c>
      <c r="M154" s="30">
        <v>914.16666666666674</v>
      </c>
      <c r="N154" s="3" t="s">
        <v>374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2.8" x14ac:dyDescent="0.3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30">
        <v>587.16880000000003</v>
      </c>
      <c r="I155" s="30">
        <v>1</v>
      </c>
      <c r="J155" s="30">
        <v>587.16880000000003</v>
      </c>
      <c r="K155" s="30">
        <v>587.16880000000003</v>
      </c>
      <c r="L155" s="30">
        <v>1</v>
      </c>
      <c r="M155" s="30">
        <v>587.16880000000003</v>
      </c>
      <c r="N155" s="3" t="s">
        <v>386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2.8" x14ac:dyDescent="0.3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30">
        <v>104.89009999999999</v>
      </c>
      <c r="I156" s="30">
        <v>1</v>
      </c>
      <c r="J156" s="30">
        <v>104.89009999999999</v>
      </c>
      <c r="K156" s="30">
        <v>104.89009999999999</v>
      </c>
      <c r="L156" s="30">
        <v>1</v>
      </c>
      <c r="M156" s="30">
        <v>104.89009999999999</v>
      </c>
      <c r="N156" s="3" t="s">
        <v>385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2.8" x14ac:dyDescent="0.3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30">
        <v>583.41170000000011</v>
      </c>
      <c r="I157" s="30">
        <v>1</v>
      </c>
      <c r="J157" s="30">
        <v>583.41170000000011</v>
      </c>
      <c r="K157" s="30">
        <v>583.41170000000011</v>
      </c>
      <c r="L157" s="30">
        <v>1</v>
      </c>
      <c r="M157" s="30">
        <v>583.41170000000011</v>
      </c>
      <c r="N157" s="3" t="s">
        <v>384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2.8" x14ac:dyDescent="0.3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30">
        <v>377.21148333333338</v>
      </c>
      <c r="I158" s="30">
        <v>1</v>
      </c>
      <c r="J158" s="30">
        <v>377.21148333333338</v>
      </c>
      <c r="K158" s="30">
        <v>377.21148333333338</v>
      </c>
      <c r="L158" s="30">
        <v>1</v>
      </c>
      <c r="M158" s="30">
        <v>377.21148333333338</v>
      </c>
      <c r="N158" s="3" t="s">
        <v>383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3.6" x14ac:dyDescent="0.3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30">
        <v>268.31505833333335</v>
      </c>
      <c r="I159" s="30">
        <v>1</v>
      </c>
      <c r="J159" s="30">
        <v>268.31505833333335</v>
      </c>
      <c r="K159" s="30">
        <v>268.31505833333335</v>
      </c>
      <c r="L159" s="30">
        <v>1</v>
      </c>
      <c r="M159" s="30">
        <v>268.31505833333335</v>
      </c>
      <c r="N159" s="3" t="s">
        <v>382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6.8" x14ac:dyDescent="0.3">
      <c r="A160" s="30">
        <v>156</v>
      </c>
      <c r="B160" s="30" t="s">
        <v>40</v>
      </c>
      <c r="C160" s="26" t="s">
        <v>389</v>
      </c>
      <c r="D160" s="30" t="s">
        <v>58</v>
      </c>
      <c r="E160" s="30" t="s">
        <v>88</v>
      </c>
      <c r="F160" s="30" t="s">
        <v>390</v>
      </c>
      <c r="G160" s="30" t="s">
        <v>184</v>
      </c>
      <c r="H160" s="30">
        <f>28358391.58/1000/1.2</f>
        <v>23631.992983333334</v>
      </c>
      <c r="I160" s="30">
        <v>1</v>
      </c>
      <c r="J160" s="30">
        <f>28358391.58/1000/1.2</f>
        <v>23631.992983333334</v>
      </c>
      <c r="K160" s="30">
        <f>28358391.58/1000/1.2</f>
        <v>23631.992983333334</v>
      </c>
      <c r="L160" s="30">
        <v>1</v>
      </c>
      <c r="M160" s="30">
        <f>28358391.58/1000/1.2</f>
        <v>23631.992983333334</v>
      </c>
      <c r="N160" s="3" t="s">
        <v>387</v>
      </c>
      <c r="O160" s="31">
        <v>45020</v>
      </c>
      <c r="P160" s="16" t="s">
        <v>388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0.4" x14ac:dyDescent="0.3">
      <c r="A161" s="30">
        <v>157</v>
      </c>
      <c r="B161" s="30" t="s">
        <v>21</v>
      </c>
      <c r="C161" s="30" t="s">
        <v>36</v>
      </c>
      <c r="D161" s="30"/>
      <c r="E161" s="30" t="s">
        <v>88</v>
      </c>
      <c r="F161" s="12" t="s">
        <v>395</v>
      </c>
      <c r="G161" s="30" t="s">
        <v>185</v>
      </c>
      <c r="H161" s="30"/>
      <c r="I161" s="17">
        <v>28</v>
      </c>
      <c r="J161" s="30">
        <v>116.76</v>
      </c>
      <c r="K161" s="30"/>
      <c r="L161" s="17">
        <v>28</v>
      </c>
      <c r="M161" s="30">
        <v>116.76</v>
      </c>
      <c r="N161" s="3" t="s">
        <v>398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2.8" x14ac:dyDescent="0.3">
      <c r="A162" s="30">
        <v>158</v>
      </c>
      <c r="B162" s="30" t="s">
        <v>40</v>
      </c>
      <c r="C162" s="30" t="s">
        <v>41</v>
      </c>
      <c r="D162" s="30"/>
      <c r="E162" s="30" t="s">
        <v>88</v>
      </c>
      <c r="F162" s="12" t="s">
        <v>359</v>
      </c>
      <c r="G162" s="30" t="s">
        <v>184</v>
      </c>
      <c r="H162" s="30">
        <v>587.16880000000003</v>
      </c>
      <c r="I162" s="17">
        <v>1</v>
      </c>
      <c r="J162" s="30">
        <v>587.16880000000003</v>
      </c>
      <c r="K162" s="30">
        <v>587.16880000000003</v>
      </c>
      <c r="L162" s="17">
        <v>1</v>
      </c>
      <c r="M162" s="30">
        <v>587.16880000000003</v>
      </c>
      <c r="N162" s="3" t="s">
        <v>386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2.8" x14ac:dyDescent="0.3">
      <c r="A163" s="30">
        <v>159</v>
      </c>
      <c r="B163" s="30" t="s">
        <v>40</v>
      </c>
      <c r="C163" s="30" t="s">
        <v>41</v>
      </c>
      <c r="D163" s="30"/>
      <c r="E163" s="30" t="s">
        <v>88</v>
      </c>
      <c r="F163" s="12" t="s">
        <v>360</v>
      </c>
      <c r="G163" s="30" t="s">
        <v>184</v>
      </c>
      <c r="H163" s="30">
        <v>104.89009999999999</v>
      </c>
      <c r="I163" s="17">
        <v>1</v>
      </c>
      <c r="J163" s="30">
        <v>104.89009999999999</v>
      </c>
      <c r="K163" s="30">
        <v>104.89009999999999</v>
      </c>
      <c r="L163" s="17">
        <v>1</v>
      </c>
      <c r="M163" s="30">
        <v>104.89009999999999</v>
      </c>
      <c r="N163" s="3" t="s">
        <v>385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2.8" x14ac:dyDescent="0.3">
      <c r="A164" s="30">
        <v>160</v>
      </c>
      <c r="B164" s="30" t="s">
        <v>40</v>
      </c>
      <c r="C164" s="30" t="s">
        <v>41</v>
      </c>
      <c r="D164" s="30"/>
      <c r="E164" s="30" t="s">
        <v>88</v>
      </c>
      <c r="F164" s="12" t="s">
        <v>361</v>
      </c>
      <c r="G164" s="30" t="s">
        <v>184</v>
      </c>
      <c r="H164" s="30">
        <v>583.41170000000011</v>
      </c>
      <c r="I164" s="17">
        <v>1</v>
      </c>
      <c r="J164" s="30">
        <v>583.41170000000011</v>
      </c>
      <c r="K164" s="30">
        <v>583.41170000000011</v>
      </c>
      <c r="L164" s="17">
        <v>1</v>
      </c>
      <c r="M164" s="30">
        <v>583.41170000000011</v>
      </c>
      <c r="N164" s="3" t="s">
        <v>384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2.8" x14ac:dyDescent="0.3">
      <c r="A165" s="30">
        <v>161</v>
      </c>
      <c r="B165" s="30" t="s">
        <v>40</v>
      </c>
      <c r="C165" s="30" t="s">
        <v>41</v>
      </c>
      <c r="D165" s="30"/>
      <c r="E165" s="30" t="s">
        <v>88</v>
      </c>
      <c r="F165" s="12" t="s">
        <v>362</v>
      </c>
      <c r="G165" s="30" t="s">
        <v>184</v>
      </c>
      <c r="H165" s="30">
        <v>377.21148333333338</v>
      </c>
      <c r="I165" s="17">
        <v>1</v>
      </c>
      <c r="J165" s="30">
        <v>377.21148333333338</v>
      </c>
      <c r="K165" s="30">
        <v>377.21148333333338</v>
      </c>
      <c r="L165" s="17">
        <v>1</v>
      </c>
      <c r="M165" s="30">
        <v>377.21148333333338</v>
      </c>
      <c r="N165" s="3" t="s">
        <v>383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3.6" x14ac:dyDescent="0.3">
      <c r="A166" s="30">
        <v>162</v>
      </c>
      <c r="B166" s="30" t="s">
        <v>40</v>
      </c>
      <c r="C166" s="30" t="s">
        <v>41</v>
      </c>
      <c r="D166" s="30"/>
      <c r="E166" s="30" t="s">
        <v>88</v>
      </c>
      <c r="F166" s="12" t="s">
        <v>363</v>
      </c>
      <c r="G166" s="30" t="s">
        <v>184</v>
      </c>
      <c r="H166" s="30">
        <v>268.31505833333335</v>
      </c>
      <c r="I166" s="17">
        <v>1</v>
      </c>
      <c r="J166" s="30">
        <v>268.31505833333335</v>
      </c>
      <c r="K166" s="30">
        <v>268.31505833333335</v>
      </c>
      <c r="L166" s="17">
        <v>1</v>
      </c>
      <c r="M166" s="30">
        <v>268.31505833333335</v>
      </c>
      <c r="N166" s="3" t="s">
        <v>382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1.6" x14ac:dyDescent="0.3">
      <c r="A167" s="30">
        <v>163</v>
      </c>
      <c r="B167" s="30" t="s">
        <v>40</v>
      </c>
      <c r="C167" s="30" t="s">
        <v>41</v>
      </c>
      <c r="D167" s="30"/>
      <c r="E167" s="30" t="s">
        <v>88</v>
      </c>
      <c r="F167" s="12" t="s">
        <v>364</v>
      </c>
      <c r="G167" s="30" t="s">
        <v>184</v>
      </c>
      <c r="H167" s="30">
        <v>102.19039166666667</v>
      </c>
      <c r="I167" s="17">
        <v>1</v>
      </c>
      <c r="J167" s="30">
        <v>102.19039166666667</v>
      </c>
      <c r="K167" s="30">
        <v>102.19039166666667</v>
      </c>
      <c r="L167" s="17">
        <v>1</v>
      </c>
      <c r="M167" s="30">
        <v>102.19039166666667</v>
      </c>
      <c r="N167" s="3" t="s">
        <v>381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2.4" x14ac:dyDescent="0.3">
      <c r="A168" s="30">
        <v>164</v>
      </c>
      <c r="B168" s="30" t="s">
        <v>40</v>
      </c>
      <c r="C168" s="30" t="s">
        <v>41</v>
      </c>
      <c r="D168" s="30"/>
      <c r="E168" s="30" t="s">
        <v>373</v>
      </c>
      <c r="F168" s="12" t="s">
        <v>392</v>
      </c>
      <c r="G168" s="30" t="s">
        <v>184</v>
      </c>
      <c r="H168" s="30">
        <v>773.17223333333334</v>
      </c>
      <c r="I168" s="17">
        <v>1</v>
      </c>
      <c r="J168" s="30">
        <v>773.17223333333334</v>
      </c>
      <c r="K168" s="30">
        <v>773.17223333333334</v>
      </c>
      <c r="L168" s="17">
        <v>1</v>
      </c>
      <c r="M168" s="30">
        <v>773.17223333333334</v>
      </c>
      <c r="N168" s="3" t="s">
        <v>399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09.2" x14ac:dyDescent="0.3">
      <c r="A169" s="30">
        <v>165</v>
      </c>
      <c r="B169" s="30" t="s">
        <v>40</v>
      </c>
      <c r="C169" s="30" t="s">
        <v>41</v>
      </c>
      <c r="D169" s="30"/>
      <c r="E169" s="30" t="s">
        <v>373</v>
      </c>
      <c r="F169" s="12" t="s">
        <v>393</v>
      </c>
      <c r="G169" s="30" t="s">
        <v>184</v>
      </c>
      <c r="H169" s="30">
        <v>433.25754999999998</v>
      </c>
      <c r="I169" s="17">
        <v>1</v>
      </c>
      <c r="J169" s="30">
        <v>433.25754999999998</v>
      </c>
      <c r="K169" s="30">
        <v>433.25754999999998</v>
      </c>
      <c r="L169" s="17">
        <v>1</v>
      </c>
      <c r="M169" s="30">
        <v>433.25754999999998</v>
      </c>
      <c r="N169" s="3" t="s">
        <v>400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2.4" x14ac:dyDescent="0.3">
      <c r="A170" s="30">
        <v>166</v>
      </c>
      <c r="B170" s="30" t="s">
        <v>40</v>
      </c>
      <c r="C170" s="30" t="s">
        <v>396</v>
      </c>
      <c r="D170" s="30"/>
      <c r="E170" s="30" t="s">
        <v>75</v>
      </c>
      <c r="F170" s="12" t="s">
        <v>394</v>
      </c>
      <c r="G170" s="30" t="s">
        <v>184</v>
      </c>
      <c r="H170" s="30">
        <v>147.59993333333335</v>
      </c>
      <c r="I170" s="17">
        <v>1</v>
      </c>
      <c r="J170" s="30">
        <v>147.59993333333335</v>
      </c>
      <c r="K170" s="30">
        <v>147.59993333333335</v>
      </c>
      <c r="L170" s="17">
        <v>1</v>
      </c>
      <c r="M170" s="30">
        <v>147.59993333333335</v>
      </c>
      <c r="N170" s="3" t="s">
        <v>401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2.4" x14ac:dyDescent="0.3">
      <c r="A171" s="30">
        <v>167</v>
      </c>
      <c r="B171" s="30" t="s">
        <v>21</v>
      </c>
      <c r="C171" s="30" t="s">
        <v>178</v>
      </c>
      <c r="D171" s="30" t="s">
        <v>58</v>
      </c>
      <c r="E171" s="30" t="s">
        <v>88</v>
      </c>
      <c r="F171" s="12" t="s">
        <v>391</v>
      </c>
      <c r="G171" s="30" t="s">
        <v>185</v>
      </c>
      <c r="H171" s="30" t="s">
        <v>397</v>
      </c>
      <c r="I171" s="17">
        <v>20</v>
      </c>
      <c r="J171" s="30">
        <v>125.4</v>
      </c>
      <c r="K171" s="30"/>
      <c r="L171" s="17">
        <v>20</v>
      </c>
      <c r="M171" s="30">
        <v>125.4</v>
      </c>
      <c r="N171" s="3" t="s">
        <v>402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410</v>
      </c>
      <c r="V171" s="30"/>
    </row>
    <row r="172" spans="1:22" ht="62.4" x14ac:dyDescent="0.3">
      <c r="A172" s="30">
        <v>168</v>
      </c>
      <c r="B172" s="30" t="s">
        <v>40</v>
      </c>
      <c r="C172" s="30" t="s">
        <v>41</v>
      </c>
      <c r="D172" s="30"/>
      <c r="E172" s="30" t="s">
        <v>373</v>
      </c>
      <c r="F172" s="30" t="s">
        <v>403</v>
      </c>
      <c r="G172" s="30" t="s">
        <v>184</v>
      </c>
      <c r="H172" s="27">
        <f>984854.68/1000/1.2</f>
        <v>820.71223333333342</v>
      </c>
      <c r="I172" s="30">
        <v>1</v>
      </c>
      <c r="J172" s="27">
        <f>984854.68/1000/1.2</f>
        <v>820.71223333333342</v>
      </c>
      <c r="K172" s="27">
        <f>984854.68/1000/1.2</f>
        <v>820.71223333333342</v>
      </c>
      <c r="L172" s="30">
        <v>1</v>
      </c>
      <c r="M172" s="27">
        <f>984854.68/1000/1.2</f>
        <v>820.71223333333342</v>
      </c>
      <c r="N172" s="3" t="s">
        <v>407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2.4" x14ac:dyDescent="0.3">
      <c r="A173" s="30">
        <v>169</v>
      </c>
      <c r="B173" s="30" t="s">
        <v>40</v>
      </c>
      <c r="C173" s="30" t="s">
        <v>41</v>
      </c>
      <c r="D173" s="30"/>
      <c r="E173" s="30" t="s">
        <v>75</v>
      </c>
      <c r="F173" s="30" t="s">
        <v>404</v>
      </c>
      <c r="G173" s="30" t="s">
        <v>184</v>
      </c>
      <c r="H173" s="27">
        <f>115076.1/1000/1.2</f>
        <v>95.896750000000011</v>
      </c>
      <c r="I173" s="30">
        <v>1</v>
      </c>
      <c r="J173" s="27">
        <f>115076.1/1000/1.2</f>
        <v>95.896750000000011</v>
      </c>
      <c r="K173" s="27">
        <f>115076.1/1000/1.2</f>
        <v>95.896750000000011</v>
      </c>
      <c r="L173" s="30">
        <v>1</v>
      </c>
      <c r="M173" s="27">
        <f>115076.1/1000/1.2</f>
        <v>95.896750000000011</v>
      </c>
      <c r="N173" s="3" t="s">
        <v>408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2.4" x14ac:dyDescent="0.3">
      <c r="A174" s="30">
        <v>170</v>
      </c>
      <c r="B174" s="30" t="s">
        <v>21</v>
      </c>
      <c r="C174" s="30" t="s">
        <v>406</v>
      </c>
      <c r="D174" s="30"/>
      <c r="E174" s="30" t="s">
        <v>373</v>
      </c>
      <c r="F174" s="30" t="s">
        <v>405</v>
      </c>
      <c r="G174" s="30" t="s">
        <v>186</v>
      </c>
      <c r="H174" s="30"/>
      <c r="I174" s="30">
        <v>14</v>
      </c>
      <c r="J174" s="27">
        <f>789259.6/1000/1.2</f>
        <v>657.7163333333333</v>
      </c>
      <c r="K174" s="30"/>
      <c r="L174" s="30">
        <v>14</v>
      </c>
      <c r="M174" s="27">
        <f>789259.6/1000/1.2</f>
        <v>657.7163333333333</v>
      </c>
      <c r="N174" s="3" t="s">
        <v>409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2.4" x14ac:dyDescent="0.3">
      <c r="A175" s="30">
        <v>171</v>
      </c>
      <c r="B175" s="30" t="s">
        <v>21</v>
      </c>
      <c r="C175" s="30" t="s">
        <v>413</v>
      </c>
      <c r="D175" s="30" t="s">
        <v>58</v>
      </c>
      <c r="E175" s="30" t="s">
        <v>373</v>
      </c>
      <c r="F175" s="30" t="s">
        <v>411</v>
      </c>
      <c r="G175" s="18" t="s">
        <v>185</v>
      </c>
      <c r="H175" s="27">
        <v>583.22500000000002</v>
      </c>
      <c r="I175" s="19">
        <v>1</v>
      </c>
      <c r="J175" s="27">
        <v>583.22500000000002</v>
      </c>
      <c r="K175" s="27">
        <v>583.22500000000002</v>
      </c>
      <c r="L175" s="19">
        <v>1</v>
      </c>
      <c r="M175" s="27">
        <v>583.22500000000002</v>
      </c>
      <c r="N175" s="3" t="s">
        <v>414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459</v>
      </c>
      <c r="V175" s="30"/>
    </row>
    <row r="176" spans="1:22" ht="78" x14ac:dyDescent="0.3">
      <c r="A176" s="30">
        <v>172</v>
      </c>
      <c r="B176" s="30" t="s">
        <v>21</v>
      </c>
      <c r="C176" s="30" t="s">
        <v>32</v>
      </c>
      <c r="D176" s="30" t="s">
        <v>58</v>
      </c>
      <c r="E176" s="30" t="s">
        <v>373</v>
      </c>
      <c r="F176" s="30" t="s">
        <v>412</v>
      </c>
      <c r="G176" s="18" t="s">
        <v>185</v>
      </c>
      <c r="H176" s="27">
        <v>632.02200000000005</v>
      </c>
      <c r="I176" s="19">
        <v>1</v>
      </c>
      <c r="J176" s="27">
        <v>632.02200000000005</v>
      </c>
      <c r="K176" s="27">
        <v>632.02200000000005</v>
      </c>
      <c r="L176" s="19">
        <v>1</v>
      </c>
      <c r="M176" s="27">
        <v>632.02200000000005</v>
      </c>
      <c r="N176" s="3" t="s">
        <v>415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2.4" x14ac:dyDescent="0.3">
      <c r="A177" s="30">
        <v>173</v>
      </c>
      <c r="B177" s="30" t="s">
        <v>21</v>
      </c>
      <c r="C177" s="30" t="s">
        <v>406</v>
      </c>
      <c r="D177" s="30" t="s">
        <v>58</v>
      </c>
      <c r="E177" s="30" t="s">
        <v>373</v>
      </c>
      <c r="F177" s="30" t="s">
        <v>405</v>
      </c>
      <c r="G177" s="18" t="s">
        <v>186</v>
      </c>
      <c r="H177" s="30"/>
      <c r="I177" s="19">
        <v>119</v>
      </c>
      <c r="J177" s="27">
        <v>7769.3255600000002</v>
      </c>
      <c r="K177" s="30"/>
      <c r="L177" s="19">
        <v>119</v>
      </c>
      <c r="M177" s="27">
        <v>7769.3255600000002</v>
      </c>
      <c r="N177" s="3" t="s">
        <v>416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436</v>
      </c>
      <c r="V177" s="30"/>
    </row>
    <row r="178" spans="1:22" ht="62.4" x14ac:dyDescent="0.3">
      <c r="A178" s="30">
        <v>174</v>
      </c>
      <c r="B178" s="30" t="s">
        <v>21</v>
      </c>
      <c r="C178" s="30" t="s">
        <v>406</v>
      </c>
      <c r="D178" s="30" t="s">
        <v>58</v>
      </c>
      <c r="E178" s="30" t="s">
        <v>373</v>
      </c>
      <c r="F178" s="30" t="s">
        <v>405</v>
      </c>
      <c r="G178" s="18" t="s">
        <v>186</v>
      </c>
      <c r="H178" s="30"/>
      <c r="I178" s="19">
        <v>120</v>
      </c>
      <c r="J178" s="27">
        <v>8426.268</v>
      </c>
      <c r="K178" s="30"/>
      <c r="L178" s="19">
        <v>120</v>
      </c>
      <c r="M178" s="27">
        <v>8426.268</v>
      </c>
      <c r="N178" s="3" t="s">
        <v>437</v>
      </c>
      <c r="O178" s="25">
        <v>45042</v>
      </c>
      <c r="P178" s="28" t="s">
        <v>438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" x14ac:dyDescent="0.3">
      <c r="A179" s="30">
        <v>175</v>
      </c>
      <c r="B179" s="30" t="s">
        <v>40</v>
      </c>
      <c r="C179" s="30" t="s">
        <v>426</v>
      </c>
      <c r="D179" s="30"/>
      <c r="E179" s="30" t="s">
        <v>88</v>
      </c>
      <c r="F179" s="30" t="s">
        <v>417</v>
      </c>
      <c r="G179" s="30" t="s">
        <v>184</v>
      </c>
      <c r="H179" s="30">
        <v>57.85</v>
      </c>
      <c r="I179" s="30">
        <v>1</v>
      </c>
      <c r="J179" s="30">
        <v>57.85</v>
      </c>
      <c r="K179" s="30">
        <v>57.85</v>
      </c>
      <c r="L179" s="30">
        <v>1</v>
      </c>
      <c r="M179" s="30">
        <v>57.85</v>
      </c>
      <c r="N179" s="3" t="s">
        <v>427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" x14ac:dyDescent="0.3">
      <c r="A180" s="30">
        <v>176</v>
      </c>
      <c r="B180" s="30" t="s">
        <v>40</v>
      </c>
      <c r="C180" s="30" t="s">
        <v>426</v>
      </c>
      <c r="D180" s="30"/>
      <c r="E180" s="30" t="s">
        <v>88</v>
      </c>
      <c r="F180" s="30" t="s">
        <v>418</v>
      </c>
      <c r="G180" s="30" t="s">
        <v>184</v>
      </c>
      <c r="H180" s="30">
        <v>108.58</v>
      </c>
      <c r="I180" s="30">
        <v>1</v>
      </c>
      <c r="J180" s="30">
        <v>108.58</v>
      </c>
      <c r="K180" s="30">
        <v>108.58</v>
      </c>
      <c r="L180" s="30">
        <v>1</v>
      </c>
      <c r="M180" s="30">
        <v>108.58</v>
      </c>
      <c r="N180" s="3" t="s">
        <v>428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2.4" x14ac:dyDescent="0.3">
      <c r="A181" s="30">
        <v>177</v>
      </c>
      <c r="B181" s="30" t="s">
        <v>40</v>
      </c>
      <c r="C181" s="30" t="s">
        <v>426</v>
      </c>
      <c r="D181" s="30"/>
      <c r="E181" s="30" t="s">
        <v>88</v>
      </c>
      <c r="F181" s="30" t="s">
        <v>419</v>
      </c>
      <c r="G181" s="30" t="s">
        <v>184</v>
      </c>
      <c r="H181" s="30">
        <v>108.58</v>
      </c>
      <c r="I181" s="30">
        <v>1</v>
      </c>
      <c r="J181" s="30">
        <v>108.58</v>
      </c>
      <c r="K181" s="30">
        <v>108.58</v>
      </c>
      <c r="L181" s="30">
        <v>1</v>
      </c>
      <c r="M181" s="30">
        <v>108.58</v>
      </c>
      <c r="N181" s="3" t="s">
        <v>429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2.4" x14ac:dyDescent="0.3">
      <c r="A182" s="30">
        <v>178</v>
      </c>
      <c r="B182" s="30" t="s">
        <v>40</v>
      </c>
      <c r="C182" s="30" t="s">
        <v>426</v>
      </c>
      <c r="D182" s="30"/>
      <c r="E182" s="30" t="s">
        <v>88</v>
      </c>
      <c r="F182" s="30" t="s">
        <v>420</v>
      </c>
      <c r="G182" s="30" t="s">
        <v>184</v>
      </c>
      <c r="H182" s="30">
        <v>50.73</v>
      </c>
      <c r="I182" s="30">
        <v>1</v>
      </c>
      <c r="J182" s="30">
        <v>50.73</v>
      </c>
      <c r="K182" s="30">
        <v>50.73</v>
      </c>
      <c r="L182" s="30">
        <v>1</v>
      </c>
      <c r="M182" s="30">
        <v>50.73</v>
      </c>
      <c r="N182" s="3" t="s">
        <v>430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2.4" x14ac:dyDescent="0.3">
      <c r="A183" s="30">
        <v>179</v>
      </c>
      <c r="B183" s="30" t="s">
        <v>40</v>
      </c>
      <c r="C183" s="30" t="s">
        <v>426</v>
      </c>
      <c r="D183" s="30"/>
      <c r="E183" s="30" t="s">
        <v>88</v>
      </c>
      <c r="F183" s="30" t="s">
        <v>421</v>
      </c>
      <c r="G183" s="30" t="s">
        <v>184</v>
      </c>
      <c r="H183" s="30">
        <v>65.86</v>
      </c>
      <c r="I183" s="30">
        <v>1</v>
      </c>
      <c r="J183" s="30">
        <v>65.86</v>
      </c>
      <c r="K183" s="30">
        <v>65.86</v>
      </c>
      <c r="L183" s="30">
        <v>1</v>
      </c>
      <c r="M183" s="30">
        <v>65.86</v>
      </c>
      <c r="N183" s="3" t="s">
        <v>431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0.4" x14ac:dyDescent="0.3">
      <c r="A184" s="30">
        <v>180</v>
      </c>
      <c r="B184" s="30" t="s">
        <v>40</v>
      </c>
      <c r="C184" s="30" t="s">
        <v>73</v>
      </c>
      <c r="D184" s="30"/>
      <c r="E184" s="30" t="s">
        <v>75</v>
      </c>
      <c r="F184" s="30" t="s">
        <v>422</v>
      </c>
      <c r="G184" s="30" t="s">
        <v>184</v>
      </c>
      <c r="H184" s="30">
        <v>314.91000000000003</v>
      </c>
      <c r="I184" s="30">
        <v>1</v>
      </c>
      <c r="J184" s="30">
        <v>314.91000000000003</v>
      </c>
      <c r="K184" s="30">
        <v>314.91000000000003</v>
      </c>
      <c r="L184" s="30">
        <v>1</v>
      </c>
      <c r="M184" s="30">
        <v>314.91000000000003</v>
      </c>
      <c r="N184" s="3" t="s">
        <v>432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6" x14ac:dyDescent="0.3">
      <c r="A185" s="30">
        <v>181</v>
      </c>
      <c r="B185" s="30" t="s">
        <v>40</v>
      </c>
      <c r="C185" s="30" t="s">
        <v>73</v>
      </c>
      <c r="D185" s="30"/>
      <c r="E185" s="30" t="s">
        <v>75</v>
      </c>
      <c r="F185" s="30" t="s">
        <v>423</v>
      </c>
      <c r="G185" s="30" t="s">
        <v>184</v>
      </c>
      <c r="H185" s="30">
        <v>144.48566666666665</v>
      </c>
      <c r="I185" s="30">
        <v>1</v>
      </c>
      <c r="J185" s="30">
        <v>144.48566666666665</v>
      </c>
      <c r="K185" s="30">
        <v>144.48566666666665</v>
      </c>
      <c r="L185" s="30">
        <v>1</v>
      </c>
      <c r="M185" s="30">
        <v>144.48566666666665</v>
      </c>
      <c r="N185" s="3" t="s">
        <v>433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0.4" x14ac:dyDescent="0.3">
      <c r="A186" s="30">
        <v>182</v>
      </c>
      <c r="B186" s="30" t="s">
        <v>40</v>
      </c>
      <c r="C186" s="30" t="s">
        <v>73</v>
      </c>
      <c r="D186" s="30"/>
      <c r="E186" s="30" t="s">
        <v>75</v>
      </c>
      <c r="F186" s="30" t="s">
        <v>424</v>
      </c>
      <c r="G186" s="30" t="s">
        <v>184</v>
      </c>
      <c r="H186" s="30">
        <v>173.63946666666666</v>
      </c>
      <c r="I186" s="30">
        <v>1</v>
      </c>
      <c r="J186" s="30">
        <v>173.63946666666666</v>
      </c>
      <c r="K186" s="30">
        <v>173.63946666666666</v>
      </c>
      <c r="L186" s="30">
        <v>1</v>
      </c>
      <c r="M186" s="30">
        <v>173.63946666666666</v>
      </c>
      <c r="N186" s="3" t="s">
        <v>434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0.4" x14ac:dyDescent="0.3">
      <c r="A187" s="30">
        <v>183</v>
      </c>
      <c r="B187" s="30" t="s">
        <v>40</v>
      </c>
      <c r="C187" s="30" t="s">
        <v>73</v>
      </c>
      <c r="D187" s="30"/>
      <c r="E187" s="30" t="s">
        <v>75</v>
      </c>
      <c r="F187" s="30" t="s">
        <v>425</v>
      </c>
      <c r="G187" s="30" t="s">
        <v>184</v>
      </c>
      <c r="H187" s="30">
        <v>133.45370833333334</v>
      </c>
      <c r="I187" s="30">
        <v>1</v>
      </c>
      <c r="J187" s="30">
        <v>133.45370833333334</v>
      </c>
      <c r="K187" s="30">
        <v>133.45370833333334</v>
      </c>
      <c r="L187" s="30">
        <v>1</v>
      </c>
      <c r="M187" s="30">
        <v>133.45370833333334</v>
      </c>
      <c r="N187" s="3" t="s">
        <v>435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1.6" x14ac:dyDescent="0.3">
      <c r="A188" s="30">
        <v>184</v>
      </c>
      <c r="B188" s="30" t="s">
        <v>40</v>
      </c>
      <c r="C188" s="30" t="s">
        <v>41</v>
      </c>
      <c r="D188" s="30"/>
      <c r="E188" s="30" t="s">
        <v>373</v>
      </c>
      <c r="F188" s="30" t="s">
        <v>439</v>
      </c>
      <c r="G188" s="30" t="s">
        <v>184</v>
      </c>
      <c r="H188" s="30">
        <v>163.76835833333334</v>
      </c>
      <c r="I188" s="30">
        <v>1</v>
      </c>
      <c r="J188" s="30">
        <v>163.76835833333334</v>
      </c>
      <c r="K188" s="30">
        <v>163.76835833333334</v>
      </c>
      <c r="L188" s="30">
        <v>1</v>
      </c>
      <c r="M188" s="30">
        <v>163.76835833333334</v>
      </c>
      <c r="N188" s="3" t="s">
        <v>449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7.2" x14ac:dyDescent="0.3">
      <c r="A189" s="30">
        <v>185</v>
      </c>
      <c r="B189" s="30" t="s">
        <v>40</v>
      </c>
      <c r="C189" s="30" t="s">
        <v>41</v>
      </c>
      <c r="D189" s="30"/>
      <c r="E189" s="30" t="s">
        <v>373</v>
      </c>
      <c r="F189" s="30" t="s">
        <v>440</v>
      </c>
      <c r="G189" s="30" t="s">
        <v>184</v>
      </c>
      <c r="H189" s="30">
        <v>1215.2384916666667</v>
      </c>
      <c r="I189" s="30">
        <v>1</v>
      </c>
      <c r="J189" s="30">
        <v>1215.2384916666667</v>
      </c>
      <c r="K189" s="30">
        <v>1215.2384916666667</v>
      </c>
      <c r="L189" s="30">
        <v>1</v>
      </c>
      <c r="M189" s="30">
        <v>1215.2384916666667</v>
      </c>
      <c r="N189" s="3" t="s">
        <v>450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56" x14ac:dyDescent="0.3">
      <c r="A190" s="30">
        <v>186</v>
      </c>
      <c r="B190" s="30" t="s">
        <v>40</v>
      </c>
      <c r="C190" s="30" t="s">
        <v>41</v>
      </c>
      <c r="D190" s="30"/>
      <c r="E190" s="30" t="s">
        <v>373</v>
      </c>
      <c r="F190" s="30" t="s">
        <v>441</v>
      </c>
      <c r="G190" s="30" t="s">
        <v>184</v>
      </c>
      <c r="H190" s="30">
        <v>69.363516666666669</v>
      </c>
      <c r="I190" s="30">
        <v>1</v>
      </c>
      <c r="J190" s="30">
        <v>69.363516666666669</v>
      </c>
      <c r="K190" s="30">
        <v>69.363516666666669</v>
      </c>
      <c r="L190" s="30">
        <v>1</v>
      </c>
      <c r="M190" s="30">
        <v>69.363516666666669</v>
      </c>
      <c r="N190" s="3" t="s">
        <v>451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2.4" x14ac:dyDescent="0.3">
      <c r="A191" s="30">
        <v>187</v>
      </c>
      <c r="B191" s="9" t="s">
        <v>21</v>
      </c>
      <c r="C191" s="9" t="s">
        <v>413</v>
      </c>
      <c r="D191" s="30" t="s">
        <v>58</v>
      </c>
      <c r="E191" s="9" t="s">
        <v>373</v>
      </c>
      <c r="F191" s="9" t="s">
        <v>442</v>
      </c>
      <c r="G191" s="9" t="s">
        <v>448</v>
      </c>
      <c r="H191" s="9">
        <v>583.22500000000002</v>
      </c>
      <c r="I191" s="9">
        <v>1</v>
      </c>
      <c r="J191" s="9">
        <v>583.22500000000002</v>
      </c>
      <c r="K191" s="9">
        <v>583.22500000000002</v>
      </c>
      <c r="L191" s="9">
        <v>1</v>
      </c>
      <c r="M191" s="9">
        <v>583.22500000000002</v>
      </c>
      <c r="N191" s="32" t="s">
        <v>452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2.4" x14ac:dyDescent="0.3">
      <c r="A192" s="30">
        <v>188</v>
      </c>
      <c r="B192" s="30" t="s">
        <v>40</v>
      </c>
      <c r="C192" s="30" t="s">
        <v>41</v>
      </c>
      <c r="D192" s="30"/>
      <c r="E192" s="30" t="s">
        <v>75</v>
      </c>
      <c r="F192" s="30" t="s">
        <v>443</v>
      </c>
      <c r="G192" s="30" t="s">
        <v>184</v>
      </c>
      <c r="H192" s="30">
        <v>271.84916666666669</v>
      </c>
      <c r="I192" s="30">
        <v>1</v>
      </c>
      <c r="J192" s="30">
        <v>271.84916666666669</v>
      </c>
      <c r="K192" s="30">
        <v>271.84916666666669</v>
      </c>
      <c r="L192" s="30">
        <v>1</v>
      </c>
      <c r="M192" s="30">
        <v>271.84916666666669</v>
      </c>
      <c r="N192" s="3" t="s">
        <v>453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2.4" x14ac:dyDescent="0.3">
      <c r="A193" s="30">
        <v>189</v>
      </c>
      <c r="B193" s="30" t="s">
        <v>40</v>
      </c>
      <c r="C193" s="30" t="s">
        <v>41</v>
      </c>
      <c r="D193" s="30"/>
      <c r="E193" s="30" t="s">
        <v>75</v>
      </c>
      <c r="F193" s="30" t="s">
        <v>444</v>
      </c>
      <c r="G193" s="30" t="s">
        <v>184</v>
      </c>
      <c r="H193" s="30">
        <v>372.05005833333337</v>
      </c>
      <c r="I193" s="30">
        <v>1</v>
      </c>
      <c r="J193" s="30">
        <v>372.05005833333337</v>
      </c>
      <c r="K193" s="30">
        <v>372.05005833333337</v>
      </c>
      <c r="L193" s="30">
        <v>1</v>
      </c>
      <c r="M193" s="30">
        <v>372.05005833333337</v>
      </c>
      <c r="N193" s="3" t="s">
        <v>454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2.4" x14ac:dyDescent="0.3">
      <c r="A194" s="30">
        <v>190</v>
      </c>
      <c r="B194" s="30" t="s">
        <v>40</v>
      </c>
      <c r="C194" s="30" t="s">
        <v>41</v>
      </c>
      <c r="D194" s="30"/>
      <c r="E194" s="30" t="s">
        <v>75</v>
      </c>
      <c r="F194" s="30" t="s">
        <v>445</v>
      </c>
      <c r="G194" s="30" t="s">
        <v>184</v>
      </c>
      <c r="H194" s="30">
        <v>306.93824166666667</v>
      </c>
      <c r="I194" s="30">
        <v>1</v>
      </c>
      <c r="J194" s="30">
        <v>306.93824166666667</v>
      </c>
      <c r="K194" s="30">
        <v>306.93824166666667</v>
      </c>
      <c r="L194" s="30">
        <v>1</v>
      </c>
      <c r="M194" s="30">
        <v>306.93824166666667</v>
      </c>
      <c r="N194" s="3" t="s">
        <v>455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6" x14ac:dyDescent="0.3">
      <c r="A195" s="30">
        <v>191</v>
      </c>
      <c r="B195" s="30" t="s">
        <v>40</v>
      </c>
      <c r="C195" s="30" t="s">
        <v>73</v>
      </c>
      <c r="D195" s="30"/>
      <c r="E195" s="30" t="s">
        <v>75</v>
      </c>
      <c r="F195" s="30" t="s">
        <v>446</v>
      </c>
      <c r="G195" s="30" t="s">
        <v>184</v>
      </c>
      <c r="H195" s="30">
        <v>155.66611666666668</v>
      </c>
      <c r="I195" s="30">
        <v>1</v>
      </c>
      <c r="J195" s="30">
        <v>155.66611666666668</v>
      </c>
      <c r="K195" s="30">
        <v>155.66611666666668</v>
      </c>
      <c r="L195" s="30">
        <v>1</v>
      </c>
      <c r="M195" s="30">
        <v>155.66611666666668</v>
      </c>
      <c r="N195" s="3" t="s">
        <v>456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6.8" x14ac:dyDescent="0.3">
      <c r="A196" s="30">
        <v>192</v>
      </c>
      <c r="B196" s="30" t="s">
        <v>21</v>
      </c>
      <c r="C196" s="30" t="s">
        <v>32</v>
      </c>
      <c r="D196" s="30" t="s">
        <v>58</v>
      </c>
      <c r="E196" s="30" t="s">
        <v>373</v>
      </c>
      <c r="F196" s="30" t="s">
        <v>447</v>
      </c>
      <c r="G196" s="30" t="s">
        <v>448</v>
      </c>
      <c r="H196" s="30">
        <v>647.70000000000005</v>
      </c>
      <c r="I196" s="30">
        <v>1</v>
      </c>
      <c r="J196" s="30">
        <v>647.70000000000005</v>
      </c>
      <c r="K196" s="30">
        <v>647.70000000000005</v>
      </c>
      <c r="L196" s="30">
        <v>1</v>
      </c>
      <c r="M196" s="30">
        <v>647.70000000000005</v>
      </c>
      <c r="N196" s="3" t="s">
        <v>457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2.4" x14ac:dyDescent="0.3">
      <c r="A197" s="30">
        <v>193</v>
      </c>
      <c r="B197" s="30" t="s">
        <v>40</v>
      </c>
      <c r="C197" s="12" t="s">
        <v>41</v>
      </c>
      <c r="D197" s="30"/>
      <c r="E197" s="30" t="s">
        <v>373</v>
      </c>
      <c r="F197" s="30" t="s">
        <v>460</v>
      </c>
      <c r="G197" s="30" t="s">
        <v>184</v>
      </c>
      <c r="H197" s="27">
        <f>548892.58/1.2/1000</f>
        <v>457.41048333333333</v>
      </c>
      <c r="I197" s="30">
        <v>1</v>
      </c>
      <c r="J197" s="27">
        <f>548892.58/1.2/1000</f>
        <v>457.41048333333333</v>
      </c>
      <c r="K197" s="27">
        <f>548892.58/1.2/1000</f>
        <v>457.41048333333333</v>
      </c>
      <c r="L197" s="30">
        <v>1</v>
      </c>
      <c r="M197" s="27">
        <f>548892.58/1.2/1000</f>
        <v>457.41048333333333</v>
      </c>
      <c r="N197" s="3" t="s">
        <v>462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2.4" x14ac:dyDescent="0.3">
      <c r="A198" s="30">
        <v>194</v>
      </c>
      <c r="B198" s="30" t="s">
        <v>40</v>
      </c>
      <c r="C198" s="12" t="s">
        <v>41</v>
      </c>
      <c r="D198" s="30"/>
      <c r="E198" s="30" t="s">
        <v>373</v>
      </c>
      <c r="F198" s="30" t="s">
        <v>461</v>
      </c>
      <c r="G198" s="30" t="s">
        <v>184</v>
      </c>
      <c r="H198" s="27">
        <f>338040.43/1.2/100</f>
        <v>2817.0035833333332</v>
      </c>
      <c r="I198" s="30">
        <v>1</v>
      </c>
      <c r="J198" s="27">
        <f>338040.43/1.2/100</f>
        <v>2817.0035833333332</v>
      </c>
      <c r="K198" s="27">
        <f>338040.43/1.2/100</f>
        <v>2817.0035833333332</v>
      </c>
      <c r="L198" s="30">
        <v>1</v>
      </c>
      <c r="M198" s="27">
        <f>338040.43/1.2/100</f>
        <v>2817.0035833333332</v>
      </c>
      <c r="N198" s="3" t="s">
        <v>463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1.6" x14ac:dyDescent="0.3">
      <c r="A199" s="30">
        <v>195</v>
      </c>
      <c r="B199" s="30" t="s">
        <v>40</v>
      </c>
      <c r="C199" s="30" t="s">
        <v>73</v>
      </c>
      <c r="D199" s="30"/>
      <c r="E199" s="30" t="s">
        <v>75</v>
      </c>
      <c r="F199" s="30" t="s">
        <v>464</v>
      </c>
      <c r="G199" s="30" t="s">
        <v>184</v>
      </c>
      <c r="H199" s="30">
        <v>150.00306666666668</v>
      </c>
      <c r="I199" s="30">
        <v>1</v>
      </c>
      <c r="J199" s="30">
        <v>150.00306666666668</v>
      </c>
      <c r="K199" s="30">
        <v>150.00306666666668</v>
      </c>
      <c r="L199" s="30">
        <v>1</v>
      </c>
      <c r="M199" s="30">
        <v>150.00306666666668</v>
      </c>
      <c r="N199" s="3" t="s">
        <v>470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2.4" x14ac:dyDescent="0.3">
      <c r="A200" s="30">
        <v>196</v>
      </c>
      <c r="B200" s="30" t="s">
        <v>40</v>
      </c>
      <c r="C200" s="30" t="s">
        <v>73</v>
      </c>
      <c r="D200" s="30"/>
      <c r="E200" s="30" t="s">
        <v>75</v>
      </c>
      <c r="F200" s="30" t="s">
        <v>465</v>
      </c>
      <c r="G200" s="30" t="s">
        <v>184</v>
      </c>
      <c r="H200" s="30">
        <v>136.7357916666667</v>
      </c>
      <c r="I200" s="30">
        <v>1</v>
      </c>
      <c r="J200" s="30">
        <v>136.7357916666667</v>
      </c>
      <c r="K200" s="30">
        <v>136.7357916666667</v>
      </c>
      <c r="L200" s="30">
        <v>1</v>
      </c>
      <c r="M200" s="30">
        <v>136.7357916666667</v>
      </c>
      <c r="N200" s="3" t="s">
        <v>471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1.6" x14ac:dyDescent="0.3">
      <c r="A201" s="30">
        <v>197</v>
      </c>
      <c r="B201" s="30" t="s">
        <v>40</v>
      </c>
      <c r="C201" s="30" t="s">
        <v>73</v>
      </c>
      <c r="D201" s="30"/>
      <c r="E201" s="30" t="s">
        <v>75</v>
      </c>
      <c r="F201" s="30" t="s">
        <v>466</v>
      </c>
      <c r="G201" s="30" t="s">
        <v>184</v>
      </c>
      <c r="H201" s="30">
        <v>162.38074166666669</v>
      </c>
      <c r="I201" s="30">
        <v>1</v>
      </c>
      <c r="J201" s="30">
        <v>162.38074166666669</v>
      </c>
      <c r="K201" s="30">
        <v>162.38074166666669</v>
      </c>
      <c r="L201" s="30">
        <v>1</v>
      </c>
      <c r="M201" s="30">
        <v>162.38074166666669</v>
      </c>
      <c r="N201" s="3" t="s">
        <v>472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2.4" x14ac:dyDescent="0.3">
      <c r="A202" s="30">
        <v>198</v>
      </c>
      <c r="B202" s="30" t="s">
        <v>40</v>
      </c>
      <c r="C202" s="30" t="s">
        <v>73</v>
      </c>
      <c r="D202" s="30"/>
      <c r="E202" s="30" t="s">
        <v>75</v>
      </c>
      <c r="F202" s="30" t="s">
        <v>467</v>
      </c>
      <c r="G202" s="30" t="s">
        <v>184</v>
      </c>
      <c r="H202" s="30">
        <v>230.82178333333334</v>
      </c>
      <c r="I202" s="30">
        <v>1</v>
      </c>
      <c r="J202" s="30">
        <v>230.82178333333334</v>
      </c>
      <c r="K202" s="30">
        <v>230.82178333333334</v>
      </c>
      <c r="L202" s="30">
        <v>1</v>
      </c>
      <c r="M202" s="30">
        <v>230.82178333333334</v>
      </c>
      <c r="N202" s="3" t="s">
        <v>473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2.4" x14ac:dyDescent="0.3">
      <c r="A203" s="30">
        <v>199</v>
      </c>
      <c r="B203" s="30" t="s">
        <v>40</v>
      </c>
      <c r="C203" s="30" t="s">
        <v>73</v>
      </c>
      <c r="D203" s="30"/>
      <c r="E203" s="30" t="s">
        <v>75</v>
      </c>
      <c r="F203" s="30" t="s">
        <v>468</v>
      </c>
      <c r="G203" s="30" t="s">
        <v>184</v>
      </c>
      <c r="H203" s="30">
        <v>301.34585000000004</v>
      </c>
      <c r="I203" s="30">
        <v>1</v>
      </c>
      <c r="J203" s="30">
        <v>301.34585000000004</v>
      </c>
      <c r="K203" s="30">
        <v>301.34585000000004</v>
      </c>
      <c r="L203" s="30">
        <v>1</v>
      </c>
      <c r="M203" s="30">
        <v>301.34585000000004</v>
      </c>
      <c r="N203" s="3" t="s">
        <v>474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0.4" x14ac:dyDescent="0.3">
      <c r="A204" s="30">
        <v>200</v>
      </c>
      <c r="B204" s="30" t="s">
        <v>40</v>
      </c>
      <c r="C204" s="30" t="s">
        <v>73</v>
      </c>
      <c r="D204" s="30"/>
      <c r="E204" s="30" t="s">
        <v>75</v>
      </c>
      <c r="F204" s="30" t="s">
        <v>469</v>
      </c>
      <c r="G204" s="30" t="s">
        <v>184</v>
      </c>
      <c r="H204" s="30">
        <v>964.74474999999995</v>
      </c>
      <c r="I204" s="30">
        <v>1</v>
      </c>
      <c r="J204" s="30">
        <v>964.74474999999995</v>
      </c>
      <c r="K204" s="30">
        <v>964.74474999999995</v>
      </c>
      <c r="L204" s="30">
        <v>1</v>
      </c>
      <c r="M204" s="30">
        <v>964.74474999999995</v>
      </c>
      <c r="N204" s="3" t="s">
        <v>475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40.4" x14ac:dyDescent="0.3">
      <c r="A205" s="30">
        <v>201</v>
      </c>
      <c r="B205" s="30" t="s">
        <v>184</v>
      </c>
      <c r="C205" s="30" t="s">
        <v>73</v>
      </c>
      <c r="D205" s="30"/>
      <c r="E205" s="30" t="s">
        <v>75</v>
      </c>
      <c r="F205" s="30" t="s">
        <v>476</v>
      </c>
      <c r="G205" s="30" t="s">
        <v>184</v>
      </c>
      <c r="H205" s="30">
        <v>532.80904166666664</v>
      </c>
      <c r="I205" s="30">
        <v>1</v>
      </c>
      <c r="J205" s="30">
        <v>532.80904166666664</v>
      </c>
      <c r="K205" s="30">
        <v>532.80904166666664</v>
      </c>
      <c r="L205" s="30">
        <v>1</v>
      </c>
      <c r="M205" s="30">
        <v>532.80904166666664</v>
      </c>
      <c r="N205" s="3" t="s">
        <v>491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" x14ac:dyDescent="0.3">
      <c r="A206" s="30">
        <v>202</v>
      </c>
      <c r="B206" s="30" t="s">
        <v>184</v>
      </c>
      <c r="C206" s="30" t="s">
        <v>41</v>
      </c>
      <c r="D206" s="30"/>
      <c r="E206" s="30" t="s">
        <v>373</v>
      </c>
      <c r="F206" s="30" t="s">
        <v>477</v>
      </c>
      <c r="G206" s="30" t="s">
        <v>184</v>
      </c>
      <c r="H206" s="30">
        <v>231.39084166666669</v>
      </c>
      <c r="I206" s="30">
        <v>1</v>
      </c>
      <c r="J206" s="30">
        <v>231.39084166666669</v>
      </c>
      <c r="K206" s="30">
        <v>231.39084166666669</v>
      </c>
      <c r="L206" s="30">
        <v>1</v>
      </c>
      <c r="M206" s="30">
        <v>231.39084166666669</v>
      </c>
      <c r="N206" s="3" t="s">
        <v>492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0.4" x14ac:dyDescent="0.3">
      <c r="A207" s="30">
        <v>203</v>
      </c>
      <c r="B207" s="30" t="s">
        <v>184</v>
      </c>
      <c r="C207" s="30" t="s">
        <v>41</v>
      </c>
      <c r="D207" s="30" t="s">
        <v>58</v>
      </c>
      <c r="E207" s="30" t="s">
        <v>75</v>
      </c>
      <c r="F207" s="30" t="s">
        <v>478</v>
      </c>
      <c r="G207" s="30" t="s">
        <v>184</v>
      </c>
      <c r="H207" s="30">
        <v>9557.0750000000007</v>
      </c>
      <c r="I207" s="30">
        <v>1</v>
      </c>
      <c r="J207" s="30">
        <v>9557.0750000000007</v>
      </c>
      <c r="K207" s="30">
        <v>9557.0750000000007</v>
      </c>
      <c r="L207" s="30">
        <v>1</v>
      </c>
      <c r="M207" s="30">
        <v>9557.0750000000007</v>
      </c>
      <c r="N207" s="3" t="s">
        <v>493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0.4" x14ac:dyDescent="0.3">
      <c r="A208" s="30">
        <v>204</v>
      </c>
      <c r="B208" s="30" t="s">
        <v>184</v>
      </c>
      <c r="C208" s="30" t="s">
        <v>41</v>
      </c>
      <c r="D208" s="30" t="s">
        <v>58</v>
      </c>
      <c r="E208" s="30" t="s">
        <v>75</v>
      </c>
      <c r="F208" s="30" t="s">
        <v>479</v>
      </c>
      <c r="G208" s="30" t="s">
        <v>184</v>
      </c>
      <c r="H208" s="30">
        <v>8357.2710000000006</v>
      </c>
      <c r="I208" s="30">
        <v>1</v>
      </c>
      <c r="J208" s="30">
        <v>8357.2710000000006</v>
      </c>
      <c r="K208" s="30">
        <v>8357.2710000000006</v>
      </c>
      <c r="L208" s="30">
        <v>1</v>
      </c>
      <c r="M208" s="30">
        <v>8357.2710000000006</v>
      </c>
      <c r="N208" s="3" t="s">
        <v>493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2.4" x14ac:dyDescent="0.3">
      <c r="A209" s="30">
        <v>205</v>
      </c>
      <c r="B209" s="30" t="s">
        <v>184</v>
      </c>
      <c r="C209" s="30" t="s">
        <v>41</v>
      </c>
      <c r="D209" s="30"/>
      <c r="E209" s="30" t="s">
        <v>75</v>
      </c>
      <c r="F209" s="30" t="s">
        <v>480</v>
      </c>
      <c r="G209" s="30" t="s">
        <v>184</v>
      </c>
      <c r="H209" s="30">
        <v>442.43196666666665</v>
      </c>
      <c r="I209" s="30">
        <v>1</v>
      </c>
      <c r="J209" s="30">
        <v>442.43196666666665</v>
      </c>
      <c r="K209" s="30">
        <v>442.43196666666665</v>
      </c>
      <c r="L209" s="30">
        <v>1</v>
      </c>
      <c r="M209" s="30">
        <v>442.43196666666665</v>
      </c>
      <c r="N209" s="3" t="s">
        <v>494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3.6" x14ac:dyDescent="0.3">
      <c r="A210" s="30">
        <v>206</v>
      </c>
      <c r="B210" s="30" t="s">
        <v>184</v>
      </c>
      <c r="C210" s="30" t="s">
        <v>41</v>
      </c>
      <c r="D210" s="30"/>
      <c r="E210" s="30" t="s">
        <v>373</v>
      </c>
      <c r="F210" s="30" t="s">
        <v>481</v>
      </c>
      <c r="G210" s="30" t="s">
        <v>184</v>
      </c>
      <c r="H210" s="30">
        <v>766.66313333333346</v>
      </c>
      <c r="I210" s="30">
        <v>1</v>
      </c>
      <c r="J210" s="30">
        <v>766.66313333333346</v>
      </c>
      <c r="K210" s="30">
        <v>766.66313333333346</v>
      </c>
      <c r="L210" s="30">
        <v>1</v>
      </c>
      <c r="M210" s="30">
        <v>766.66313333333346</v>
      </c>
      <c r="N210" s="3" t="s">
        <v>495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2.4" x14ac:dyDescent="0.3">
      <c r="A211" s="30">
        <v>207</v>
      </c>
      <c r="B211" s="30" t="s">
        <v>184</v>
      </c>
      <c r="C211" s="30" t="s">
        <v>73</v>
      </c>
      <c r="D211" s="30"/>
      <c r="E211" s="30" t="s">
        <v>75</v>
      </c>
      <c r="F211" s="30" t="s">
        <v>482</v>
      </c>
      <c r="G211" s="30" t="s">
        <v>184</v>
      </c>
      <c r="H211" s="30">
        <v>327.83339166666667</v>
      </c>
      <c r="I211" s="30">
        <v>1</v>
      </c>
      <c r="J211" s="30">
        <v>327.83339166666667</v>
      </c>
      <c r="K211" s="30">
        <v>327.83339166666667</v>
      </c>
      <c r="L211" s="30">
        <v>1</v>
      </c>
      <c r="M211" s="30">
        <v>327.83339166666667</v>
      </c>
      <c r="N211" s="3" t="s">
        <v>496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1.6" x14ac:dyDescent="0.3">
      <c r="A212" s="30">
        <v>208</v>
      </c>
      <c r="B212" s="30" t="s">
        <v>184</v>
      </c>
      <c r="C212" s="30" t="s">
        <v>41</v>
      </c>
      <c r="D212" s="30"/>
      <c r="E212" s="30" t="s">
        <v>373</v>
      </c>
      <c r="F212" s="30" t="s">
        <v>483</v>
      </c>
      <c r="G212" s="30" t="s">
        <v>184</v>
      </c>
      <c r="H212" s="30">
        <v>279.85961666666662</v>
      </c>
      <c r="I212" s="30">
        <v>1</v>
      </c>
      <c r="J212" s="30">
        <v>279.85961666666662</v>
      </c>
      <c r="K212" s="30">
        <v>279.85961666666662</v>
      </c>
      <c r="L212" s="30">
        <v>1</v>
      </c>
      <c r="M212" s="30">
        <v>279.85961666666662</v>
      </c>
      <c r="N212" s="3" t="s">
        <v>497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7.2" x14ac:dyDescent="0.3">
      <c r="A213" s="30">
        <v>209</v>
      </c>
      <c r="B213" s="30" t="s">
        <v>184</v>
      </c>
      <c r="C213" s="30" t="s">
        <v>41</v>
      </c>
      <c r="D213" s="30"/>
      <c r="E213" s="30" t="s">
        <v>373</v>
      </c>
      <c r="F213" s="30" t="s">
        <v>484</v>
      </c>
      <c r="G213" s="30" t="s">
        <v>184</v>
      </c>
      <c r="H213" s="30">
        <v>748.72503333333339</v>
      </c>
      <c r="I213" s="30">
        <v>1</v>
      </c>
      <c r="J213" s="30">
        <v>748.72503333333339</v>
      </c>
      <c r="K213" s="30">
        <v>748.72503333333339</v>
      </c>
      <c r="L213" s="30">
        <v>1</v>
      </c>
      <c r="M213" s="30">
        <v>748.72503333333339</v>
      </c>
      <c r="N213" s="3" t="s">
        <v>498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2.4" x14ac:dyDescent="0.3">
      <c r="A214" s="30">
        <v>210</v>
      </c>
      <c r="B214" s="30" t="s">
        <v>184</v>
      </c>
      <c r="C214" s="30" t="s">
        <v>41</v>
      </c>
      <c r="D214" s="30"/>
      <c r="E214" s="30" t="s">
        <v>75</v>
      </c>
      <c r="F214" s="30" t="s">
        <v>485</v>
      </c>
      <c r="G214" s="30" t="s">
        <v>184</v>
      </c>
      <c r="H214" s="30">
        <v>281.35765833333335</v>
      </c>
      <c r="I214" s="30">
        <v>1</v>
      </c>
      <c r="J214" s="30">
        <v>281.35765833333335</v>
      </c>
      <c r="K214" s="30">
        <v>281.35765833333335</v>
      </c>
      <c r="L214" s="30">
        <v>1</v>
      </c>
      <c r="M214" s="30">
        <v>281.35765833333335</v>
      </c>
      <c r="N214" s="3" t="s">
        <v>499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3">
      <c r="A215" s="30">
        <v>211</v>
      </c>
      <c r="B215" s="30" t="s">
        <v>184</v>
      </c>
      <c r="C215" s="30" t="s">
        <v>41</v>
      </c>
      <c r="D215" s="30"/>
      <c r="E215" s="30" t="s">
        <v>373</v>
      </c>
      <c r="F215" s="30" t="s">
        <v>486</v>
      </c>
      <c r="G215" s="30" t="s">
        <v>184</v>
      </c>
      <c r="H215" s="30">
        <v>97.572408333333343</v>
      </c>
      <c r="I215" s="30">
        <v>1</v>
      </c>
      <c r="J215" s="30">
        <v>97.572408333333343</v>
      </c>
      <c r="K215" s="30">
        <v>97.572408333333343</v>
      </c>
      <c r="L215" s="30">
        <v>1</v>
      </c>
      <c r="M215" s="30">
        <v>97.572408333333343</v>
      </c>
      <c r="N215" s="3" t="s">
        <v>500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02.8" x14ac:dyDescent="0.3">
      <c r="A216" s="30">
        <v>212</v>
      </c>
      <c r="B216" s="30" t="s">
        <v>184</v>
      </c>
      <c r="C216" s="30" t="s">
        <v>41</v>
      </c>
      <c r="D216" s="30" t="s">
        <v>58</v>
      </c>
      <c r="E216" s="30" t="s">
        <v>373</v>
      </c>
      <c r="F216" s="30" t="s">
        <v>489</v>
      </c>
      <c r="G216" s="30" t="s">
        <v>184</v>
      </c>
      <c r="H216" s="30">
        <v>1314.1666666666667</v>
      </c>
      <c r="I216" s="30">
        <v>1</v>
      </c>
      <c r="J216" s="30">
        <v>1314.1666666666667</v>
      </c>
      <c r="K216" s="30">
        <v>1314.1666666666667</v>
      </c>
      <c r="L216" s="30">
        <v>1</v>
      </c>
      <c r="M216" s="30">
        <v>1314.1666666666667</v>
      </c>
      <c r="N216" s="3" t="s">
        <v>503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6">
        <v>1229.3699999999999</v>
      </c>
      <c r="T216" s="31">
        <v>45170</v>
      </c>
      <c r="U216" s="30"/>
      <c r="V216" s="30"/>
    </row>
    <row r="217" spans="1:22" ht="218.4" x14ac:dyDescent="0.3">
      <c r="A217" s="30">
        <v>213</v>
      </c>
      <c r="B217" s="30" t="s">
        <v>184</v>
      </c>
      <c r="C217" s="30" t="s">
        <v>41</v>
      </c>
      <c r="D217" s="30" t="s">
        <v>58</v>
      </c>
      <c r="E217" s="30" t="s">
        <v>373</v>
      </c>
      <c r="F217" s="30" t="s">
        <v>490</v>
      </c>
      <c r="G217" s="30" t="s">
        <v>184</v>
      </c>
      <c r="H217" s="30">
        <v>1265.8333333333335</v>
      </c>
      <c r="I217" s="30">
        <v>1</v>
      </c>
      <c r="J217" s="30">
        <v>1265.8333333333335</v>
      </c>
      <c r="K217" s="30">
        <v>1265.8333333333335</v>
      </c>
      <c r="L217" s="30">
        <v>1</v>
      </c>
      <c r="M217" s="30">
        <v>1265.8333333333335</v>
      </c>
      <c r="N217" s="3" t="s">
        <v>504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6">
        <v>1141.6659</v>
      </c>
      <c r="T217" s="31">
        <v>45168</v>
      </c>
      <c r="U217" s="30"/>
      <c r="V217" s="30"/>
    </row>
    <row r="218" spans="1:22" ht="187.2" x14ac:dyDescent="0.3">
      <c r="A218" s="30">
        <v>214</v>
      </c>
      <c r="B218" s="30" t="s">
        <v>184</v>
      </c>
      <c r="C218" s="30" t="s">
        <v>41</v>
      </c>
      <c r="D218" s="30"/>
      <c r="E218" s="30" t="s">
        <v>373</v>
      </c>
      <c r="F218" s="30" t="s">
        <v>487</v>
      </c>
      <c r="G218" s="30" t="s">
        <v>184</v>
      </c>
      <c r="H218" s="30">
        <v>68.79965833333334</v>
      </c>
      <c r="I218" s="30">
        <v>1</v>
      </c>
      <c r="J218" s="30">
        <v>68.79965833333334</v>
      </c>
      <c r="K218" s="30">
        <v>68.79965833333334</v>
      </c>
      <c r="L218" s="30">
        <v>1</v>
      </c>
      <c r="M218" s="30">
        <v>68.79965833333334</v>
      </c>
      <c r="N218" s="3" t="s">
        <v>501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7.2" x14ac:dyDescent="0.3">
      <c r="A219" s="30">
        <v>215</v>
      </c>
      <c r="B219" s="30" t="s">
        <v>184</v>
      </c>
      <c r="C219" s="30" t="s">
        <v>41</v>
      </c>
      <c r="D219" s="30"/>
      <c r="E219" s="30" t="s">
        <v>373</v>
      </c>
      <c r="F219" s="30" t="s">
        <v>488</v>
      </c>
      <c r="G219" s="30" t="s">
        <v>184</v>
      </c>
      <c r="H219" s="30">
        <v>330.66725833333334</v>
      </c>
      <c r="I219" s="30">
        <v>1</v>
      </c>
      <c r="J219" s="30">
        <v>330.66725833333334</v>
      </c>
      <c r="K219" s="30">
        <v>330.66725833333334</v>
      </c>
      <c r="L219" s="30">
        <v>1</v>
      </c>
      <c r="M219" s="30">
        <v>330.66725833333334</v>
      </c>
      <c r="N219" s="3" t="s">
        <v>502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1.6" x14ac:dyDescent="0.3">
      <c r="A220" s="30">
        <v>216</v>
      </c>
      <c r="B220" s="30" t="s">
        <v>184</v>
      </c>
      <c r="C220" s="30" t="s">
        <v>41</v>
      </c>
      <c r="D220" s="30"/>
      <c r="E220" s="30" t="s">
        <v>373</v>
      </c>
      <c r="F220" s="30" t="s">
        <v>505</v>
      </c>
      <c r="G220" s="30" t="s">
        <v>184</v>
      </c>
      <c r="H220" s="30">
        <v>2448.8471666666665</v>
      </c>
      <c r="I220" s="30">
        <v>1</v>
      </c>
      <c r="J220" s="30">
        <v>2448.8471666666665</v>
      </c>
      <c r="K220" s="30">
        <v>2448.8471666666665</v>
      </c>
      <c r="L220" s="30">
        <v>1</v>
      </c>
      <c r="M220" s="30">
        <v>2448.8471666666665</v>
      </c>
      <c r="N220" s="6" t="s">
        <v>522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" x14ac:dyDescent="0.3">
      <c r="A221" s="30">
        <v>217</v>
      </c>
      <c r="B221" s="30" t="s">
        <v>21</v>
      </c>
      <c r="C221" s="30" t="s">
        <v>174</v>
      </c>
      <c r="D221" s="30" t="s">
        <v>58</v>
      </c>
      <c r="E221" s="30" t="s">
        <v>88</v>
      </c>
      <c r="F221" s="30" t="s">
        <v>506</v>
      </c>
      <c r="G221" s="30" t="s">
        <v>185</v>
      </c>
      <c r="H221" s="30"/>
      <c r="I221" s="30">
        <v>43</v>
      </c>
      <c r="J221" s="30">
        <v>32108.1</v>
      </c>
      <c r="K221" s="30"/>
      <c r="L221" s="30">
        <v>43</v>
      </c>
      <c r="M221" s="30">
        <v>32108.1</v>
      </c>
      <c r="N221" s="6" t="s">
        <v>519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2">
        <v>3042.25</v>
      </c>
      <c r="T221" s="31">
        <v>45217</v>
      </c>
      <c r="U221" s="30"/>
      <c r="V221" s="30"/>
    </row>
    <row r="222" spans="1:22" ht="93.6" x14ac:dyDescent="0.3">
      <c r="A222" s="30">
        <v>218</v>
      </c>
      <c r="B222" s="30" t="s">
        <v>21</v>
      </c>
      <c r="C222" s="30" t="s">
        <v>406</v>
      </c>
      <c r="D222" s="30" t="s">
        <v>58</v>
      </c>
      <c r="E222" s="30" t="s">
        <v>88</v>
      </c>
      <c r="F222" s="30" t="s">
        <v>507</v>
      </c>
      <c r="G222" s="30" t="s">
        <v>185</v>
      </c>
      <c r="H222" s="30"/>
      <c r="I222" s="30">
        <v>101</v>
      </c>
      <c r="J222" s="30">
        <v>134064</v>
      </c>
      <c r="K222" s="30"/>
      <c r="L222" s="30">
        <v>101</v>
      </c>
      <c r="M222" s="30">
        <v>134064</v>
      </c>
      <c r="N222" s="6" t="s">
        <v>520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557</v>
      </c>
      <c r="T222" s="31">
        <v>45169</v>
      </c>
      <c r="U222" s="30"/>
      <c r="V222" s="30"/>
    </row>
    <row r="223" spans="1:22" ht="78" x14ac:dyDescent="0.3">
      <c r="A223" s="30">
        <v>219</v>
      </c>
      <c r="B223" s="30" t="s">
        <v>530</v>
      </c>
      <c r="C223" s="30" t="s">
        <v>516</v>
      </c>
      <c r="D223" s="30" t="s">
        <v>58</v>
      </c>
      <c r="E223" s="30" t="s">
        <v>88</v>
      </c>
      <c r="F223" s="30" t="s">
        <v>508</v>
      </c>
      <c r="G223" s="30" t="s">
        <v>185</v>
      </c>
      <c r="H223" s="30"/>
      <c r="I223" s="30">
        <v>2</v>
      </c>
      <c r="J223" s="30">
        <v>9898.7999999999993</v>
      </c>
      <c r="K223" s="30"/>
      <c r="L223" s="30">
        <v>2</v>
      </c>
      <c r="M223" s="30">
        <v>9898.7999999999993</v>
      </c>
      <c r="N223" s="6" t="s">
        <v>521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3.6" x14ac:dyDescent="0.3">
      <c r="A224" s="30">
        <v>220</v>
      </c>
      <c r="B224" s="30" t="s">
        <v>21</v>
      </c>
      <c r="C224" s="30" t="s">
        <v>413</v>
      </c>
      <c r="D224" s="30" t="s">
        <v>58</v>
      </c>
      <c r="E224" s="30" t="s">
        <v>88</v>
      </c>
      <c r="F224" s="30" t="s">
        <v>509</v>
      </c>
      <c r="G224" s="30" t="s">
        <v>185</v>
      </c>
      <c r="H224" s="30">
        <v>4490</v>
      </c>
      <c r="I224" s="30">
        <v>1</v>
      </c>
      <c r="J224" s="30">
        <v>4490</v>
      </c>
      <c r="K224" s="30">
        <v>4490</v>
      </c>
      <c r="L224" s="30">
        <v>1</v>
      </c>
      <c r="M224" s="30">
        <v>4490</v>
      </c>
      <c r="N224" s="6" t="s">
        <v>523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0.4" x14ac:dyDescent="0.3">
      <c r="A225" s="30">
        <v>221</v>
      </c>
      <c r="B225" s="30" t="s">
        <v>21</v>
      </c>
      <c r="C225" s="30" t="s">
        <v>517</v>
      </c>
      <c r="D225" s="30" t="s">
        <v>58</v>
      </c>
      <c r="E225" s="30" t="s">
        <v>88</v>
      </c>
      <c r="F225" s="30" t="s">
        <v>510</v>
      </c>
      <c r="G225" s="30" t="s">
        <v>185</v>
      </c>
      <c r="H225" s="30"/>
      <c r="I225" s="30">
        <v>22</v>
      </c>
      <c r="J225" s="30">
        <v>107860</v>
      </c>
      <c r="K225" s="30"/>
      <c r="L225" s="30">
        <v>22</v>
      </c>
      <c r="M225" s="30">
        <v>107860</v>
      </c>
      <c r="N225" s="6" t="s">
        <v>524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6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09.2" x14ac:dyDescent="0.3">
      <c r="A226" s="30">
        <v>222</v>
      </c>
      <c r="B226" s="30" t="s">
        <v>184</v>
      </c>
      <c r="C226" s="30" t="s">
        <v>518</v>
      </c>
      <c r="D226" s="30" t="s">
        <v>58</v>
      </c>
      <c r="E226" s="30" t="s">
        <v>88</v>
      </c>
      <c r="F226" s="30" t="s">
        <v>511</v>
      </c>
      <c r="G226" s="30" t="s">
        <v>184</v>
      </c>
      <c r="H226" s="30">
        <v>17355</v>
      </c>
      <c r="I226" s="30">
        <v>1</v>
      </c>
      <c r="J226" s="30">
        <v>17355</v>
      </c>
      <c r="K226" s="30">
        <v>17355</v>
      </c>
      <c r="L226" s="30">
        <v>1</v>
      </c>
      <c r="M226" s="30">
        <v>17355</v>
      </c>
      <c r="N226" s="6" t="s">
        <v>525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556</v>
      </c>
      <c r="V226" s="30"/>
    </row>
    <row r="227" spans="1:22" ht="62.4" x14ac:dyDescent="0.3">
      <c r="A227" s="30">
        <v>223</v>
      </c>
      <c r="B227" s="30" t="s">
        <v>184</v>
      </c>
      <c r="C227" s="30" t="s">
        <v>73</v>
      </c>
      <c r="D227" s="30"/>
      <c r="E227" s="30" t="s">
        <v>75</v>
      </c>
      <c r="F227" s="30" t="s">
        <v>512</v>
      </c>
      <c r="G227" s="30" t="s">
        <v>184</v>
      </c>
      <c r="H227" s="30">
        <v>672.42191666666679</v>
      </c>
      <c r="I227" s="30">
        <v>1</v>
      </c>
      <c r="J227" s="30">
        <v>672.42191666666679</v>
      </c>
      <c r="K227" s="30">
        <v>672.42191666666679</v>
      </c>
      <c r="L227" s="30">
        <v>1</v>
      </c>
      <c r="M227" s="30">
        <v>672.42191666666679</v>
      </c>
      <c r="N227" s="6" t="s">
        <v>526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02.8" x14ac:dyDescent="0.3">
      <c r="A228" s="30">
        <v>224</v>
      </c>
      <c r="B228" s="30" t="s">
        <v>184</v>
      </c>
      <c r="C228" s="30" t="s">
        <v>41</v>
      </c>
      <c r="D228" s="30" t="s">
        <v>58</v>
      </c>
      <c r="E228" s="30" t="s">
        <v>373</v>
      </c>
      <c r="F228" s="30" t="s">
        <v>513</v>
      </c>
      <c r="G228" s="30" t="s">
        <v>184</v>
      </c>
      <c r="H228" s="30">
        <v>19883.875</v>
      </c>
      <c r="I228" s="30">
        <v>1</v>
      </c>
      <c r="J228" s="30">
        <v>19883.875</v>
      </c>
      <c r="K228" s="30">
        <v>19883.875</v>
      </c>
      <c r="L228" s="30">
        <v>1</v>
      </c>
      <c r="M228" s="30">
        <v>19883.875</v>
      </c>
      <c r="N228" s="6" t="s">
        <v>527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2.4" x14ac:dyDescent="0.3">
      <c r="A229" s="30">
        <v>225</v>
      </c>
      <c r="B229" s="30" t="s">
        <v>21</v>
      </c>
      <c r="C229" s="30" t="s">
        <v>178</v>
      </c>
      <c r="D229" s="30" t="s">
        <v>58</v>
      </c>
      <c r="E229" s="30" t="s">
        <v>88</v>
      </c>
      <c r="F229" s="30" t="s">
        <v>514</v>
      </c>
      <c r="G229" s="30" t="s">
        <v>185</v>
      </c>
      <c r="H229" s="30"/>
      <c r="I229" s="30">
        <v>20</v>
      </c>
      <c r="J229" s="30">
        <v>125.4</v>
      </c>
      <c r="K229" s="30"/>
      <c r="L229" s="30">
        <v>20</v>
      </c>
      <c r="M229" s="30">
        <v>125.4</v>
      </c>
      <c r="N229" s="6" t="s">
        <v>528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4.8" x14ac:dyDescent="0.3">
      <c r="A230" s="30">
        <v>226</v>
      </c>
      <c r="B230" s="30" t="s">
        <v>21</v>
      </c>
      <c r="C230" s="30" t="s">
        <v>406</v>
      </c>
      <c r="D230" s="30" t="s">
        <v>58</v>
      </c>
      <c r="E230" s="34" t="s">
        <v>88</v>
      </c>
      <c r="F230" s="34" t="s">
        <v>515</v>
      </c>
      <c r="G230" s="34" t="s">
        <v>185</v>
      </c>
      <c r="H230" s="34">
        <v>10543.4</v>
      </c>
      <c r="I230" s="34">
        <v>1</v>
      </c>
      <c r="J230" s="34">
        <v>10543.4</v>
      </c>
      <c r="K230" s="34">
        <v>10543.4</v>
      </c>
      <c r="L230" s="34">
        <v>1</v>
      </c>
      <c r="M230" s="34">
        <v>10543.4</v>
      </c>
      <c r="N230" s="3" t="s">
        <v>529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3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2.4" x14ac:dyDescent="0.3">
      <c r="A231" s="34">
        <v>227</v>
      </c>
      <c r="B231" s="34" t="s">
        <v>40</v>
      </c>
      <c r="C231" s="34" t="s">
        <v>73</v>
      </c>
      <c r="D231" s="34"/>
      <c r="E231" s="34" t="s">
        <v>75</v>
      </c>
      <c r="F231" s="34" t="s">
        <v>531</v>
      </c>
      <c r="G231" s="34" t="s">
        <v>184</v>
      </c>
      <c r="H231" s="34">
        <v>52.715508333333332</v>
      </c>
      <c r="I231" s="34">
        <v>1</v>
      </c>
      <c r="J231" s="34">
        <v>52.715508333333332</v>
      </c>
      <c r="K231" s="34">
        <v>52.715508333333332</v>
      </c>
      <c r="L231" s="34">
        <v>1</v>
      </c>
      <c r="M231" s="34">
        <v>52.715508333333332</v>
      </c>
      <c r="N231" s="3" t="s">
        <v>537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2.4" x14ac:dyDescent="0.3">
      <c r="A232" s="34">
        <v>228</v>
      </c>
      <c r="B232" s="34" t="s">
        <v>40</v>
      </c>
      <c r="C232" s="34" t="s">
        <v>41</v>
      </c>
      <c r="D232" s="34"/>
      <c r="E232" s="34" t="s">
        <v>373</v>
      </c>
      <c r="F232" s="34" t="s">
        <v>532</v>
      </c>
      <c r="G232" s="34" t="s">
        <v>184</v>
      </c>
      <c r="H232" s="34">
        <v>248.68982499999998</v>
      </c>
      <c r="I232" s="34">
        <v>1</v>
      </c>
      <c r="J232" s="34">
        <v>248.68982499999998</v>
      </c>
      <c r="K232" s="34">
        <v>248.68982499999998</v>
      </c>
      <c r="L232" s="34">
        <v>1</v>
      </c>
      <c r="M232" s="34">
        <v>248.68982499999998</v>
      </c>
      <c r="N232" s="3" t="s">
        <v>536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2.4" x14ac:dyDescent="0.3">
      <c r="A233" s="34">
        <v>229</v>
      </c>
      <c r="B233" s="34" t="s">
        <v>40</v>
      </c>
      <c r="C233" s="34" t="s">
        <v>41</v>
      </c>
      <c r="D233" s="34"/>
      <c r="E233" s="34" t="s">
        <v>373</v>
      </c>
      <c r="F233" s="34" t="s">
        <v>533</v>
      </c>
      <c r="G233" s="34" t="s">
        <v>184</v>
      </c>
      <c r="H233" s="34">
        <v>208.01519999999999</v>
      </c>
      <c r="I233" s="34">
        <v>1</v>
      </c>
      <c r="J233" s="34">
        <v>208.01519999999999</v>
      </c>
      <c r="K233" s="34">
        <v>208.01519999999999</v>
      </c>
      <c r="L233" s="34">
        <v>1</v>
      </c>
      <c r="M233" s="34">
        <v>208.01519999999999</v>
      </c>
      <c r="N233" s="3" t="s">
        <v>538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2.4" x14ac:dyDescent="0.3">
      <c r="A234" s="34">
        <v>230</v>
      </c>
      <c r="B234" s="34" t="s">
        <v>40</v>
      </c>
      <c r="C234" s="34" t="s">
        <v>41</v>
      </c>
      <c r="D234" s="34"/>
      <c r="E234" s="34" t="s">
        <v>373</v>
      </c>
      <c r="F234" s="34" t="s">
        <v>534</v>
      </c>
      <c r="G234" s="34" t="s">
        <v>184</v>
      </c>
      <c r="H234" s="34">
        <v>263.00654166666669</v>
      </c>
      <c r="I234" s="34">
        <v>1</v>
      </c>
      <c r="J234" s="34">
        <v>263.00654166666669</v>
      </c>
      <c r="K234" s="34">
        <v>263.00654166666669</v>
      </c>
      <c r="L234" s="34">
        <v>1</v>
      </c>
      <c r="M234" s="34">
        <v>263.00654166666669</v>
      </c>
      <c r="N234" s="3" t="s">
        <v>539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6.8" x14ac:dyDescent="0.3">
      <c r="A235" s="34">
        <v>231</v>
      </c>
      <c r="B235" s="34" t="s">
        <v>21</v>
      </c>
      <c r="C235" s="34" t="s">
        <v>32</v>
      </c>
      <c r="D235" s="34" t="s">
        <v>58</v>
      </c>
      <c r="E235" s="34" t="s">
        <v>373</v>
      </c>
      <c r="F235" s="34" t="s">
        <v>535</v>
      </c>
      <c r="G235" s="34" t="s">
        <v>185</v>
      </c>
      <c r="H235" s="34">
        <v>162.5</v>
      </c>
      <c r="I235" s="34">
        <v>1</v>
      </c>
      <c r="J235" s="34">
        <v>162.5</v>
      </c>
      <c r="K235" s="34">
        <v>162.5</v>
      </c>
      <c r="L235" s="34">
        <v>1</v>
      </c>
      <c r="M235" s="34">
        <v>162.5</v>
      </c>
      <c r="N235" s="3" t="s">
        <v>540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3">
        <v>154.25</v>
      </c>
      <c r="R235" s="34">
        <v>1</v>
      </c>
      <c r="S235" s="53">
        <v>154.25</v>
      </c>
      <c r="T235" s="35">
        <v>45180</v>
      </c>
      <c r="U235" s="34"/>
      <c r="V235" s="34"/>
    </row>
    <row r="236" spans="1:22" ht="62.4" x14ac:dyDescent="0.3">
      <c r="A236" s="1">
        <v>232</v>
      </c>
      <c r="B236" s="43" t="s">
        <v>40</v>
      </c>
      <c r="C236" s="44" t="s">
        <v>542</v>
      </c>
      <c r="D236" s="38"/>
      <c r="E236" s="38" t="s">
        <v>75</v>
      </c>
      <c r="F236" s="38" t="s">
        <v>544</v>
      </c>
      <c r="G236" s="38" t="s">
        <v>184</v>
      </c>
      <c r="H236" s="45">
        <v>196.83361666666667</v>
      </c>
      <c r="I236" s="38">
        <v>1</v>
      </c>
      <c r="J236" s="45">
        <v>196.83361666666667</v>
      </c>
      <c r="K236" s="45">
        <v>196.83361666666667</v>
      </c>
      <c r="L236" s="38">
        <v>1</v>
      </c>
      <c r="M236" s="45">
        <v>196.83361666666667</v>
      </c>
      <c r="N236" s="3" t="s">
        <v>545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2.4" x14ac:dyDescent="0.3">
      <c r="A237" s="38">
        <v>233</v>
      </c>
      <c r="B237" s="38" t="s">
        <v>21</v>
      </c>
      <c r="C237" s="47" t="s">
        <v>413</v>
      </c>
      <c r="D237" s="38" t="s">
        <v>58</v>
      </c>
      <c r="E237" s="38" t="s">
        <v>373</v>
      </c>
      <c r="F237" s="61" t="s">
        <v>546</v>
      </c>
      <c r="G237" s="38" t="s">
        <v>185</v>
      </c>
      <c r="H237" s="48"/>
      <c r="I237" s="38">
        <v>180</v>
      </c>
      <c r="J237" s="56">
        <v>372.06</v>
      </c>
      <c r="K237" s="49"/>
      <c r="L237" s="51">
        <v>180</v>
      </c>
      <c r="M237" s="56">
        <v>372.06</v>
      </c>
      <c r="N237" s="3" t="s">
        <v>547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7">
        <v>45187</v>
      </c>
      <c r="U237" s="38"/>
      <c r="V237" s="38"/>
    </row>
    <row r="238" spans="1:22" ht="62.4" x14ac:dyDescent="0.3">
      <c r="A238" s="38">
        <v>234</v>
      </c>
      <c r="B238" s="38" t="s">
        <v>40</v>
      </c>
      <c r="C238" s="44" t="s">
        <v>41</v>
      </c>
      <c r="D238" s="38"/>
      <c r="E238" s="38" t="s">
        <v>373</v>
      </c>
      <c r="F238" s="44" t="s">
        <v>548</v>
      </c>
      <c r="G238" s="38" t="s">
        <v>184</v>
      </c>
      <c r="H238" s="48">
        <v>299.56304166666672</v>
      </c>
      <c r="I238" s="38">
        <v>1</v>
      </c>
      <c r="J238" s="38">
        <v>299.56304166666672</v>
      </c>
      <c r="K238" s="38">
        <v>299.56304166666672</v>
      </c>
      <c r="L238" s="38">
        <v>1</v>
      </c>
      <c r="M238" s="38">
        <v>299.56304166666672</v>
      </c>
      <c r="N238" s="3" t="s">
        <v>549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2.4" x14ac:dyDescent="0.3">
      <c r="A239" s="38">
        <v>235</v>
      </c>
      <c r="B239" s="38" t="s">
        <v>40</v>
      </c>
      <c r="C239" s="44" t="s">
        <v>41</v>
      </c>
      <c r="D239" s="38"/>
      <c r="E239" s="38" t="s">
        <v>373</v>
      </c>
      <c r="F239" s="44" t="s">
        <v>550</v>
      </c>
      <c r="G239" s="38" t="s">
        <v>184</v>
      </c>
      <c r="H239" s="48">
        <v>187.04543333333334</v>
      </c>
      <c r="I239" s="38">
        <v>1</v>
      </c>
      <c r="J239" s="38">
        <v>187.04543333333334</v>
      </c>
      <c r="K239" s="48">
        <v>187.04543333333334</v>
      </c>
      <c r="L239" s="38">
        <v>1</v>
      </c>
      <c r="M239" s="38">
        <v>187.04543333333334</v>
      </c>
      <c r="N239" s="3" t="s">
        <v>551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2.4" x14ac:dyDescent="0.3">
      <c r="A240" s="38">
        <v>236</v>
      </c>
      <c r="B240" s="38" t="s">
        <v>40</v>
      </c>
      <c r="C240" s="44" t="s">
        <v>41</v>
      </c>
      <c r="D240" s="38"/>
      <c r="E240" s="38" t="s">
        <v>373</v>
      </c>
      <c r="F240" s="44" t="s">
        <v>552</v>
      </c>
      <c r="G240" s="38" t="s">
        <v>184</v>
      </c>
      <c r="H240" s="48">
        <v>67.505383333333342</v>
      </c>
      <c r="I240" s="38">
        <v>1</v>
      </c>
      <c r="J240" s="38">
        <v>67.505383333333342</v>
      </c>
      <c r="K240" s="38">
        <v>67.505383333333342</v>
      </c>
      <c r="L240" s="38">
        <v>1</v>
      </c>
      <c r="M240" s="38">
        <v>67.505383333333342</v>
      </c>
      <c r="N240" s="3" t="s">
        <v>553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56" x14ac:dyDescent="0.3">
      <c r="A241" s="38">
        <v>237</v>
      </c>
      <c r="B241" s="38" t="s">
        <v>21</v>
      </c>
      <c r="C241" s="52" t="s">
        <v>517</v>
      </c>
      <c r="D241" s="38" t="s">
        <v>58</v>
      </c>
      <c r="E241" s="38" t="s">
        <v>88</v>
      </c>
      <c r="F241" s="41" t="s">
        <v>554</v>
      </c>
      <c r="G241" s="38" t="s">
        <v>185</v>
      </c>
      <c r="H241" s="48"/>
      <c r="I241" s="38">
        <v>28</v>
      </c>
      <c r="J241" s="38">
        <f>16670400/1000/1.2</f>
        <v>13892.000000000002</v>
      </c>
      <c r="K241" s="38"/>
      <c r="L241" s="38">
        <v>28</v>
      </c>
      <c r="M241" s="38">
        <v>13892.000000000002</v>
      </c>
      <c r="N241" s="3" t="s">
        <v>555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6" t="s">
        <v>556</v>
      </c>
      <c r="V241" s="38"/>
    </row>
    <row r="242" spans="1:22" ht="62.4" x14ac:dyDescent="0.3">
      <c r="A242" s="38">
        <v>238</v>
      </c>
      <c r="B242" s="38" t="s">
        <v>40</v>
      </c>
      <c r="C242" s="44" t="s">
        <v>542</v>
      </c>
      <c r="D242" s="38"/>
      <c r="E242" s="38" t="s">
        <v>75</v>
      </c>
      <c r="F242" s="44" t="s">
        <v>541</v>
      </c>
      <c r="G242" s="38" t="s">
        <v>184</v>
      </c>
      <c r="H242" s="48">
        <f>255985.58/1000/1.2</f>
        <v>213.32131666666666</v>
      </c>
      <c r="I242" s="38">
        <v>1</v>
      </c>
      <c r="J242" s="48">
        <f>255985.58/1000/1.2</f>
        <v>213.32131666666666</v>
      </c>
      <c r="K242" s="48">
        <f>255985.58/1000/1.2</f>
        <v>213.32131666666666</v>
      </c>
      <c r="L242" s="38">
        <v>1</v>
      </c>
      <c r="M242" s="48">
        <f>255985.58/1000/1.2</f>
        <v>213.32131666666666</v>
      </c>
      <c r="N242" s="3" t="s">
        <v>543</v>
      </c>
      <c r="O242" s="50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4.8" x14ac:dyDescent="0.3">
      <c r="A243" s="39">
        <v>239</v>
      </c>
      <c r="B243" s="39" t="s">
        <v>40</v>
      </c>
      <c r="C243" s="39" t="s">
        <v>518</v>
      </c>
      <c r="D243" s="39"/>
      <c r="E243" s="39" t="s">
        <v>88</v>
      </c>
      <c r="F243" s="39" t="s">
        <v>511</v>
      </c>
      <c r="G243" s="39" t="s">
        <v>184</v>
      </c>
      <c r="H243" s="39">
        <v>1735.5</v>
      </c>
      <c r="I243" s="39">
        <v>1</v>
      </c>
      <c r="J243" s="39">
        <v>1735.5</v>
      </c>
      <c r="K243" s="39">
        <v>1735.5</v>
      </c>
      <c r="L243" s="39">
        <v>1</v>
      </c>
      <c r="M243" s="39">
        <v>1735.5</v>
      </c>
      <c r="N243" s="6" t="s">
        <v>558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601</v>
      </c>
      <c r="V243" s="39"/>
    </row>
    <row r="244" spans="1:22" ht="62.4" x14ac:dyDescent="0.3">
      <c r="A244" s="39">
        <v>240</v>
      </c>
      <c r="B244" s="39" t="s">
        <v>40</v>
      </c>
      <c r="C244" s="39" t="s">
        <v>41</v>
      </c>
      <c r="D244" s="39"/>
      <c r="E244" s="39" t="s">
        <v>373</v>
      </c>
      <c r="F244" s="39" t="s">
        <v>559</v>
      </c>
      <c r="G244" s="39" t="s">
        <v>184</v>
      </c>
      <c r="H244" s="39">
        <v>167.10406599999999</v>
      </c>
      <c r="I244" s="39">
        <v>1</v>
      </c>
      <c r="J244" s="54">
        <v>167.10406599999999</v>
      </c>
      <c r="K244" s="54">
        <v>167.10406599999999</v>
      </c>
      <c r="L244" s="54">
        <v>1</v>
      </c>
      <c r="M244" s="54">
        <v>167.10406599999999</v>
      </c>
      <c r="N244" s="6" t="s">
        <v>560</v>
      </c>
      <c r="O244" s="55">
        <v>45181</v>
      </c>
      <c r="P244" s="33" t="str">
        <f>HYPERLINK("https://my.zakupki.prom.ua/remote/dispatcher/state_purchase_view/45103007", "UA-2023-09-12-003129-a")</f>
        <v>UA-2023-09-12-003129-a</v>
      </c>
      <c r="Q244" s="54">
        <v>167.10406599999999</v>
      </c>
      <c r="R244" s="54">
        <v>1</v>
      </c>
      <c r="S244" s="54">
        <v>167.10406599999999</v>
      </c>
      <c r="T244" s="55">
        <v>45181</v>
      </c>
      <c r="U244" s="39"/>
      <c r="V244" s="54" t="s">
        <v>59</v>
      </c>
    </row>
    <row r="245" spans="1:22" ht="62.4" x14ac:dyDescent="0.3">
      <c r="A245" s="39">
        <v>241</v>
      </c>
      <c r="B245" s="39" t="s">
        <v>40</v>
      </c>
      <c r="C245" s="39" t="s">
        <v>41</v>
      </c>
      <c r="D245" s="39"/>
      <c r="E245" s="39" t="s">
        <v>373</v>
      </c>
      <c r="F245" s="39" t="s">
        <v>561</v>
      </c>
      <c r="G245" s="39" t="s">
        <v>184</v>
      </c>
      <c r="H245" s="54">
        <v>415.16779100000002</v>
      </c>
      <c r="I245" s="39">
        <v>1</v>
      </c>
      <c r="J245" s="39">
        <v>415.16779100000002</v>
      </c>
      <c r="K245" s="54">
        <v>415.16779100000002</v>
      </c>
      <c r="L245" s="54">
        <v>1</v>
      </c>
      <c r="M245" s="54">
        <v>415.16779100000002</v>
      </c>
      <c r="N245" s="6" t="s">
        <v>563</v>
      </c>
      <c r="O245" s="55">
        <v>45181</v>
      </c>
      <c r="P245" s="33" t="str">
        <f>HYPERLINK("https://my.zakupki.prom.ua/remote/dispatcher/state_purchase_view/45101986", "UA-2023-09-12-002759-a")</f>
        <v>UA-2023-09-12-002759-a</v>
      </c>
      <c r="Q245" s="54">
        <v>415.16779100000002</v>
      </c>
      <c r="R245" s="54">
        <v>1</v>
      </c>
      <c r="S245" s="54">
        <v>415.16779100000002</v>
      </c>
      <c r="T245" s="55">
        <v>45181</v>
      </c>
      <c r="U245" s="39"/>
      <c r="V245" s="54" t="s">
        <v>59</v>
      </c>
    </row>
    <row r="246" spans="1:22" ht="62.4" x14ac:dyDescent="0.3">
      <c r="A246" s="39">
        <v>242</v>
      </c>
      <c r="B246" s="39" t="s">
        <v>40</v>
      </c>
      <c r="C246" s="39" t="s">
        <v>41</v>
      </c>
      <c r="D246" s="39"/>
      <c r="E246" s="39" t="s">
        <v>373</v>
      </c>
      <c r="F246" s="39" t="s">
        <v>562</v>
      </c>
      <c r="G246" s="39" t="s">
        <v>184</v>
      </c>
      <c r="H246" s="54">
        <v>101.80864099999999</v>
      </c>
      <c r="I246" s="39">
        <v>1</v>
      </c>
      <c r="J246" s="39">
        <v>101.80864099999999</v>
      </c>
      <c r="K246" s="54">
        <v>101.80864099999999</v>
      </c>
      <c r="L246" s="54">
        <v>1</v>
      </c>
      <c r="M246" s="54">
        <v>101.80864099999999</v>
      </c>
      <c r="N246" s="6" t="s">
        <v>564</v>
      </c>
      <c r="O246" s="55">
        <v>45181</v>
      </c>
      <c r="P246" s="42" t="str">
        <f>HYPERLINK("https://my.zakupki.prom.ua/remote/dispatcher/state_purchase_view/45099204", "UA-2023-09-12-001499-a")</f>
        <v>UA-2023-09-12-001499-a</v>
      </c>
      <c r="Q246" s="54">
        <v>101.80864099999999</v>
      </c>
      <c r="R246" s="54">
        <v>1</v>
      </c>
      <c r="S246" s="54">
        <v>101.80864099999999</v>
      </c>
      <c r="T246" s="55">
        <v>45181</v>
      </c>
      <c r="U246" s="39"/>
      <c r="V246" s="54" t="s">
        <v>59</v>
      </c>
    </row>
    <row r="247" spans="1:22" ht="109.2" x14ac:dyDescent="0.3">
      <c r="A247" s="39">
        <v>243</v>
      </c>
      <c r="B247" s="54" t="s">
        <v>21</v>
      </c>
      <c r="C247" s="39" t="s">
        <v>173</v>
      </c>
      <c r="D247" s="83" t="s">
        <v>58</v>
      </c>
      <c r="E247" s="54" t="s">
        <v>88</v>
      </c>
      <c r="F247" s="39" t="s">
        <v>565</v>
      </c>
      <c r="G247" s="54" t="s">
        <v>21</v>
      </c>
      <c r="H247" s="54"/>
      <c r="I247" s="39">
        <v>20</v>
      </c>
      <c r="J247" s="39">
        <v>89.4</v>
      </c>
      <c r="K247" s="54"/>
      <c r="L247" s="39">
        <v>20</v>
      </c>
      <c r="M247" s="54">
        <v>89.4</v>
      </c>
      <c r="N247" s="6" t="s">
        <v>566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4">
        <v>89.4</v>
      </c>
      <c r="T247" s="40"/>
      <c r="U247" s="54" t="s">
        <v>575</v>
      </c>
      <c r="V247" s="39"/>
    </row>
    <row r="248" spans="1:22" ht="78" x14ac:dyDescent="0.3">
      <c r="A248" s="39">
        <v>244</v>
      </c>
      <c r="B248" s="54" t="s">
        <v>21</v>
      </c>
      <c r="C248" s="39" t="s">
        <v>180</v>
      </c>
      <c r="D248" s="83" t="s">
        <v>58</v>
      </c>
      <c r="E248" s="54" t="s">
        <v>88</v>
      </c>
      <c r="F248" s="39" t="s">
        <v>567</v>
      </c>
      <c r="G248" s="54" t="s">
        <v>21</v>
      </c>
      <c r="H248" s="39"/>
      <c r="I248" s="39">
        <v>5</v>
      </c>
      <c r="J248" s="39">
        <v>1802.08</v>
      </c>
      <c r="K248" s="39"/>
      <c r="L248" s="39">
        <v>5</v>
      </c>
      <c r="M248" s="54">
        <v>1802.08</v>
      </c>
      <c r="N248" s="6" t="s">
        <v>568</v>
      </c>
      <c r="O248" s="55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4">
        <v>1802.08</v>
      </c>
      <c r="T248" s="40"/>
      <c r="U248" s="54" t="s">
        <v>93</v>
      </c>
      <c r="V248" s="39"/>
    </row>
    <row r="249" spans="1:22" ht="124.8" x14ac:dyDescent="0.3">
      <c r="A249" s="9">
        <v>245</v>
      </c>
      <c r="B249" s="9" t="s">
        <v>21</v>
      </c>
      <c r="C249" s="9" t="s">
        <v>179</v>
      </c>
      <c r="D249" s="83" t="s">
        <v>58</v>
      </c>
      <c r="E249" s="9" t="s">
        <v>88</v>
      </c>
      <c r="F249" s="9" t="s">
        <v>569</v>
      </c>
      <c r="G249" s="9" t="s">
        <v>21</v>
      </c>
      <c r="H249" s="9">
        <v>95.23</v>
      </c>
      <c r="I249" s="9">
        <v>1</v>
      </c>
      <c r="J249" s="9">
        <v>95.23</v>
      </c>
      <c r="K249" s="9">
        <v>95.23</v>
      </c>
      <c r="L249" s="9">
        <v>1</v>
      </c>
      <c r="M249" s="9">
        <v>95.23</v>
      </c>
      <c r="N249" s="58" t="s">
        <v>570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3.6" x14ac:dyDescent="0.3">
      <c r="A250" s="54">
        <v>246</v>
      </c>
      <c r="B250" s="54" t="s">
        <v>21</v>
      </c>
      <c r="C250" s="54" t="s">
        <v>177</v>
      </c>
      <c r="D250" s="83" t="s">
        <v>58</v>
      </c>
      <c r="E250" s="54" t="s">
        <v>88</v>
      </c>
      <c r="F250" s="54" t="s">
        <v>571</v>
      </c>
      <c r="G250" s="54" t="s">
        <v>21</v>
      </c>
      <c r="H250" s="54"/>
      <c r="I250" s="54">
        <v>5</v>
      </c>
      <c r="J250" s="54">
        <v>231.75</v>
      </c>
      <c r="K250" s="54"/>
      <c r="L250" s="54">
        <v>5</v>
      </c>
      <c r="M250" s="54">
        <v>231.75</v>
      </c>
      <c r="N250" s="6" t="s">
        <v>573</v>
      </c>
      <c r="O250" s="55">
        <v>45175</v>
      </c>
      <c r="P250" s="33" t="str">
        <f>HYPERLINK("https://my.zakupki.prom.ua/remote/dispatcher/state_purchase_view/44980722", "UA-2023-09-06-007510-a")</f>
        <v>UA-2023-09-06-007510-a</v>
      </c>
      <c r="Q250" s="54"/>
      <c r="R250" s="54">
        <v>5</v>
      </c>
      <c r="S250" s="54">
        <v>231.75</v>
      </c>
      <c r="T250" s="55"/>
      <c r="U250" s="54" t="s">
        <v>93</v>
      </c>
      <c r="V250" s="54"/>
    </row>
    <row r="251" spans="1:22" ht="78" x14ac:dyDescent="0.3">
      <c r="A251" s="54">
        <v>247</v>
      </c>
      <c r="B251" s="54" t="s">
        <v>21</v>
      </c>
      <c r="C251" s="54" t="s">
        <v>32</v>
      </c>
      <c r="D251" s="83" t="s">
        <v>58</v>
      </c>
      <c r="E251" s="54" t="s">
        <v>88</v>
      </c>
      <c r="F251" s="54" t="s">
        <v>572</v>
      </c>
      <c r="G251" s="54" t="s">
        <v>21</v>
      </c>
      <c r="H251" s="54"/>
      <c r="I251" s="54">
        <v>40</v>
      </c>
      <c r="J251" s="54">
        <v>210</v>
      </c>
      <c r="K251" s="54"/>
      <c r="L251" s="54">
        <v>40</v>
      </c>
      <c r="M251" s="54">
        <v>210</v>
      </c>
      <c r="N251" s="6" t="s">
        <v>574</v>
      </c>
      <c r="O251" s="55">
        <v>45175</v>
      </c>
      <c r="P251" s="33" t="str">
        <f>HYPERLINK("https://my.zakupki.prom.ua/remote/dispatcher/state_purchase_view/44947327", "UA-2023-09-05-007575-a")</f>
        <v>UA-2023-09-05-007575-a</v>
      </c>
      <c r="Q251" s="54"/>
      <c r="R251" s="54">
        <v>40</v>
      </c>
      <c r="S251" s="54">
        <v>210</v>
      </c>
      <c r="T251" s="55"/>
      <c r="U251" s="54" t="s">
        <v>93</v>
      </c>
      <c r="V251" s="54"/>
    </row>
    <row r="252" spans="1:22" ht="62.4" x14ac:dyDescent="0.3">
      <c r="A252" s="59">
        <v>248</v>
      </c>
      <c r="B252" s="59" t="s">
        <v>40</v>
      </c>
      <c r="C252" s="44" t="s">
        <v>41</v>
      </c>
      <c r="D252" s="59"/>
      <c r="E252" s="59" t="s">
        <v>373</v>
      </c>
      <c r="F252" s="44" t="s">
        <v>576</v>
      </c>
      <c r="G252" s="59" t="s">
        <v>40</v>
      </c>
      <c r="H252" s="59">
        <v>200.1147</v>
      </c>
      <c r="I252" s="59">
        <v>1</v>
      </c>
      <c r="J252" s="59">
        <v>200.1147</v>
      </c>
      <c r="K252" s="59">
        <v>200.1147</v>
      </c>
      <c r="L252" s="59">
        <v>1</v>
      </c>
      <c r="M252" s="59">
        <v>200.1147</v>
      </c>
      <c r="N252" s="6" t="s">
        <v>577</v>
      </c>
      <c r="O252" s="60">
        <v>45187</v>
      </c>
      <c r="P252" s="33" t="str">
        <f>HYPERLINK("https://my.zakupki.prom.ua/remote/dispatcher/state_purchase_view/45239472", "UA-2023-09-18-004898-a")</f>
        <v>UA-2023-09-18-004898-a</v>
      </c>
      <c r="Q252" s="59">
        <v>200.1147</v>
      </c>
      <c r="R252" s="59">
        <v>1</v>
      </c>
      <c r="S252" s="59">
        <v>200.1147</v>
      </c>
      <c r="T252" s="90">
        <v>45187</v>
      </c>
      <c r="U252" s="59"/>
      <c r="V252" s="59" t="s">
        <v>59</v>
      </c>
    </row>
    <row r="253" spans="1:22" ht="62.4" x14ac:dyDescent="0.3">
      <c r="A253" s="59">
        <v>249</v>
      </c>
      <c r="B253" s="59" t="s">
        <v>40</v>
      </c>
      <c r="C253" s="44" t="s">
        <v>41</v>
      </c>
      <c r="D253" s="59"/>
      <c r="E253" s="59" t="s">
        <v>373</v>
      </c>
      <c r="F253" s="64" t="s">
        <v>578</v>
      </c>
      <c r="G253" s="59" t="s">
        <v>40</v>
      </c>
      <c r="H253" s="59">
        <v>81.153700000000001</v>
      </c>
      <c r="I253" s="59">
        <v>1</v>
      </c>
      <c r="J253" s="59">
        <v>81.153700000000001</v>
      </c>
      <c r="K253" s="59">
        <v>81.153700000000001</v>
      </c>
      <c r="L253" s="59">
        <v>1</v>
      </c>
      <c r="M253" s="59">
        <v>81.153700000000001</v>
      </c>
      <c r="N253" s="6" t="s">
        <v>579</v>
      </c>
      <c r="O253" s="60">
        <v>45188</v>
      </c>
      <c r="P253" s="42" t="str">
        <f>HYPERLINK("https://my.zakupki.prom.ua/remote/dispatcher/state_purchase_view/45277635", "UA-2023-09-19-007532-a")</f>
        <v>UA-2023-09-19-007532-a</v>
      </c>
      <c r="Q253" s="59">
        <v>81.153700000000001</v>
      </c>
      <c r="R253" s="59">
        <v>1</v>
      </c>
      <c r="S253" s="59">
        <v>81.153700000000001</v>
      </c>
      <c r="T253" s="90">
        <v>45188</v>
      </c>
      <c r="U253" s="59"/>
      <c r="V253" s="59" t="s">
        <v>59</v>
      </c>
    </row>
    <row r="254" spans="1:22" ht="62.4" x14ac:dyDescent="0.3">
      <c r="A254" s="59">
        <v>250</v>
      </c>
      <c r="B254" s="59" t="s">
        <v>40</v>
      </c>
      <c r="C254" s="44" t="s">
        <v>73</v>
      </c>
      <c r="D254" s="59"/>
      <c r="E254" s="59" t="s">
        <v>75</v>
      </c>
      <c r="F254" s="44" t="s">
        <v>580</v>
      </c>
      <c r="G254" s="59" t="s">
        <v>40</v>
      </c>
      <c r="H254" s="59">
        <v>48.749989999999997</v>
      </c>
      <c r="I254" s="59">
        <v>1</v>
      </c>
      <c r="J254" s="59">
        <v>48.749989999999997</v>
      </c>
      <c r="K254" s="59">
        <v>48.749989999999997</v>
      </c>
      <c r="L254" s="59">
        <v>1</v>
      </c>
      <c r="M254" s="59">
        <v>48.749989999999997</v>
      </c>
      <c r="N254" s="6" t="s">
        <v>581</v>
      </c>
      <c r="O254" s="60">
        <v>45189</v>
      </c>
      <c r="P254" s="33" t="str">
        <f>HYPERLINK("https://my.zakupki.prom.ua/remote/dispatcher/state_purchase_view/45319690", "UA-2023-09-20-010554-a")</f>
        <v>UA-2023-09-20-010554-a</v>
      </c>
      <c r="Q254" s="59">
        <v>48.749989999999997</v>
      </c>
      <c r="R254" s="59">
        <v>1</v>
      </c>
      <c r="S254" s="59">
        <v>48.749989999999997</v>
      </c>
      <c r="T254" s="90">
        <v>45189</v>
      </c>
      <c r="U254" s="59"/>
      <c r="V254" s="59" t="s">
        <v>59</v>
      </c>
    </row>
    <row r="255" spans="1:22" ht="62.4" x14ac:dyDescent="0.3">
      <c r="A255" s="59">
        <v>251</v>
      </c>
      <c r="B255" s="59" t="s">
        <v>40</v>
      </c>
      <c r="C255" s="41" t="s">
        <v>73</v>
      </c>
      <c r="D255" s="59"/>
      <c r="E255" s="59" t="s">
        <v>75</v>
      </c>
      <c r="F255" s="41" t="s">
        <v>582</v>
      </c>
      <c r="G255" s="59" t="s">
        <v>40</v>
      </c>
      <c r="H255" s="59">
        <v>77.5</v>
      </c>
      <c r="I255" s="59">
        <v>1</v>
      </c>
      <c r="J255" s="59">
        <v>77.5</v>
      </c>
      <c r="K255" s="59">
        <v>77.5</v>
      </c>
      <c r="L255" s="59">
        <v>1</v>
      </c>
      <c r="M255" s="59">
        <v>77.5</v>
      </c>
      <c r="N255" s="6" t="s">
        <v>583</v>
      </c>
      <c r="O255" s="60">
        <v>45191</v>
      </c>
      <c r="P255" s="42" t="str">
        <f>HYPERLINK("https://my.zakupki.prom.ua/remote/dispatcher/state_purchase_view/45367412", "UA-2023-09-22-000657-a")</f>
        <v>UA-2023-09-22-000657-a</v>
      </c>
      <c r="Q255" s="59">
        <v>77.5</v>
      </c>
      <c r="R255" s="59">
        <v>1</v>
      </c>
      <c r="S255" s="59">
        <v>77.5</v>
      </c>
      <c r="T255" s="90">
        <v>45191</v>
      </c>
      <c r="U255" s="59"/>
      <c r="V255" s="59" t="s">
        <v>59</v>
      </c>
    </row>
    <row r="256" spans="1:22" ht="62.4" x14ac:dyDescent="0.3">
      <c r="A256" s="59">
        <v>252</v>
      </c>
      <c r="B256" s="59" t="s">
        <v>21</v>
      </c>
      <c r="C256" s="65" t="s">
        <v>300</v>
      </c>
      <c r="D256" s="83" t="s">
        <v>58</v>
      </c>
      <c r="E256" s="59" t="s">
        <v>88</v>
      </c>
      <c r="F256" s="59" t="s">
        <v>584</v>
      </c>
      <c r="G256" s="59" t="s">
        <v>21</v>
      </c>
      <c r="H256" s="59"/>
      <c r="I256" s="59"/>
      <c r="J256" s="59">
        <v>34.457160000000002</v>
      </c>
      <c r="K256" s="59"/>
      <c r="L256" s="59"/>
      <c r="M256" s="59">
        <v>34.457160000000002</v>
      </c>
      <c r="N256" s="6" t="s">
        <v>586</v>
      </c>
      <c r="O256" s="60">
        <v>45191</v>
      </c>
      <c r="P256" s="66" t="s">
        <v>585</v>
      </c>
      <c r="Q256" s="59"/>
      <c r="R256" s="59"/>
      <c r="S256" s="59">
        <v>34.457160000000002</v>
      </c>
      <c r="T256" s="90">
        <v>45191</v>
      </c>
      <c r="U256" s="59"/>
      <c r="V256" s="59" t="s">
        <v>59</v>
      </c>
    </row>
    <row r="257" spans="1:22" ht="78" x14ac:dyDescent="0.3">
      <c r="A257" s="63">
        <v>253</v>
      </c>
      <c r="B257" s="63" t="s">
        <v>40</v>
      </c>
      <c r="C257" s="44" t="s">
        <v>41</v>
      </c>
      <c r="D257" s="63"/>
      <c r="E257" s="63" t="s">
        <v>373</v>
      </c>
      <c r="F257" s="63" t="s">
        <v>587</v>
      </c>
      <c r="G257" s="63" t="s">
        <v>40</v>
      </c>
      <c r="H257" s="63">
        <v>230.40833000000001</v>
      </c>
      <c r="I257" s="63">
        <v>1</v>
      </c>
      <c r="J257" s="63">
        <v>230.40833000000001</v>
      </c>
      <c r="K257" s="63">
        <v>230.40833000000001</v>
      </c>
      <c r="L257" s="63">
        <v>1</v>
      </c>
      <c r="M257" s="63">
        <v>230.40833000000001</v>
      </c>
      <c r="N257" s="6" t="s">
        <v>588</v>
      </c>
      <c r="O257" s="62">
        <v>45194</v>
      </c>
      <c r="P257" s="33" t="str">
        <f>HYPERLINK("https://my.zakupki.prom.ua/remote/dispatcher/state_purchase_view/45419691", "UA-2023-09-25-008707-a")</f>
        <v>UA-2023-09-25-008707-a</v>
      </c>
      <c r="Q257" s="63">
        <v>230.40833000000001</v>
      </c>
      <c r="R257" s="63">
        <v>1</v>
      </c>
      <c r="S257" s="63">
        <v>230.40833000000001</v>
      </c>
      <c r="T257" s="90">
        <v>45194</v>
      </c>
      <c r="U257" s="63"/>
      <c r="V257" s="63" t="s">
        <v>59</v>
      </c>
    </row>
    <row r="258" spans="1:22" ht="78" x14ac:dyDescent="0.3">
      <c r="A258" s="63">
        <v>254</v>
      </c>
      <c r="B258" s="63" t="s">
        <v>40</v>
      </c>
      <c r="C258" s="44" t="s">
        <v>41</v>
      </c>
      <c r="D258" s="63"/>
      <c r="E258" s="63" t="s">
        <v>373</v>
      </c>
      <c r="F258" s="63" t="s">
        <v>589</v>
      </c>
      <c r="G258" s="63" t="s">
        <v>40</v>
      </c>
      <c r="H258" s="63">
        <v>394.19400000000002</v>
      </c>
      <c r="I258" s="63">
        <v>1</v>
      </c>
      <c r="J258" s="63">
        <v>394.19400000000002</v>
      </c>
      <c r="K258" s="63">
        <v>394.19400000000002</v>
      </c>
      <c r="L258" s="63">
        <v>1</v>
      </c>
      <c r="M258" s="63">
        <v>394.19400000000002</v>
      </c>
      <c r="N258" s="6" t="s">
        <v>590</v>
      </c>
      <c r="O258" s="62">
        <v>45194</v>
      </c>
      <c r="P258" s="69" t="str">
        <f>HYPERLINK("https://my.zakupki.prom.ua/remote/dispatcher/state_purchase_view/45419703", "UA-2023-09-25-008718-a")</f>
        <v>UA-2023-09-25-008718-a</v>
      </c>
      <c r="Q258" s="63">
        <v>394.19400000000002</v>
      </c>
      <c r="R258" s="63">
        <v>1</v>
      </c>
      <c r="S258" s="63">
        <v>394.19400000000002</v>
      </c>
      <c r="T258" s="90">
        <v>45194</v>
      </c>
      <c r="U258" s="63"/>
      <c r="V258" s="63" t="s">
        <v>59</v>
      </c>
    </row>
    <row r="259" spans="1:22" ht="62.4" x14ac:dyDescent="0.3">
      <c r="A259" s="67">
        <v>255</v>
      </c>
      <c r="B259" s="67" t="s">
        <v>40</v>
      </c>
      <c r="C259" s="44" t="s">
        <v>41</v>
      </c>
      <c r="D259" s="67"/>
      <c r="E259" s="67" t="s">
        <v>373</v>
      </c>
      <c r="F259" s="67" t="s">
        <v>591</v>
      </c>
      <c r="G259" s="67" t="s">
        <v>40</v>
      </c>
      <c r="H259" s="67">
        <v>132.84333000000001</v>
      </c>
      <c r="I259" s="67">
        <v>1</v>
      </c>
      <c r="J259" s="67">
        <v>132.84333000000001</v>
      </c>
      <c r="K259" s="67">
        <v>132.84333000000001</v>
      </c>
      <c r="L259" s="67">
        <v>1</v>
      </c>
      <c r="M259" s="67">
        <v>132.84333000000001</v>
      </c>
      <c r="N259" s="6" t="s">
        <v>592</v>
      </c>
      <c r="O259" s="68">
        <v>45196</v>
      </c>
      <c r="P259" s="33" t="str">
        <f>HYPERLINK("https://my.zakupki.prom.ua/remote/dispatcher/state_purchase_view/45482565", "UA-2023-09-27-006761-a")</f>
        <v>UA-2023-09-27-006761-a</v>
      </c>
      <c r="Q259" s="67">
        <v>132.84333000000001</v>
      </c>
      <c r="R259" s="67">
        <v>1</v>
      </c>
      <c r="S259" s="67">
        <v>132.84333000000001</v>
      </c>
      <c r="T259" s="90">
        <v>45196</v>
      </c>
      <c r="U259" s="67"/>
      <c r="V259" s="67" t="s">
        <v>59</v>
      </c>
    </row>
    <row r="260" spans="1:22" ht="62.4" x14ac:dyDescent="0.3">
      <c r="A260" s="70">
        <v>256</v>
      </c>
      <c r="B260" s="70" t="s">
        <v>40</v>
      </c>
      <c r="C260" s="44" t="s">
        <v>41</v>
      </c>
      <c r="D260" s="70"/>
      <c r="E260" s="70" t="s">
        <v>373</v>
      </c>
      <c r="F260" s="44" t="s">
        <v>593</v>
      </c>
      <c r="G260" s="70" t="s">
        <v>40</v>
      </c>
      <c r="H260" s="70">
        <v>654.21704</v>
      </c>
      <c r="I260" s="70">
        <v>1</v>
      </c>
      <c r="J260" s="70">
        <v>654.21704</v>
      </c>
      <c r="K260" s="70">
        <v>654.21704</v>
      </c>
      <c r="L260" s="70">
        <v>1</v>
      </c>
      <c r="M260" s="70">
        <v>654.21704</v>
      </c>
      <c r="N260" s="6" t="s">
        <v>594</v>
      </c>
      <c r="O260" s="71">
        <v>45196</v>
      </c>
      <c r="P260" s="33" t="str">
        <f>HYPERLINK("https://my.zakupki.prom.ua/remote/dispatcher/state_purchase_view/45483418", "UA-2023-09-27-007155-a")</f>
        <v>UA-2023-09-27-007155-a</v>
      </c>
      <c r="Q260" s="70">
        <v>654.21704</v>
      </c>
      <c r="R260" s="70">
        <v>1</v>
      </c>
      <c r="S260" s="70">
        <v>654.21704</v>
      </c>
      <c r="T260" s="90">
        <v>45196</v>
      </c>
      <c r="U260" s="70"/>
      <c r="V260" s="70" t="s">
        <v>59</v>
      </c>
    </row>
    <row r="261" spans="1:22" ht="109.2" x14ac:dyDescent="0.3">
      <c r="A261" s="70">
        <v>257</v>
      </c>
      <c r="B261" s="70" t="s">
        <v>40</v>
      </c>
      <c r="C261" s="44" t="s">
        <v>518</v>
      </c>
      <c r="D261" s="70"/>
      <c r="E261" s="70" t="s">
        <v>88</v>
      </c>
      <c r="F261" s="44" t="s">
        <v>595</v>
      </c>
      <c r="G261" s="70" t="s">
        <v>40</v>
      </c>
      <c r="H261" s="70">
        <v>1166.6659</v>
      </c>
      <c r="I261" s="70">
        <v>1</v>
      </c>
      <c r="J261" s="80">
        <v>1166.6659</v>
      </c>
      <c r="K261" s="80">
        <v>1166.6659</v>
      </c>
      <c r="L261" s="70">
        <v>1</v>
      </c>
      <c r="M261" s="80">
        <v>1166.6659</v>
      </c>
      <c r="N261" s="6" t="s">
        <v>596</v>
      </c>
      <c r="O261" s="71">
        <v>45198</v>
      </c>
      <c r="P261" s="33" t="str">
        <f>HYPERLINK("https://my.zakupki.prom.ua/remote/dispatcher/state_purchase_view/45549412", "UA-2023-09-29-009263-a")</f>
        <v>UA-2023-09-29-009263-a</v>
      </c>
      <c r="Q261" s="80">
        <v>1166.6659</v>
      </c>
      <c r="R261" s="70">
        <v>1</v>
      </c>
      <c r="S261" s="80">
        <v>1166.6659</v>
      </c>
      <c r="T261" s="71">
        <v>45224</v>
      </c>
      <c r="U261" s="70"/>
      <c r="V261" s="70"/>
    </row>
    <row r="262" spans="1:22" ht="62.4" x14ac:dyDescent="0.3">
      <c r="A262" s="70">
        <v>258</v>
      </c>
      <c r="B262" s="70" t="s">
        <v>40</v>
      </c>
      <c r="C262" s="44" t="s">
        <v>73</v>
      </c>
      <c r="D262" s="70"/>
      <c r="E262" s="70" t="s">
        <v>75</v>
      </c>
      <c r="F262" s="44" t="s">
        <v>597</v>
      </c>
      <c r="G262" s="70" t="s">
        <v>40</v>
      </c>
      <c r="H262" s="70">
        <v>525.10654999999997</v>
      </c>
      <c r="I262" s="70">
        <v>1</v>
      </c>
      <c r="J262" s="70">
        <v>525.10654999999997</v>
      </c>
      <c r="K262" s="70">
        <v>525.10654999999997</v>
      </c>
      <c r="L262" s="70">
        <v>1</v>
      </c>
      <c r="M262" s="70">
        <v>525.10654999999997</v>
      </c>
      <c r="N262" s="6" t="s">
        <v>598</v>
      </c>
      <c r="O262" s="71">
        <v>45202</v>
      </c>
      <c r="P262" s="33" t="str">
        <f>HYPERLINK("https://my.zakupki.prom.ua/remote/dispatcher/state_purchase_view/45589939", "UA-2023-10-03-002362-a")</f>
        <v>UA-2023-10-03-002362-a</v>
      </c>
      <c r="Q262" s="70">
        <v>525.10654999999997</v>
      </c>
      <c r="R262" s="70">
        <v>1</v>
      </c>
      <c r="S262" s="70">
        <v>525.10654999999997</v>
      </c>
      <c r="T262" s="84">
        <v>45202</v>
      </c>
      <c r="U262" s="70"/>
      <c r="V262" s="70" t="s">
        <v>59</v>
      </c>
    </row>
    <row r="263" spans="1:22" ht="62.4" x14ac:dyDescent="0.3">
      <c r="A263" s="70">
        <v>259</v>
      </c>
      <c r="B263" s="70" t="s">
        <v>40</v>
      </c>
      <c r="C263" s="44" t="s">
        <v>73</v>
      </c>
      <c r="D263" s="70"/>
      <c r="E263" s="70" t="s">
        <v>373</v>
      </c>
      <c r="F263" s="44" t="s">
        <v>599</v>
      </c>
      <c r="G263" s="70" t="s">
        <v>40</v>
      </c>
      <c r="H263" s="70">
        <v>60.484029999999997</v>
      </c>
      <c r="I263" s="70">
        <v>1</v>
      </c>
      <c r="J263" s="70">
        <v>60.484029999999997</v>
      </c>
      <c r="K263" s="70">
        <v>60.484029999999997</v>
      </c>
      <c r="L263" s="70">
        <v>1</v>
      </c>
      <c r="M263" s="70">
        <v>60.484029999999997</v>
      </c>
      <c r="N263" s="6" t="s">
        <v>600</v>
      </c>
      <c r="O263" s="71">
        <v>45208</v>
      </c>
      <c r="P263" s="33" t="str">
        <f>HYPERLINK("https://my.zakupki.prom.ua/remote/dispatcher/state_purchase_view/45723610", "UA-2023-10-09-004357-a")</f>
        <v>UA-2023-10-09-004357-a</v>
      </c>
      <c r="Q263" s="70">
        <v>60.484029999999997</v>
      </c>
      <c r="R263" s="70">
        <v>1</v>
      </c>
      <c r="S263" s="70">
        <v>60.484029999999997</v>
      </c>
      <c r="T263" s="84">
        <v>45208</v>
      </c>
      <c r="U263" s="70"/>
      <c r="V263" s="70" t="s">
        <v>59</v>
      </c>
    </row>
    <row r="264" spans="1:22" ht="62.4" x14ac:dyDescent="0.3">
      <c r="A264" s="77">
        <v>260</v>
      </c>
      <c r="B264" s="77" t="s">
        <v>40</v>
      </c>
      <c r="C264" s="44" t="s">
        <v>73</v>
      </c>
      <c r="D264" s="77"/>
      <c r="E264" s="72" t="s">
        <v>373</v>
      </c>
      <c r="F264" s="72" t="s">
        <v>602</v>
      </c>
      <c r="G264" s="72" t="s">
        <v>40</v>
      </c>
      <c r="H264" s="72">
        <v>93.933940000000007</v>
      </c>
      <c r="I264" s="72">
        <v>1</v>
      </c>
      <c r="J264" s="72">
        <v>93.933940000000007</v>
      </c>
      <c r="K264" s="72">
        <v>93.933940000000007</v>
      </c>
      <c r="L264" s="72">
        <v>1</v>
      </c>
      <c r="M264" s="72">
        <v>93.933940000000007</v>
      </c>
      <c r="N264" s="6" t="s">
        <v>603</v>
      </c>
      <c r="O264" s="73">
        <v>45209</v>
      </c>
      <c r="P264" s="33" t="str">
        <f>HYPERLINK("https://my.zakupivli.pro/remote/dispatcher/state_purchase_view/45776105", "UA-2023-10-10-013153-a")</f>
        <v>UA-2023-10-10-013153-a</v>
      </c>
      <c r="Q264" s="72">
        <v>93.933940000000007</v>
      </c>
      <c r="R264" s="72">
        <v>1</v>
      </c>
      <c r="S264" s="72">
        <v>93.933940000000007</v>
      </c>
      <c r="T264" s="84">
        <v>45209</v>
      </c>
      <c r="U264" s="72"/>
      <c r="V264" s="72" t="s">
        <v>59</v>
      </c>
    </row>
    <row r="265" spans="1:22" ht="62.4" x14ac:dyDescent="0.3">
      <c r="A265" s="77">
        <v>261</v>
      </c>
      <c r="B265" s="77" t="s">
        <v>40</v>
      </c>
      <c r="C265" s="44" t="s">
        <v>73</v>
      </c>
      <c r="D265" s="77"/>
      <c r="E265" s="72" t="s">
        <v>75</v>
      </c>
      <c r="F265" s="72" t="s">
        <v>604</v>
      </c>
      <c r="G265" s="72" t="s">
        <v>40</v>
      </c>
      <c r="H265" s="72">
        <v>52.685160000000003</v>
      </c>
      <c r="I265" s="72">
        <v>1</v>
      </c>
      <c r="J265" s="72">
        <v>52.685160000000003</v>
      </c>
      <c r="K265" s="72">
        <v>52.685160000000003</v>
      </c>
      <c r="L265" s="72">
        <v>1</v>
      </c>
      <c r="M265" s="72">
        <v>52.685160000000003</v>
      </c>
      <c r="N265" s="6" t="s">
        <v>605</v>
      </c>
      <c r="O265" s="73">
        <v>45215</v>
      </c>
      <c r="P265" s="42" t="str">
        <f>HYPERLINK("https://my.zakupivli.pro/remote/dispatcher/state_purchase_view/45900809", "UA-2023-10-16-006331-a")</f>
        <v>UA-2023-10-16-006331-a</v>
      </c>
      <c r="Q265" s="72">
        <v>52.685160000000003</v>
      </c>
      <c r="R265" s="72">
        <v>1</v>
      </c>
      <c r="S265" s="72">
        <v>52.685160000000003</v>
      </c>
      <c r="T265" s="84">
        <v>45215</v>
      </c>
      <c r="U265" s="72"/>
      <c r="V265" s="72" t="s">
        <v>59</v>
      </c>
    </row>
    <row r="266" spans="1:22" ht="62.4" x14ac:dyDescent="0.3">
      <c r="A266" s="77">
        <v>262</v>
      </c>
      <c r="B266" s="77" t="s">
        <v>40</v>
      </c>
      <c r="C266" s="44" t="s">
        <v>73</v>
      </c>
      <c r="D266" s="77"/>
      <c r="E266" s="74" t="s">
        <v>75</v>
      </c>
      <c r="F266" s="72" t="s">
        <v>606</v>
      </c>
      <c r="G266" s="74" t="s">
        <v>40</v>
      </c>
      <c r="H266" s="72">
        <v>157.77170000000001</v>
      </c>
      <c r="I266" s="74">
        <v>1</v>
      </c>
      <c r="J266" s="76">
        <v>157.77170000000001</v>
      </c>
      <c r="K266" s="76">
        <v>157.77170000000001</v>
      </c>
      <c r="L266" s="74">
        <v>1</v>
      </c>
      <c r="M266" s="76">
        <v>157.77170000000001</v>
      </c>
      <c r="N266" s="6" t="s">
        <v>607</v>
      </c>
      <c r="O266" s="73">
        <v>45223</v>
      </c>
      <c r="P266" s="33" t="str">
        <f>HYPERLINK("https://my.zakupivli.pro/remote/dispatcher/state_purchase_view/46124597", "UA-2023-10-24-009180-a")</f>
        <v>UA-2023-10-24-009180-a</v>
      </c>
      <c r="Q266" s="76">
        <v>157.77170000000001</v>
      </c>
      <c r="R266" s="74">
        <v>1</v>
      </c>
      <c r="S266" s="76">
        <v>157.77170000000001</v>
      </c>
      <c r="T266" s="84">
        <v>45223</v>
      </c>
      <c r="U266" s="72"/>
      <c r="V266" s="74" t="s">
        <v>59</v>
      </c>
    </row>
    <row r="267" spans="1:22" ht="62.4" x14ac:dyDescent="0.3">
      <c r="A267" s="77">
        <v>263</v>
      </c>
      <c r="B267" s="77" t="s">
        <v>40</v>
      </c>
      <c r="C267" s="44" t="s">
        <v>73</v>
      </c>
      <c r="D267" s="77"/>
      <c r="E267" s="74" t="s">
        <v>75</v>
      </c>
      <c r="F267" s="41" t="s">
        <v>606</v>
      </c>
      <c r="G267" s="74" t="s">
        <v>40</v>
      </c>
      <c r="H267" s="72">
        <v>136.57335</v>
      </c>
      <c r="I267" s="74">
        <v>1</v>
      </c>
      <c r="J267" s="76">
        <v>136.57335</v>
      </c>
      <c r="K267" s="76">
        <v>136.57335</v>
      </c>
      <c r="L267" s="74">
        <v>1</v>
      </c>
      <c r="M267" s="76">
        <v>136.57335</v>
      </c>
      <c r="N267" s="6" t="s">
        <v>608</v>
      </c>
      <c r="O267" s="75">
        <v>45223</v>
      </c>
      <c r="P267" s="42" t="str">
        <f>HYPERLINK("https://my.zakupivli.pro/remote/dispatcher/state_purchase_view/46132051", "UA-2023-10-24-012659-a")</f>
        <v>UA-2023-10-24-012659-a</v>
      </c>
      <c r="Q267" s="76">
        <v>136.57335</v>
      </c>
      <c r="R267" s="74">
        <v>1</v>
      </c>
      <c r="S267" s="76">
        <v>136.57335</v>
      </c>
      <c r="T267" s="84">
        <v>45223</v>
      </c>
      <c r="U267" s="72"/>
      <c r="V267" s="74" t="s">
        <v>59</v>
      </c>
    </row>
    <row r="268" spans="1:22" ht="62.4" x14ac:dyDescent="0.3">
      <c r="A268" s="77">
        <v>264</v>
      </c>
      <c r="B268" s="78" t="s">
        <v>40</v>
      </c>
      <c r="C268" s="77" t="s">
        <v>41</v>
      </c>
      <c r="D268" s="77"/>
      <c r="E268" s="78" t="s">
        <v>373</v>
      </c>
      <c r="F268" s="44" t="s">
        <v>609</v>
      </c>
      <c r="G268" s="78" t="s">
        <v>40</v>
      </c>
      <c r="H268" s="72">
        <v>290.55032999999997</v>
      </c>
      <c r="I268" s="78">
        <v>1</v>
      </c>
      <c r="J268" s="78">
        <v>290.55032999999997</v>
      </c>
      <c r="K268" s="78">
        <v>290.55032999999997</v>
      </c>
      <c r="L268" s="78">
        <v>1</v>
      </c>
      <c r="M268" s="78">
        <v>290.55032999999997</v>
      </c>
      <c r="N268" s="6" t="s">
        <v>611</v>
      </c>
      <c r="O268" s="73">
        <v>45224</v>
      </c>
      <c r="P268" s="33" t="str">
        <f>HYPERLINK("https://my.zakupivli.pro/remote/dispatcher/state_purchase_view/46171793", "UA-2023-10-25-014030-a")</f>
        <v>UA-2023-10-25-014030-a</v>
      </c>
      <c r="Q268" s="78">
        <v>290.55032999999997</v>
      </c>
      <c r="R268" s="78">
        <v>1</v>
      </c>
      <c r="S268" s="78">
        <v>290.55032999999997</v>
      </c>
      <c r="T268" s="84">
        <v>45224</v>
      </c>
      <c r="U268" s="72"/>
      <c r="V268" s="78" t="s">
        <v>59</v>
      </c>
    </row>
    <row r="269" spans="1:22" ht="62.4" x14ac:dyDescent="0.3">
      <c r="A269" s="77">
        <v>265</v>
      </c>
      <c r="B269" s="78" t="s">
        <v>40</v>
      </c>
      <c r="C269" s="78" t="s">
        <v>41</v>
      </c>
      <c r="D269" s="77"/>
      <c r="E269" s="78" t="s">
        <v>373</v>
      </c>
      <c r="F269" s="44" t="s">
        <v>561</v>
      </c>
      <c r="G269" s="78" t="s">
        <v>40</v>
      </c>
      <c r="H269" s="72">
        <v>67.260239999999996</v>
      </c>
      <c r="I269" s="78">
        <v>1</v>
      </c>
      <c r="J269" s="78">
        <v>67.260239999999996</v>
      </c>
      <c r="K269" s="78">
        <v>67.260239999999996</v>
      </c>
      <c r="L269" s="78">
        <v>1</v>
      </c>
      <c r="M269" s="78">
        <v>67.260239999999996</v>
      </c>
      <c r="N269" s="6" t="s">
        <v>612</v>
      </c>
      <c r="O269" s="79">
        <v>45224</v>
      </c>
      <c r="P269" s="33" t="str">
        <f>HYPERLINK("https://my.zakupivli.pro/remote/dispatcher/state_purchase_view/46171789", "UA-2023-10-25-014028-a")</f>
        <v>UA-2023-10-25-014028-a</v>
      </c>
      <c r="Q269" s="78">
        <v>67.260239999999996</v>
      </c>
      <c r="R269" s="78">
        <v>1</v>
      </c>
      <c r="S269" s="78">
        <v>67.260239999999996</v>
      </c>
      <c r="T269" s="84">
        <v>45224</v>
      </c>
      <c r="U269" s="72"/>
      <c r="V269" s="78" t="s">
        <v>59</v>
      </c>
    </row>
    <row r="270" spans="1:22" ht="62.4" x14ac:dyDescent="0.3">
      <c r="A270" s="77">
        <v>266</v>
      </c>
      <c r="B270" s="78" t="s">
        <v>40</v>
      </c>
      <c r="C270" s="78" t="s">
        <v>41</v>
      </c>
      <c r="D270" s="77"/>
      <c r="E270" s="78" t="s">
        <v>373</v>
      </c>
      <c r="F270" s="44" t="s">
        <v>610</v>
      </c>
      <c r="G270" s="78" t="s">
        <v>40</v>
      </c>
      <c r="H270" s="72">
        <v>307.03503999999998</v>
      </c>
      <c r="I270" s="78">
        <v>1</v>
      </c>
      <c r="J270" s="78">
        <v>307.03503999999998</v>
      </c>
      <c r="K270" s="78">
        <v>307.03503999999998</v>
      </c>
      <c r="L270" s="78">
        <v>1</v>
      </c>
      <c r="M270" s="78">
        <v>307.03503999999998</v>
      </c>
      <c r="N270" s="6" t="s">
        <v>613</v>
      </c>
      <c r="O270" s="79">
        <v>45224</v>
      </c>
      <c r="P270" s="33" t="str">
        <f>HYPERLINK("https://my.zakupivli.pro/remote/dispatcher/state_purchase_view/46171200", "UA-2023-10-25-013765-a")</f>
        <v>UA-2023-10-25-013765-a</v>
      </c>
      <c r="Q270" s="78">
        <v>307.03503999999998</v>
      </c>
      <c r="R270" s="78">
        <v>1</v>
      </c>
      <c r="S270" s="78">
        <v>307.03503999999998</v>
      </c>
      <c r="T270" s="84">
        <v>45224</v>
      </c>
      <c r="U270" s="72"/>
      <c r="V270" s="78" t="s">
        <v>59</v>
      </c>
    </row>
    <row r="271" spans="1:22" ht="78" x14ac:dyDescent="0.3">
      <c r="A271" s="77">
        <v>267</v>
      </c>
      <c r="B271" s="80" t="s">
        <v>40</v>
      </c>
      <c r="C271" s="80" t="s">
        <v>41</v>
      </c>
      <c r="D271" s="77"/>
      <c r="E271" s="80" t="s">
        <v>373</v>
      </c>
      <c r="F271" s="44" t="s">
        <v>614</v>
      </c>
      <c r="G271" s="80" t="s">
        <v>40</v>
      </c>
      <c r="H271" s="72">
        <v>55.721670000000003</v>
      </c>
      <c r="I271" s="80">
        <v>1</v>
      </c>
      <c r="J271" s="80">
        <v>55.721670000000003</v>
      </c>
      <c r="K271" s="80">
        <v>55.721670000000003</v>
      </c>
      <c r="L271" s="80">
        <v>1</v>
      </c>
      <c r="M271" s="80">
        <v>55.721670000000003</v>
      </c>
      <c r="N271" s="6" t="s">
        <v>616</v>
      </c>
      <c r="O271" s="73">
        <v>45239</v>
      </c>
      <c r="P271" s="33" t="str">
        <f>HYPERLINK("https://my.zakupivli.pro/remote/dispatcher/state_purchase_view/46516934", "UA-2023-11-09-003211-a")</f>
        <v>UA-2023-11-09-003211-a</v>
      </c>
      <c r="Q271" s="80">
        <v>55.721670000000003</v>
      </c>
      <c r="R271" s="80">
        <v>1</v>
      </c>
      <c r="S271" s="80">
        <v>55.721670000000003</v>
      </c>
      <c r="T271" s="84">
        <v>45239</v>
      </c>
      <c r="U271" s="72"/>
      <c r="V271" s="80" t="s">
        <v>59</v>
      </c>
    </row>
    <row r="272" spans="1:22" ht="62.4" x14ac:dyDescent="0.3">
      <c r="A272" s="77">
        <v>268</v>
      </c>
      <c r="B272" s="80" t="s">
        <v>40</v>
      </c>
      <c r="C272" s="80" t="s">
        <v>41</v>
      </c>
      <c r="D272" s="77"/>
      <c r="E272" s="80" t="s">
        <v>373</v>
      </c>
      <c r="F272" s="44" t="s">
        <v>615</v>
      </c>
      <c r="G272" s="80" t="s">
        <v>40</v>
      </c>
      <c r="H272" s="72">
        <v>382.24921000000001</v>
      </c>
      <c r="I272" s="80">
        <v>1</v>
      </c>
      <c r="J272" s="80">
        <v>382.24921000000001</v>
      </c>
      <c r="K272" s="80">
        <v>382.24921000000001</v>
      </c>
      <c r="L272" s="80">
        <v>1</v>
      </c>
      <c r="M272" s="80">
        <v>382.24921000000001</v>
      </c>
      <c r="N272" s="6" t="s">
        <v>617</v>
      </c>
      <c r="O272" s="73">
        <v>45239</v>
      </c>
      <c r="P272" s="33" t="str">
        <f>HYPERLINK("https://my.zakupivli.pro/remote/dispatcher/state_purchase_view/46516207", "UA-2023-11-09-002876-a")</f>
        <v>UA-2023-11-09-002876-a</v>
      </c>
      <c r="Q272" s="80">
        <v>382.24921000000001</v>
      </c>
      <c r="R272" s="80">
        <v>1</v>
      </c>
      <c r="S272" s="80">
        <v>382.24921000000001</v>
      </c>
      <c r="T272" s="84">
        <v>45239</v>
      </c>
      <c r="U272" s="72"/>
      <c r="V272" s="80" t="s">
        <v>59</v>
      </c>
    </row>
    <row r="273" spans="1:26" ht="43.2" x14ac:dyDescent="0.3">
      <c r="A273" s="77">
        <v>269</v>
      </c>
      <c r="B273" s="82" t="s">
        <v>21</v>
      </c>
      <c r="C273" s="41" t="s">
        <v>180</v>
      </c>
      <c r="D273" s="83" t="s">
        <v>58</v>
      </c>
      <c r="E273" s="82" t="s">
        <v>88</v>
      </c>
      <c r="F273" s="85" t="s">
        <v>618</v>
      </c>
      <c r="G273" s="82" t="s">
        <v>21</v>
      </c>
      <c r="H273" s="72">
        <v>1043.44</v>
      </c>
      <c r="I273" s="72">
        <v>2</v>
      </c>
      <c r="J273" s="83">
        <v>1043.44</v>
      </c>
      <c r="K273" s="72"/>
      <c r="L273" s="72">
        <v>2</v>
      </c>
      <c r="M273" s="83">
        <v>1043.44</v>
      </c>
      <c r="N273" s="6" t="s">
        <v>619</v>
      </c>
      <c r="O273" s="73">
        <v>45247</v>
      </c>
      <c r="P273" s="42" t="str">
        <f>HYPERLINK("https://my.zakupivli.pro/remote/dispatcher/state_purchase_view/46767750", "UA-2023-11-17-011056-a")</f>
        <v>UA-2023-11-17-011056-a</v>
      </c>
      <c r="Q273" s="83"/>
      <c r="R273" s="72">
        <v>2</v>
      </c>
      <c r="S273" s="83">
        <v>1043.44</v>
      </c>
      <c r="T273" s="73">
        <v>45264</v>
      </c>
      <c r="U273" s="72"/>
      <c r="V273" s="72"/>
    </row>
    <row r="274" spans="1:26" ht="62.4" x14ac:dyDescent="0.3">
      <c r="A274" s="77">
        <v>270</v>
      </c>
      <c r="B274" s="83" t="s">
        <v>40</v>
      </c>
      <c r="C274" s="44" t="s">
        <v>73</v>
      </c>
      <c r="D274" s="77"/>
      <c r="E274" s="83" t="s">
        <v>75</v>
      </c>
      <c r="F274" s="44" t="s">
        <v>620</v>
      </c>
      <c r="G274" s="83" t="s">
        <v>40</v>
      </c>
      <c r="H274" s="72">
        <v>107.092</v>
      </c>
      <c r="I274" s="72">
        <v>1</v>
      </c>
      <c r="J274" s="83">
        <v>107.092</v>
      </c>
      <c r="K274" s="83">
        <v>107.092</v>
      </c>
      <c r="L274" s="72">
        <v>1</v>
      </c>
      <c r="M274" s="83">
        <v>107.092</v>
      </c>
      <c r="N274" s="6" t="s">
        <v>621</v>
      </c>
      <c r="O274" s="73">
        <v>45258</v>
      </c>
      <c r="P274" s="33" t="str">
        <f>HYPERLINK("https://my.zakupivli.pro/remote/dispatcher/state_purchase_view/47062887", "UA-2023-11-28-012355-a")</f>
        <v>UA-2023-11-28-012355-a</v>
      </c>
      <c r="Q274" s="83">
        <v>107.092</v>
      </c>
      <c r="R274" s="72">
        <v>1</v>
      </c>
      <c r="S274" s="83">
        <v>107.092</v>
      </c>
      <c r="T274" s="84">
        <v>45258</v>
      </c>
      <c r="U274" s="72"/>
      <c r="V274" s="83" t="s">
        <v>59</v>
      </c>
    </row>
    <row r="275" spans="1:26" ht="62.4" x14ac:dyDescent="0.3">
      <c r="A275" s="77">
        <v>271</v>
      </c>
      <c r="B275" s="83" t="s">
        <v>40</v>
      </c>
      <c r="C275" s="44" t="s">
        <v>73</v>
      </c>
      <c r="D275" s="77"/>
      <c r="E275" s="83" t="s">
        <v>75</v>
      </c>
      <c r="F275" s="41" t="s">
        <v>622</v>
      </c>
      <c r="G275" s="83" t="s">
        <v>40</v>
      </c>
      <c r="H275" s="72">
        <v>106.68470000000001</v>
      </c>
      <c r="I275" s="83">
        <v>1</v>
      </c>
      <c r="J275" s="83">
        <v>106.68470000000001</v>
      </c>
      <c r="K275" s="83">
        <v>106.68470000000001</v>
      </c>
      <c r="L275" s="83">
        <v>1</v>
      </c>
      <c r="M275" s="83">
        <v>106.68470000000001</v>
      </c>
      <c r="N275" s="6" t="s">
        <v>623</v>
      </c>
      <c r="O275" s="84">
        <v>45258</v>
      </c>
      <c r="P275" s="42" t="str">
        <f>HYPERLINK("https://my.zakupivli.pro/remote/dispatcher/state_purchase_view/47064329", "UA-2023-11-28-012959-a")</f>
        <v>UA-2023-11-28-012959-a</v>
      </c>
      <c r="Q275" s="83">
        <v>106.68470000000001</v>
      </c>
      <c r="R275" s="83">
        <v>1</v>
      </c>
      <c r="S275" s="83">
        <v>106.68470000000001</v>
      </c>
      <c r="T275" s="84">
        <v>45258</v>
      </c>
      <c r="U275" s="72"/>
      <c r="V275" s="83" t="s">
        <v>59</v>
      </c>
    </row>
    <row r="276" spans="1:26" ht="62.4" x14ac:dyDescent="0.3">
      <c r="A276" s="80">
        <v>272</v>
      </c>
      <c r="B276" s="83" t="s">
        <v>40</v>
      </c>
      <c r="C276" s="44" t="s">
        <v>73</v>
      </c>
      <c r="D276" s="80"/>
      <c r="E276" s="83" t="s">
        <v>75</v>
      </c>
      <c r="F276" s="44" t="s">
        <v>624</v>
      </c>
      <c r="G276" s="83" t="s">
        <v>40</v>
      </c>
      <c r="H276" s="80">
        <v>127.37649999999999</v>
      </c>
      <c r="I276" s="83">
        <v>1</v>
      </c>
      <c r="J276" s="83">
        <v>127.37649999999999</v>
      </c>
      <c r="K276" s="83">
        <v>127.37649999999999</v>
      </c>
      <c r="L276" s="83">
        <v>1</v>
      </c>
      <c r="M276" s="83">
        <v>127.37649999999999</v>
      </c>
      <c r="N276" s="6" t="s">
        <v>625</v>
      </c>
      <c r="O276" s="84">
        <v>45258</v>
      </c>
      <c r="P276" s="33" t="str">
        <f>HYPERLINK("https://my.zakupivli.pro/remote/dispatcher/state_purchase_view/47068707", "UA-2023-11-28-014870-a")</f>
        <v>UA-2023-11-28-014870-a</v>
      </c>
      <c r="Q276" s="83">
        <v>127.37649999999999</v>
      </c>
      <c r="R276" s="83">
        <v>1</v>
      </c>
      <c r="S276" s="83">
        <v>127.37649999999999</v>
      </c>
      <c r="T276" s="84">
        <v>45258</v>
      </c>
      <c r="U276" s="80"/>
      <c r="V276" s="83" t="s">
        <v>59</v>
      </c>
    </row>
    <row r="277" spans="1:26" ht="140.4" x14ac:dyDescent="0.3">
      <c r="A277" s="80">
        <v>273</v>
      </c>
      <c r="B277" s="83" t="s">
        <v>40</v>
      </c>
      <c r="C277" s="83" t="s">
        <v>41</v>
      </c>
      <c r="D277" s="80"/>
      <c r="E277" s="83" t="s">
        <v>373</v>
      </c>
      <c r="F277" s="44" t="s">
        <v>626</v>
      </c>
      <c r="G277" s="83" t="s">
        <v>40</v>
      </c>
      <c r="H277" s="80">
        <v>2858.3333299999999</v>
      </c>
      <c r="I277" s="83">
        <v>1</v>
      </c>
      <c r="J277" s="83">
        <v>2858.3333299999999</v>
      </c>
      <c r="K277" s="83">
        <v>2858.3333299999999</v>
      </c>
      <c r="L277" s="83">
        <v>1</v>
      </c>
      <c r="M277" s="83">
        <v>2858.3333299999999</v>
      </c>
      <c r="N277" s="6" t="s">
        <v>627</v>
      </c>
      <c r="O277" s="81">
        <v>45259</v>
      </c>
      <c r="P277" s="42" t="str">
        <f>HYPERLINK("https://my.zakupivli.pro/remote/dispatcher/state_purchase_view/47090594", "UA-2023-11-29-007510-a")</f>
        <v>UA-2023-11-29-007510-a</v>
      </c>
      <c r="Q277" s="80">
        <v>2810.6666700000001</v>
      </c>
      <c r="R277" s="83">
        <v>1</v>
      </c>
      <c r="S277" s="91">
        <v>2810.6666700000001</v>
      </c>
      <c r="T277" s="81">
        <v>45281</v>
      </c>
      <c r="U277" s="80"/>
      <c r="V277" s="80"/>
    </row>
    <row r="278" spans="1:26" ht="62.4" x14ac:dyDescent="0.3">
      <c r="A278" s="80">
        <v>274</v>
      </c>
      <c r="B278" s="83" t="s">
        <v>40</v>
      </c>
      <c r="C278" s="44" t="s">
        <v>73</v>
      </c>
      <c r="D278" s="80"/>
      <c r="E278" s="86" t="s">
        <v>75</v>
      </c>
      <c r="F278" s="41" t="s">
        <v>628</v>
      </c>
      <c r="G278" s="86" t="s">
        <v>40</v>
      </c>
      <c r="H278" s="80">
        <v>185.92515</v>
      </c>
      <c r="I278" s="86">
        <v>1</v>
      </c>
      <c r="J278" s="86">
        <v>185.92515</v>
      </c>
      <c r="K278" s="86">
        <v>185.92515</v>
      </c>
      <c r="L278" s="86">
        <v>1</v>
      </c>
      <c r="M278" s="86">
        <v>185.92515</v>
      </c>
      <c r="N278" s="6" t="s">
        <v>630</v>
      </c>
      <c r="O278" s="81">
        <v>45261</v>
      </c>
      <c r="P278" s="33" t="str">
        <f>HYPERLINK("https://my.zakupivli.pro/remote/dispatcher/state_purchase_view/47164745", "UA-2023-12-01-004762-a")</f>
        <v>UA-2023-12-01-004762-a</v>
      </c>
      <c r="Q278" s="86">
        <v>185.92515</v>
      </c>
      <c r="R278" s="86">
        <v>1</v>
      </c>
      <c r="S278" s="86">
        <v>185.92515</v>
      </c>
      <c r="T278" s="87">
        <v>45261</v>
      </c>
      <c r="U278" s="80"/>
      <c r="V278" s="86" t="s">
        <v>59</v>
      </c>
    </row>
    <row r="279" spans="1:26" ht="62.4" x14ac:dyDescent="0.3">
      <c r="A279" s="80">
        <v>275</v>
      </c>
      <c r="B279" s="83" t="s">
        <v>40</v>
      </c>
      <c r="C279" s="44" t="s">
        <v>73</v>
      </c>
      <c r="D279" s="80"/>
      <c r="E279" s="86" t="s">
        <v>75</v>
      </c>
      <c r="F279" s="44" t="s">
        <v>629</v>
      </c>
      <c r="G279" s="86" t="s">
        <v>40</v>
      </c>
      <c r="H279" s="80">
        <v>185.92515</v>
      </c>
      <c r="I279" s="86">
        <v>1</v>
      </c>
      <c r="J279" s="86">
        <v>185.92515</v>
      </c>
      <c r="K279" s="86">
        <v>185.92515</v>
      </c>
      <c r="L279" s="86">
        <v>1</v>
      </c>
      <c r="M279" s="86">
        <v>185.92515</v>
      </c>
      <c r="N279" s="6" t="s">
        <v>631</v>
      </c>
      <c r="O279" s="87">
        <v>45261</v>
      </c>
      <c r="P279" s="42" t="str">
        <f>HYPERLINK("https://my.zakupivli.pro/remote/dispatcher/state_purchase_view/47166044", "UA-2023-12-01-005369-a")</f>
        <v>UA-2023-12-01-005369-a</v>
      </c>
      <c r="Q279" s="86">
        <v>185.92515</v>
      </c>
      <c r="R279" s="86">
        <v>1</v>
      </c>
      <c r="S279" s="86">
        <v>185.92515</v>
      </c>
      <c r="T279" s="87">
        <v>45261</v>
      </c>
      <c r="U279" s="80"/>
      <c r="V279" s="86" t="s">
        <v>59</v>
      </c>
    </row>
    <row r="280" spans="1:26" ht="62.4" x14ac:dyDescent="0.3">
      <c r="A280" s="80">
        <v>276</v>
      </c>
      <c r="B280" s="86" t="s">
        <v>40</v>
      </c>
      <c r="C280" s="86" t="s">
        <v>41</v>
      </c>
      <c r="D280" s="86"/>
      <c r="E280" s="86" t="s">
        <v>373</v>
      </c>
      <c r="F280" s="41" t="s">
        <v>632</v>
      </c>
      <c r="G280" s="86" t="s">
        <v>40</v>
      </c>
      <c r="H280" s="80">
        <v>841.10127</v>
      </c>
      <c r="I280" s="86">
        <v>1</v>
      </c>
      <c r="J280" s="86">
        <v>841.10127</v>
      </c>
      <c r="K280" s="86">
        <v>841.10127</v>
      </c>
      <c r="L280" s="86">
        <v>1</v>
      </c>
      <c r="M280" s="86">
        <v>841.10127</v>
      </c>
      <c r="N280" s="6" t="s">
        <v>633</v>
      </c>
      <c r="O280" s="81">
        <v>45266</v>
      </c>
      <c r="P280" s="33" t="str">
        <f>HYPERLINK("https://my.zakupivli.pro/remote/dispatcher/state_purchase_view/47305506", "UA-2023-12-06-005005-a")</f>
        <v>UA-2023-12-06-005005-a</v>
      </c>
      <c r="Q280" s="86">
        <v>841.10127</v>
      </c>
      <c r="R280" s="86">
        <v>1</v>
      </c>
      <c r="S280" s="86">
        <v>841.10127</v>
      </c>
      <c r="T280" s="87">
        <v>45266</v>
      </c>
      <c r="U280" s="80"/>
      <c r="V280" s="86" t="s">
        <v>59</v>
      </c>
    </row>
    <row r="281" spans="1:26" ht="62.4" x14ac:dyDescent="0.3">
      <c r="A281" s="80">
        <v>278</v>
      </c>
      <c r="B281" s="86" t="s">
        <v>40</v>
      </c>
      <c r="C281" s="44" t="s">
        <v>73</v>
      </c>
      <c r="D281" s="80"/>
      <c r="E281" s="86" t="s">
        <v>75</v>
      </c>
      <c r="F281" s="44" t="s">
        <v>634</v>
      </c>
      <c r="G281" s="86" t="s">
        <v>40</v>
      </c>
      <c r="H281" s="80">
        <v>94.9756</v>
      </c>
      <c r="I281" s="86">
        <v>1</v>
      </c>
      <c r="J281" s="86">
        <v>94.9756</v>
      </c>
      <c r="K281" s="86">
        <v>94.9756</v>
      </c>
      <c r="L281" s="86">
        <v>1</v>
      </c>
      <c r="M281" s="86">
        <v>94.9756</v>
      </c>
      <c r="N281" s="6" t="s">
        <v>635</v>
      </c>
      <c r="O281" s="81">
        <v>45266</v>
      </c>
      <c r="P281" s="33" t="str">
        <f>HYPERLINK("https://my.zakupivli.pro/remote/dispatcher/state_purchase_view/47307414", "UA-2023-12-06-005920-a")</f>
        <v>UA-2023-12-06-005920-a</v>
      </c>
      <c r="Q281" s="86">
        <v>94.9756</v>
      </c>
      <c r="R281" s="86">
        <v>1</v>
      </c>
      <c r="S281" s="86">
        <v>94.9756</v>
      </c>
      <c r="T281" s="81">
        <v>45265</v>
      </c>
      <c r="U281" s="80"/>
      <c r="V281" s="86" t="s">
        <v>59</v>
      </c>
    </row>
    <row r="282" spans="1:26" ht="62.4" x14ac:dyDescent="0.3">
      <c r="A282" s="80">
        <v>279</v>
      </c>
      <c r="B282" s="86" t="s">
        <v>40</v>
      </c>
      <c r="C282" s="44" t="s">
        <v>73</v>
      </c>
      <c r="D282" s="80"/>
      <c r="E282" s="86" t="s">
        <v>75</v>
      </c>
      <c r="F282" s="41" t="s">
        <v>636</v>
      </c>
      <c r="G282" s="86" t="s">
        <v>40</v>
      </c>
      <c r="H282" s="80">
        <v>97.569460000000007</v>
      </c>
      <c r="I282" s="86">
        <v>1</v>
      </c>
      <c r="J282" s="86">
        <v>97.569460000000007</v>
      </c>
      <c r="K282" s="86">
        <v>97.569460000000007</v>
      </c>
      <c r="L282" s="86">
        <v>1</v>
      </c>
      <c r="M282" s="86">
        <v>97.569460000000007</v>
      </c>
      <c r="N282" s="6" t="s">
        <v>637</v>
      </c>
      <c r="O282" s="87">
        <v>45266</v>
      </c>
      <c r="P282" s="42" t="str">
        <f>HYPERLINK("https://my.zakupivli.pro/remote/dispatcher/state_purchase_view/47317977", "UA-2023-12-06-010301-a")</f>
        <v>UA-2023-12-06-010301-a</v>
      </c>
      <c r="Q282" s="86">
        <v>97.569460000000007</v>
      </c>
      <c r="R282" s="86">
        <v>1</v>
      </c>
      <c r="S282" s="86">
        <v>97.569460000000007</v>
      </c>
      <c r="T282" s="87">
        <v>45266</v>
      </c>
      <c r="U282" s="80"/>
      <c r="V282" s="86" t="s">
        <v>59</v>
      </c>
      <c r="W282" s="11"/>
      <c r="X282" s="11"/>
      <c r="Y282" s="11"/>
      <c r="Z282" s="11"/>
    </row>
    <row r="283" spans="1:26" ht="62.4" x14ac:dyDescent="0.3">
      <c r="A283" s="80">
        <v>280</v>
      </c>
      <c r="B283" s="86" t="s">
        <v>40</v>
      </c>
      <c r="C283" s="44" t="s">
        <v>73</v>
      </c>
      <c r="D283" s="80"/>
      <c r="E283" s="86" t="s">
        <v>75</v>
      </c>
      <c r="F283" s="44" t="s">
        <v>638</v>
      </c>
      <c r="G283" s="86" t="s">
        <v>40</v>
      </c>
      <c r="H283" s="80">
        <v>94.625129999999999</v>
      </c>
      <c r="I283" s="86">
        <v>1</v>
      </c>
      <c r="J283" s="86">
        <v>94.625129999999999</v>
      </c>
      <c r="K283" s="86">
        <v>94.625129999999999</v>
      </c>
      <c r="L283" s="86">
        <v>1</v>
      </c>
      <c r="M283" s="86">
        <v>94.625129999999999</v>
      </c>
      <c r="N283" s="6" t="s">
        <v>639</v>
      </c>
      <c r="O283" s="87">
        <v>45267</v>
      </c>
      <c r="P283" s="33" t="str">
        <f>HYPERLINK("https://my.zakupivli.pro/remote/dispatcher/state_purchase_view/47342805", "UA-2023-12-07-000379-a")</f>
        <v>UA-2023-12-07-000379-a</v>
      </c>
      <c r="Q283" s="86">
        <v>94.625129999999999</v>
      </c>
      <c r="R283" s="86">
        <v>1</v>
      </c>
      <c r="S283" s="86">
        <v>94.625129999999999</v>
      </c>
      <c r="T283" s="87">
        <v>45265</v>
      </c>
      <c r="U283" s="80"/>
      <c r="V283" s="86" t="s">
        <v>59</v>
      </c>
    </row>
    <row r="284" spans="1:26" ht="62.4" x14ac:dyDescent="0.3">
      <c r="A284" s="86">
        <v>281</v>
      </c>
      <c r="B284" s="86" t="s">
        <v>40</v>
      </c>
      <c r="C284" s="44" t="s">
        <v>73</v>
      </c>
      <c r="D284" s="80"/>
      <c r="E284" s="86" t="s">
        <v>75</v>
      </c>
      <c r="F284" s="41" t="s">
        <v>640</v>
      </c>
      <c r="G284" s="86" t="s">
        <v>40</v>
      </c>
      <c r="H284" s="80">
        <v>99.620450000000005</v>
      </c>
      <c r="I284" s="86">
        <v>1</v>
      </c>
      <c r="J284" s="86">
        <v>99.620450000000005</v>
      </c>
      <c r="K284" s="86">
        <v>99.620450000000005</v>
      </c>
      <c r="L284" s="86">
        <v>1</v>
      </c>
      <c r="M284" s="86">
        <v>99.620450000000005</v>
      </c>
      <c r="N284" s="6" t="s">
        <v>641</v>
      </c>
      <c r="O284" s="87">
        <v>45267</v>
      </c>
      <c r="P284" s="33" t="str">
        <f>HYPERLINK("https://my.zakupivli.pro/remote/dispatcher/state_purchase_view/47358944", "UA-2023-12-07-007786-a")</f>
        <v>UA-2023-12-07-007786-a</v>
      </c>
      <c r="Q284" s="86">
        <v>99.620450000000005</v>
      </c>
      <c r="R284" s="86">
        <v>1</v>
      </c>
      <c r="S284" s="86">
        <v>99.620450000000005</v>
      </c>
      <c r="T284" s="87">
        <v>45267</v>
      </c>
      <c r="U284" s="80"/>
      <c r="V284" s="86" t="s">
        <v>59</v>
      </c>
    </row>
    <row r="285" spans="1:26" ht="62.4" x14ac:dyDescent="0.3">
      <c r="A285" s="86">
        <v>282</v>
      </c>
      <c r="B285" s="86" t="s">
        <v>40</v>
      </c>
      <c r="C285" s="44" t="s">
        <v>73</v>
      </c>
      <c r="D285" s="80"/>
      <c r="E285" s="86" t="s">
        <v>75</v>
      </c>
      <c r="F285" s="44" t="s">
        <v>642</v>
      </c>
      <c r="G285" s="86" t="s">
        <v>40</v>
      </c>
      <c r="H285" s="89">
        <v>60</v>
      </c>
      <c r="I285" s="86">
        <v>1</v>
      </c>
      <c r="J285" s="89">
        <v>60</v>
      </c>
      <c r="K285" s="89">
        <v>60</v>
      </c>
      <c r="L285" s="86">
        <v>1</v>
      </c>
      <c r="M285" s="89">
        <v>60</v>
      </c>
      <c r="N285" s="6" t="s">
        <v>643</v>
      </c>
      <c r="O285" s="81">
        <v>45271</v>
      </c>
      <c r="P285" s="42" t="str">
        <f>HYPERLINK("https://my.zakupivli.pro/remote/dispatcher/state_purchase_view/47491667", "UA-2023-12-11-019550-a")</f>
        <v>UA-2023-12-11-019550-a</v>
      </c>
      <c r="Q285" s="89">
        <v>60</v>
      </c>
      <c r="R285" s="86">
        <v>1</v>
      </c>
      <c r="S285" s="89">
        <v>60</v>
      </c>
      <c r="T285" s="81">
        <v>45271</v>
      </c>
      <c r="U285" s="80"/>
      <c r="V285" s="86" t="s">
        <v>59</v>
      </c>
    </row>
    <row r="286" spans="1:26" ht="109.2" x14ac:dyDescent="0.3">
      <c r="A286" s="86">
        <v>283</v>
      </c>
      <c r="B286" s="88" t="s">
        <v>40</v>
      </c>
      <c r="C286" s="41" t="s">
        <v>41</v>
      </c>
      <c r="D286" s="80"/>
      <c r="E286" s="88" t="s">
        <v>88</v>
      </c>
      <c r="F286" s="41" t="s">
        <v>644</v>
      </c>
      <c r="G286" s="88" t="s">
        <v>40</v>
      </c>
      <c r="H286" s="80">
        <v>46627.971120000002</v>
      </c>
      <c r="I286" s="88">
        <v>1</v>
      </c>
      <c r="J286" s="88">
        <v>46627.971120000002</v>
      </c>
      <c r="K286" s="88">
        <v>46627.971120000002</v>
      </c>
      <c r="L286" s="88">
        <v>1</v>
      </c>
      <c r="M286" s="88">
        <v>46627.971120000002</v>
      </c>
      <c r="N286" s="6" t="s">
        <v>645</v>
      </c>
      <c r="O286" s="81">
        <v>45281</v>
      </c>
      <c r="P286" s="33" t="str">
        <f>HYPERLINK("https://my.zakupivli.pro/remote/dispatcher/state_purchase_view/47910696", "UA-2023-12-21-014486-a")</f>
        <v>UA-2023-12-21-014486-a</v>
      </c>
      <c r="Q286" s="80"/>
      <c r="R286" s="88"/>
      <c r="S286" s="80"/>
      <c r="T286" s="81"/>
      <c r="U286" s="91" t="s">
        <v>93</v>
      </c>
      <c r="V286" s="80"/>
    </row>
    <row r="287" spans="1:26" ht="156" x14ac:dyDescent="0.3">
      <c r="A287" s="80">
        <v>284</v>
      </c>
      <c r="B287" s="88" t="s">
        <v>21</v>
      </c>
      <c r="C287" s="44" t="s">
        <v>173</v>
      </c>
      <c r="D287" s="92" t="s">
        <v>58</v>
      </c>
      <c r="E287" s="88" t="s">
        <v>88</v>
      </c>
      <c r="F287" s="44" t="s">
        <v>646</v>
      </c>
      <c r="G287" s="88" t="s">
        <v>21</v>
      </c>
      <c r="H287" s="80">
        <v>1380</v>
      </c>
      <c r="I287" s="80">
        <v>12</v>
      </c>
      <c r="J287" s="80"/>
      <c r="K287" s="88"/>
      <c r="L287" s="80">
        <v>12</v>
      </c>
      <c r="M287" s="80"/>
      <c r="N287" s="6" t="s">
        <v>648</v>
      </c>
      <c r="O287" s="81">
        <v>45274</v>
      </c>
      <c r="P287" s="33" t="str">
        <f>HYPERLINK("https://my.zakupivli.pro/remote/dispatcher/state_purchase_view/47633281", "UA-2023-12-14-013003-a")</f>
        <v>UA-2023-12-14-013003-a</v>
      </c>
      <c r="Q287" s="80"/>
      <c r="R287" s="80"/>
      <c r="S287" s="80"/>
      <c r="T287" s="81"/>
      <c r="U287" s="91" t="s">
        <v>649</v>
      </c>
      <c r="V287" s="80"/>
    </row>
    <row r="288" spans="1:26" ht="156" x14ac:dyDescent="0.3">
      <c r="A288" s="80">
        <v>285</v>
      </c>
      <c r="B288" s="88" t="s">
        <v>21</v>
      </c>
      <c r="C288" s="44" t="s">
        <v>173</v>
      </c>
      <c r="D288" s="92" t="s">
        <v>58</v>
      </c>
      <c r="E288" s="88" t="s">
        <v>88</v>
      </c>
      <c r="F288" s="44" t="s">
        <v>647</v>
      </c>
      <c r="G288" s="88" t="s">
        <v>21</v>
      </c>
      <c r="H288" s="80">
        <v>900</v>
      </c>
      <c r="I288" s="80">
        <v>6</v>
      </c>
      <c r="J288" s="80"/>
      <c r="K288" s="88"/>
      <c r="L288" s="80"/>
      <c r="M288" s="80"/>
      <c r="N288" s="6" t="s">
        <v>648</v>
      </c>
      <c r="O288" s="81">
        <v>45274</v>
      </c>
      <c r="P288" s="33" t="str">
        <f>HYPERLINK("https://my.zakupivli.pro/remote/dispatcher/state_purchase_view/47633281", "UA-2023-12-14-013003-a")</f>
        <v>UA-2023-12-14-013003-a</v>
      </c>
      <c r="Q288" s="80"/>
      <c r="R288" s="80"/>
      <c r="S288" s="80"/>
      <c r="T288" s="81"/>
      <c r="U288" s="91" t="s">
        <v>649</v>
      </c>
      <c r="V288" s="80"/>
    </row>
    <row r="289" spans="1:22" ht="62.4" x14ac:dyDescent="0.3">
      <c r="A289" s="80">
        <v>286</v>
      </c>
      <c r="B289" s="91" t="s">
        <v>40</v>
      </c>
      <c r="C289" s="41" t="s">
        <v>73</v>
      </c>
      <c r="D289" s="80"/>
      <c r="E289" s="91" t="s">
        <v>75</v>
      </c>
      <c r="F289" s="41" t="s">
        <v>650</v>
      </c>
      <c r="G289" s="91" t="s">
        <v>40</v>
      </c>
      <c r="H289" s="80">
        <v>900.26514999999995</v>
      </c>
      <c r="I289" s="80">
        <v>1</v>
      </c>
      <c r="J289" s="91">
        <v>900.26514999999995</v>
      </c>
      <c r="K289" s="91">
        <v>900.26514999999995</v>
      </c>
      <c r="L289" s="91">
        <v>1</v>
      </c>
      <c r="M289" s="91">
        <v>900.26514999999995</v>
      </c>
      <c r="N289" s="6" t="s">
        <v>651</v>
      </c>
      <c r="O289" s="81">
        <v>45288</v>
      </c>
      <c r="P289" s="42" t="str">
        <f>HYPERLINK("https://my.zakupivli.pro/remote/dispatcher/state_purchase_view/48101499", "UA-2023-12-28-006964-a")</f>
        <v>UA-2023-12-28-006964-a</v>
      </c>
      <c r="Q289" s="91">
        <v>900.26514999999995</v>
      </c>
      <c r="R289" s="91">
        <v>1</v>
      </c>
      <c r="S289" s="91">
        <v>900.26514999999995</v>
      </c>
      <c r="T289" s="81">
        <v>45288</v>
      </c>
      <c r="U289" s="80"/>
      <c r="V289" s="91" t="s">
        <v>59</v>
      </c>
    </row>
    <row r="290" spans="1:22" ht="62.4" x14ac:dyDescent="0.3">
      <c r="A290" s="80">
        <v>287</v>
      </c>
      <c r="B290" s="91" t="s">
        <v>40</v>
      </c>
      <c r="C290" s="44" t="s">
        <v>73</v>
      </c>
      <c r="D290" s="80"/>
      <c r="E290" s="91" t="s">
        <v>75</v>
      </c>
      <c r="F290" s="44" t="s">
        <v>652</v>
      </c>
      <c r="G290" s="91" t="s">
        <v>40</v>
      </c>
      <c r="H290" s="80">
        <v>890.76089999999999</v>
      </c>
      <c r="I290" s="91">
        <v>1</v>
      </c>
      <c r="J290" s="91">
        <v>890.76089999999999</v>
      </c>
      <c r="K290" s="91">
        <v>890.76089999999999</v>
      </c>
      <c r="L290" s="91">
        <v>1</v>
      </c>
      <c r="M290" s="91">
        <v>890.76089999999999</v>
      </c>
      <c r="N290" s="6" t="s">
        <v>653</v>
      </c>
      <c r="O290" s="90">
        <v>45288</v>
      </c>
      <c r="P290" s="33" t="str">
        <f>HYPERLINK("https://my.zakupivli.pro/remote/dispatcher/state_purchase_view/48103321", "UA-2023-12-28-007824-a")</f>
        <v>UA-2023-12-28-007824-a</v>
      </c>
      <c r="Q290" s="91">
        <v>890.76089999999999</v>
      </c>
      <c r="R290" s="91">
        <v>1</v>
      </c>
      <c r="S290" s="91">
        <v>890.76089999999999</v>
      </c>
      <c r="T290" s="90">
        <v>45288</v>
      </c>
      <c r="U290" s="80"/>
      <c r="V290" s="91" t="s">
        <v>59</v>
      </c>
    </row>
    <row r="291" spans="1:22" ht="62.4" x14ac:dyDescent="0.3">
      <c r="A291" s="80">
        <v>288</v>
      </c>
      <c r="B291" s="91" t="s">
        <v>40</v>
      </c>
      <c r="C291" s="44" t="s">
        <v>518</v>
      </c>
      <c r="D291" s="80"/>
      <c r="E291" s="91" t="s">
        <v>88</v>
      </c>
      <c r="F291" s="44" t="s">
        <v>654</v>
      </c>
      <c r="G291" s="91" t="s">
        <v>40</v>
      </c>
      <c r="H291" s="80">
        <v>102.10921999999999</v>
      </c>
      <c r="I291" s="91">
        <v>1</v>
      </c>
      <c r="J291" s="91">
        <v>102.10921999999999</v>
      </c>
      <c r="K291" s="91">
        <v>102.10921999999999</v>
      </c>
      <c r="L291" s="91">
        <v>1</v>
      </c>
      <c r="M291" s="91">
        <v>102.10921999999999</v>
      </c>
      <c r="N291" s="6" t="s">
        <v>656</v>
      </c>
      <c r="O291" s="90">
        <v>45288</v>
      </c>
      <c r="P291" s="33" t="str">
        <f>HYPERLINK("https://my.zakupivli.pro/remote/dispatcher/state_purchase_view/48105790", "UA-2023-12-28-009035-a")</f>
        <v>UA-2023-12-28-009035-a</v>
      </c>
      <c r="Q291" s="91">
        <v>102.10921999999999</v>
      </c>
      <c r="R291" s="91">
        <v>1</v>
      </c>
      <c r="S291" s="91">
        <v>102.10921999999999</v>
      </c>
      <c r="T291" s="90">
        <v>45288</v>
      </c>
      <c r="U291" s="80"/>
      <c r="V291" s="91" t="s">
        <v>59</v>
      </c>
    </row>
    <row r="292" spans="1:22" ht="62.4" x14ac:dyDescent="0.3">
      <c r="A292" s="91">
        <v>289</v>
      </c>
      <c r="B292" s="91" t="s">
        <v>40</v>
      </c>
      <c r="C292" s="44" t="s">
        <v>518</v>
      </c>
      <c r="D292" s="91"/>
      <c r="E292" s="91" t="s">
        <v>88</v>
      </c>
      <c r="F292" s="44" t="s">
        <v>655</v>
      </c>
      <c r="G292" s="91" t="s">
        <v>40</v>
      </c>
      <c r="H292" s="91">
        <v>140.8725</v>
      </c>
      <c r="I292" s="91">
        <v>1</v>
      </c>
      <c r="J292" s="91">
        <v>140.8725</v>
      </c>
      <c r="K292" s="91">
        <v>140.8725</v>
      </c>
      <c r="L292" s="91">
        <v>1</v>
      </c>
      <c r="M292" s="91">
        <v>140.8725</v>
      </c>
      <c r="N292" s="6" t="s">
        <v>657</v>
      </c>
      <c r="O292" s="90">
        <v>45288</v>
      </c>
      <c r="P292" s="33" t="str">
        <f>HYPERLINK("https://my.zakupivli.pro/remote/dispatcher/state_purchase_view/48105477", "UA-2023-12-28-008817-a")</f>
        <v>UA-2023-12-28-008817-a</v>
      </c>
      <c r="Q292" s="91">
        <v>140.8725</v>
      </c>
      <c r="R292" s="91">
        <v>1</v>
      </c>
      <c r="S292" s="91">
        <v>140.8725</v>
      </c>
      <c r="T292" s="90">
        <v>45288</v>
      </c>
      <c r="U292" s="91"/>
      <c r="V292" s="91" t="s">
        <v>59</v>
      </c>
    </row>
    <row r="293" spans="1:22" ht="62.4" x14ac:dyDescent="0.3">
      <c r="A293" s="91">
        <v>290</v>
      </c>
      <c r="B293" s="91" t="s">
        <v>40</v>
      </c>
      <c r="C293" s="44" t="s">
        <v>518</v>
      </c>
      <c r="D293" s="91"/>
      <c r="E293" s="91" t="s">
        <v>88</v>
      </c>
      <c r="F293" s="41" t="s">
        <v>658</v>
      </c>
      <c r="G293" s="91" t="s">
        <v>40</v>
      </c>
      <c r="H293" s="91">
        <v>112.61726</v>
      </c>
      <c r="I293" s="91">
        <v>1</v>
      </c>
      <c r="J293" s="91">
        <v>112.61726</v>
      </c>
      <c r="K293" s="91">
        <v>112.61726</v>
      </c>
      <c r="L293" s="91">
        <v>1</v>
      </c>
      <c r="M293" s="91">
        <v>112.61726</v>
      </c>
      <c r="N293" s="6" t="s">
        <v>659</v>
      </c>
      <c r="O293" s="90">
        <v>45288</v>
      </c>
      <c r="P293" s="42" t="str">
        <f>HYPERLINK("https://my.zakupivli.pro/remote/dispatcher/state_purchase_view/48106223", "UA-2023-12-28-009172-a")</f>
        <v>UA-2023-12-28-009172-a</v>
      </c>
      <c r="Q293" s="91">
        <v>112.61726</v>
      </c>
      <c r="R293" s="91">
        <v>1</v>
      </c>
      <c r="S293" s="91">
        <v>112.61726</v>
      </c>
      <c r="T293" s="90">
        <v>45288</v>
      </c>
      <c r="U293" s="91"/>
      <c r="V293" s="91" t="s">
        <v>59</v>
      </c>
    </row>
    <row r="294" spans="1:22" ht="78" x14ac:dyDescent="0.3">
      <c r="A294" s="91">
        <v>291</v>
      </c>
      <c r="B294" s="91" t="s">
        <v>40</v>
      </c>
      <c r="C294" s="44" t="s">
        <v>518</v>
      </c>
      <c r="D294" s="91"/>
      <c r="E294" s="91" t="s">
        <v>88</v>
      </c>
      <c r="F294" s="44" t="s">
        <v>660</v>
      </c>
      <c r="G294" s="91" t="s">
        <v>40</v>
      </c>
      <c r="H294" s="91">
        <v>60.283799999999999</v>
      </c>
      <c r="I294" s="91">
        <v>1</v>
      </c>
      <c r="J294" s="91">
        <v>60.283799999999999</v>
      </c>
      <c r="K294" s="91">
        <v>60.283799999999999</v>
      </c>
      <c r="L294" s="91">
        <v>1</v>
      </c>
      <c r="M294" s="91">
        <v>60.283799999999999</v>
      </c>
      <c r="N294" s="6" t="s">
        <v>661</v>
      </c>
      <c r="O294" s="90">
        <v>45288</v>
      </c>
      <c r="P294" s="33" t="str">
        <f>HYPERLINK("https://my.zakupivli.pro/remote/dispatcher/state_purchase_view/48106340", "UA-2023-12-28-009254-a")</f>
        <v>UA-2023-12-28-009254-a</v>
      </c>
      <c r="Q294" s="91">
        <v>60.283799999999999</v>
      </c>
      <c r="R294" s="91">
        <v>1</v>
      </c>
      <c r="S294" s="91">
        <v>60.283799999999999</v>
      </c>
      <c r="T294" s="90">
        <v>45288</v>
      </c>
      <c r="U294" s="91"/>
      <c r="V294" s="91" t="s">
        <v>59</v>
      </c>
    </row>
    <row r="295" spans="1:22" ht="62.4" x14ac:dyDescent="0.3">
      <c r="A295" s="91">
        <v>292</v>
      </c>
      <c r="B295" s="91" t="s">
        <v>40</v>
      </c>
      <c r="C295" s="44" t="s">
        <v>518</v>
      </c>
      <c r="D295" s="91"/>
      <c r="E295" s="91" t="s">
        <v>88</v>
      </c>
      <c r="F295" s="41" t="s">
        <v>662</v>
      </c>
      <c r="G295" s="91" t="s">
        <v>40</v>
      </c>
      <c r="H295" s="91">
        <v>80.88937</v>
      </c>
      <c r="I295" s="91">
        <v>1</v>
      </c>
      <c r="J295" s="91">
        <v>80.88937</v>
      </c>
      <c r="K295" s="91">
        <v>80.88937</v>
      </c>
      <c r="L295" s="91">
        <v>1</v>
      </c>
      <c r="M295" s="91">
        <v>80.88937</v>
      </c>
      <c r="N295" s="6" t="s">
        <v>663</v>
      </c>
      <c r="O295" s="90">
        <v>45288</v>
      </c>
      <c r="P295" s="42" t="str">
        <f>HYPERLINK("https://my.zakupivli.pro/remote/dispatcher/state_purchase_view/48106581", "UA-2023-12-28-009421-a")</f>
        <v>UA-2023-12-28-009421-a</v>
      </c>
      <c r="Q295" s="91">
        <v>80.88937</v>
      </c>
      <c r="R295" s="91">
        <v>1</v>
      </c>
      <c r="S295" s="91">
        <v>80.88937</v>
      </c>
      <c r="T295" s="90">
        <v>45288</v>
      </c>
      <c r="U295" s="91"/>
      <c r="V295" s="91" t="s">
        <v>59</v>
      </c>
    </row>
    <row r="296" spans="1:22" ht="62.4" x14ac:dyDescent="0.3">
      <c r="A296" s="91">
        <v>293</v>
      </c>
      <c r="B296" s="91" t="s">
        <v>40</v>
      </c>
      <c r="C296" s="44" t="s">
        <v>73</v>
      </c>
      <c r="D296" s="91"/>
      <c r="E296" s="91" t="s">
        <v>75</v>
      </c>
      <c r="F296" s="44" t="s">
        <v>664</v>
      </c>
      <c r="G296" s="91" t="s">
        <v>40</v>
      </c>
      <c r="H296" s="91">
        <v>60.466990000000003</v>
      </c>
      <c r="I296" s="91">
        <v>1</v>
      </c>
      <c r="J296" s="91">
        <v>60.466990000000003</v>
      </c>
      <c r="K296" s="91">
        <v>60.466990000000003</v>
      </c>
      <c r="L296" s="91">
        <v>1</v>
      </c>
      <c r="M296" s="91">
        <v>60.466990000000003</v>
      </c>
      <c r="N296" s="6" t="s">
        <v>666</v>
      </c>
      <c r="O296" s="90">
        <v>45288</v>
      </c>
      <c r="P296" s="33" t="str">
        <f>HYPERLINK("https://my.zakupivli.pro/remote/dispatcher/state_purchase_view/48111319", "UA-2023-12-29-000127-a")</f>
        <v>UA-2023-12-29-000127-a</v>
      </c>
      <c r="Q296" s="91">
        <v>60.466990000000003</v>
      </c>
      <c r="R296" s="91">
        <v>1</v>
      </c>
      <c r="S296" s="91">
        <v>60.466990000000003</v>
      </c>
      <c r="T296" s="90">
        <v>45288</v>
      </c>
      <c r="U296" s="91"/>
      <c r="V296" s="91" t="s">
        <v>59</v>
      </c>
    </row>
    <row r="297" spans="1:22" ht="62.4" x14ac:dyDescent="0.3">
      <c r="A297" s="91">
        <v>294</v>
      </c>
      <c r="B297" s="91" t="s">
        <v>40</v>
      </c>
      <c r="C297" s="44" t="s">
        <v>73</v>
      </c>
      <c r="D297" s="91"/>
      <c r="E297" s="91" t="s">
        <v>75</v>
      </c>
      <c r="F297" s="44" t="s">
        <v>665</v>
      </c>
      <c r="G297" s="91" t="s">
        <v>40</v>
      </c>
      <c r="H297" s="91">
        <v>102.71108</v>
      </c>
      <c r="I297" s="91">
        <v>1</v>
      </c>
      <c r="J297" s="91">
        <v>102.71108</v>
      </c>
      <c r="K297" s="91">
        <v>102.71108</v>
      </c>
      <c r="L297" s="91">
        <v>1</v>
      </c>
      <c r="M297" s="91">
        <v>102.71108</v>
      </c>
      <c r="N297" s="6" t="s">
        <v>667</v>
      </c>
      <c r="O297" s="90">
        <v>45288</v>
      </c>
      <c r="P297" s="33" t="str">
        <f>HYPERLINK("https://my.zakupivli.pro/remote/dispatcher/state_purchase_view/48111316", "UA-2023-12-29-000125-a")</f>
        <v>UA-2023-12-29-000125-a</v>
      </c>
      <c r="Q297" s="91">
        <v>102.71108</v>
      </c>
      <c r="R297" s="91">
        <v>1</v>
      </c>
      <c r="S297" s="91">
        <v>102.71108</v>
      </c>
      <c r="T297" s="90">
        <v>45288</v>
      </c>
      <c r="U297" s="91"/>
      <c r="V297" s="91" t="s">
        <v>59</v>
      </c>
    </row>
    <row r="298" spans="1:22" ht="62.4" x14ac:dyDescent="0.3">
      <c r="A298" s="91">
        <v>295</v>
      </c>
      <c r="B298" s="91" t="s">
        <v>40</v>
      </c>
      <c r="C298" s="44" t="s">
        <v>73</v>
      </c>
      <c r="D298" s="91"/>
      <c r="E298" s="91" t="s">
        <v>75</v>
      </c>
      <c r="F298" s="44" t="s">
        <v>668</v>
      </c>
      <c r="G298" s="91" t="s">
        <v>40</v>
      </c>
      <c r="H298" s="91">
        <v>102.81056</v>
      </c>
      <c r="I298" s="91">
        <v>1</v>
      </c>
      <c r="J298" s="91">
        <v>102.81056</v>
      </c>
      <c r="K298" s="91">
        <v>102.81056</v>
      </c>
      <c r="L298" s="91">
        <v>1</v>
      </c>
      <c r="M298" s="91">
        <v>102.81056</v>
      </c>
      <c r="N298" s="6" t="s">
        <v>671</v>
      </c>
      <c r="O298" s="90">
        <v>45288</v>
      </c>
      <c r="P298" s="33" t="str">
        <f>HYPERLINK("https://my.zakupivli.pro/remote/dispatcher/state_purchase_view/48114851", "UA-2023-12-29-001754-a")</f>
        <v>UA-2023-12-29-001754-a</v>
      </c>
      <c r="Q298" s="91">
        <v>102.81056</v>
      </c>
      <c r="R298" s="91">
        <v>1</v>
      </c>
      <c r="S298" s="91">
        <v>102.81056</v>
      </c>
      <c r="T298" s="90">
        <v>45288</v>
      </c>
      <c r="U298" s="91"/>
      <c r="V298" s="91" t="s">
        <v>59</v>
      </c>
    </row>
    <row r="299" spans="1:22" ht="62.4" x14ac:dyDescent="0.3">
      <c r="A299" s="91">
        <v>296</v>
      </c>
      <c r="B299" s="91" t="s">
        <v>40</v>
      </c>
      <c r="C299" s="44" t="s">
        <v>73</v>
      </c>
      <c r="D299" s="91"/>
      <c r="E299" s="91" t="s">
        <v>75</v>
      </c>
      <c r="F299" s="44" t="s">
        <v>669</v>
      </c>
      <c r="G299" s="91" t="s">
        <v>40</v>
      </c>
      <c r="H299" s="91">
        <v>93.603560000000002</v>
      </c>
      <c r="I299" s="91">
        <v>1</v>
      </c>
      <c r="J299" s="91">
        <v>93.603560000000002</v>
      </c>
      <c r="K299" s="91">
        <v>93.603560000000002</v>
      </c>
      <c r="L299" s="91">
        <v>1</v>
      </c>
      <c r="M299" s="91">
        <v>93.603560000000002</v>
      </c>
      <c r="N299" s="6" t="s">
        <v>672</v>
      </c>
      <c r="O299" s="90">
        <v>45288</v>
      </c>
      <c r="P299" s="33" t="str">
        <f>HYPERLINK("https://my.zakupivli.pro/remote/dispatcher/state_purchase_view/48113034", "UA-2023-12-29-000902-a")</f>
        <v>UA-2023-12-29-000902-a</v>
      </c>
      <c r="Q299" s="91">
        <v>93.603560000000002</v>
      </c>
      <c r="R299" s="91">
        <v>1</v>
      </c>
      <c r="S299" s="91">
        <v>93.603560000000002</v>
      </c>
      <c r="T299" s="90">
        <v>45288</v>
      </c>
      <c r="U299" s="91"/>
      <c r="V299" s="91" t="s">
        <v>59</v>
      </c>
    </row>
    <row r="300" spans="1:22" ht="62.4" x14ac:dyDescent="0.3">
      <c r="A300" s="91">
        <v>297</v>
      </c>
      <c r="B300" s="91" t="s">
        <v>40</v>
      </c>
      <c r="C300" s="44" t="s">
        <v>73</v>
      </c>
      <c r="D300" s="91"/>
      <c r="E300" s="91" t="s">
        <v>75</v>
      </c>
      <c r="F300" s="44" t="s">
        <v>670</v>
      </c>
      <c r="G300" s="91" t="s">
        <v>40</v>
      </c>
      <c r="H300" s="91">
        <v>94.078620000000001</v>
      </c>
      <c r="I300" s="91">
        <v>1</v>
      </c>
      <c r="J300" s="91">
        <v>94.078620000000001</v>
      </c>
      <c r="K300" s="91">
        <v>94.078620000000001</v>
      </c>
      <c r="L300" s="91">
        <v>1</v>
      </c>
      <c r="M300" s="91">
        <v>94.078620000000001</v>
      </c>
      <c r="N300" s="6" t="s">
        <v>673</v>
      </c>
      <c r="O300" s="90">
        <v>45288</v>
      </c>
      <c r="P300" s="33" t="str">
        <f>HYPERLINK("https://my.zakupivli.pro/remote/dispatcher/state_purchase_view/48111399", "UA-2023-12-29-000155-a")</f>
        <v>UA-2023-12-29-000155-a</v>
      </c>
      <c r="Q300" s="91">
        <v>94.078620000000001</v>
      </c>
      <c r="R300" s="91">
        <v>1</v>
      </c>
      <c r="S300" s="91">
        <v>94.078620000000001</v>
      </c>
      <c r="T300" s="90">
        <v>45288</v>
      </c>
      <c r="U300" s="91"/>
      <c r="V300" s="91" t="s">
        <v>59</v>
      </c>
    </row>
    <row r="301" spans="1:22" ht="62.4" x14ac:dyDescent="0.3">
      <c r="A301" s="91">
        <v>298</v>
      </c>
      <c r="B301" s="91" t="s">
        <v>40</v>
      </c>
      <c r="C301" s="44" t="s">
        <v>73</v>
      </c>
      <c r="D301" s="91"/>
      <c r="E301" s="91" t="s">
        <v>75</v>
      </c>
      <c r="F301" s="44" t="s">
        <v>674</v>
      </c>
      <c r="G301" s="91" t="s">
        <v>40</v>
      </c>
      <c r="H301" s="91">
        <v>890.76089999999999</v>
      </c>
      <c r="I301" s="91">
        <v>1</v>
      </c>
      <c r="J301" s="91">
        <v>890.76089999999999</v>
      </c>
      <c r="K301" s="91">
        <v>890.76089999999999</v>
      </c>
      <c r="L301" s="91">
        <v>1</v>
      </c>
      <c r="M301" s="91">
        <v>890.76089999999999</v>
      </c>
      <c r="N301" s="6" t="s">
        <v>676</v>
      </c>
      <c r="O301" s="90">
        <v>45288</v>
      </c>
      <c r="P301" s="33" t="str">
        <f>HYPERLINK("https://my.zakupivli.pro/remote/dispatcher/state_purchase_view/48185148", "UA-2024-01-04-005897-a")</f>
        <v>UA-2024-01-04-005897-a</v>
      </c>
      <c r="Q301" s="91">
        <v>890.76089999999999</v>
      </c>
      <c r="R301" s="91">
        <v>1</v>
      </c>
      <c r="S301" s="91">
        <v>890.76089999999999</v>
      </c>
      <c r="T301" s="90">
        <v>45295</v>
      </c>
      <c r="U301" s="91"/>
      <c r="V301" s="91" t="s">
        <v>59</v>
      </c>
    </row>
    <row r="302" spans="1:22" ht="62.4" x14ac:dyDescent="0.3">
      <c r="A302" s="91">
        <v>299</v>
      </c>
      <c r="B302" s="91" t="s">
        <v>40</v>
      </c>
      <c r="C302" s="44" t="s">
        <v>73</v>
      </c>
      <c r="D302" s="91"/>
      <c r="E302" s="91" t="s">
        <v>75</v>
      </c>
      <c r="F302" s="44" t="s">
        <v>675</v>
      </c>
      <c r="G302" s="91" t="s">
        <v>40</v>
      </c>
      <c r="H302" s="91">
        <v>900.26514999999995</v>
      </c>
      <c r="I302" s="91">
        <v>1</v>
      </c>
      <c r="J302" s="91">
        <v>900.26514999999995</v>
      </c>
      <c r="K302" s="91">
        <v>900.26514999999995</v>
      </c>
      <c r="L302" s="91">
        <v>1</v>
      </c>
      <c r="M302" s="91">
        <v>900.26514999999995</v>
      </c>
      <c r="N302" s="6" t="s">
        <v>677</v>
      </c>
      <c r="O302" s="90">
        <v>45288</v>
      </c>
      <c r="P302" s="33" t="str">
        <f>HYPERLINK("https://my.zakupivli.pro/remote/dispatcher/state_purchase_view/48184528", "UA-2024-01-04-005625-a")</f>
        <v>UA-2024-01-04-005625-a</v>
      </c>
      <c r="Q302" s="91">
        <v>900.26514999999995</v>
      </c>
      <c r="R302" s="91">
        <v>1</v>
      </c>
      <c r="S302" s="91">
        <v>900.26514999999995</v>
      </c>
      <c r="T302" s="90">
        <v>45295</v>
      </c>
      <c r="U302" s="91"/>
      <c r="V302" s="91" t="s">
        <v>59</v>
      </c>
    </row>
    <row r="303" spans="1:22" ht="62.4" x14ac:dyDescent="0.3">
      <c r="A303" s="91">
        <v>300</v>
      </c>
      <c r="B303" s="91" t="s">
        <v>40</v>
      </c>
      <c r="C303" s="44" t="s">
        <v>73</v>
      </c>
      <c r="D303" s="91"/>
      <c r="E303" s="91" t="s">
        <v>75</v>
      </c>
      <c r="F303" s="44" t="s">
        <v>678</v>
      </c>
      <c r="G303" s="91" t="s">
        <v>40</v>
      </c>
      <c r="H303" s="91">
        <v>154.50237999999999</v>
      </c>
      <c r="I303" s="91">
        <v>1</v>
      </c>
      <c r="J303" s="91">
        <v>154.50237999999999</v>
      </c>
      <c r="K303" s="91">
        <v>154.50237999999999</v>
      </c>
      <c r="L303" s="91">
        <v>1</v>
      </c>
      <c r="M303" s="91">
        <v>154.50237999999999</v>
      </c>
      <c r="N303" s="6" t="s">
        <v>681</v>
      </c>
      <c r="O303" s="90">
        <v>45296</v>
      </c>
      <c r="P303" s="33" t="str">
        <f>HYPERLINK("https://my.zakupivli.pro/remote/dispatcher/state_purchase_view/48208692", "UA-2024-01-08-000900-a")</f>
        <v>UA-2024-01-08-000900-a</v>
      </c>
      <c r="Q303" s="91">
        <v>154.50237999999999</v>
      </c>
      <c r="R303" s="91">
        <v>1</v>
      </c>
      <c r="S303" s="91">
        <v>154.50237999999999</v>
      </c>
      <c r="T303" s="90">
        <v>45299</v>
      </c>
      <c r="U303" s="91"/>
      <c r="V303" s="91" t="s">
        <v>59</v>
      </c>
    </row>
    <row r="304" spans="1:22" ht="62.4" x14ac:dyDescent="0.3">
      <c r="A304" s="91">
        <v>301</v>
      </c>
      <c r="B304" s="91" t="s">
        <v>40</v>
      </c>
      <c r="C304" s="44" t="s">
        <v>73</v>
      </c>
      <c r="D304" s="91"/>
      <c r="E304" s="91" t="s">
        <v>75</v>
      </c>
      <c r="F304" s="44" t="s">
        <v>679</v>
      </c>
      <c r="G304" s="91" t="s">
        <v>40</v>
      </c>
      <c r="H304" s="91">
        <v>173.50028</v>
      </c>
      <c r="I304" s="91">
        <v>1</v>
      </c>
      <c r="J304" s="91">
        <v>173.50028</v>
      </c>
      <c r="K304" s="91">
        <v>173.50028</v>
      </c>
      <c r="L304" s="91">
        <v>1</v>
      </c>
      <c r="M304" s="91">
        <v>173.50028</v>
      </c>
      <c r="N304" s="6" t="s">
        <v>682</v>
      </c>
      <c r="O304" s="90">
        <v>45296</v>
      </c>
      <c r="P304" s="33" t="str">
        <f>HYPERLINK("https://my.zakupivli.pro/remote/dispatcher/state_purchase_view/48208212", "UA-2024-01-08-000709-a")</f>
        <v>UA-2024-01-08-000709-a</v>
      </c>
      <c r="Q304" s="91">
        <v>173.50028</v>
      </c>
      <c r="R304" s="91">
        <v>1</v>
      </c>
      <c r="S304" s="91">
        <v>173.50028</v>
      </c>
      <c r="T304" s="90">
        <v>45299</v>
      </c>
      <c r="U304" s="91"/>
      <c r="V304" s="91" t="s">
        <v>59</v>
      </c>
    </row>
    <row r="305" spans="1:22" ht="62.4" x14ac:dyDescent="0.3">
      <c r="A305" s="91">
        <v>302</v>
      </c>
      <c r="B305" s="91" t="s">
        <v>40</v>
      </c>
      <c r="C305" s="44" t="s">
        <v>73</v>
      </c>
      <c r="D305" s="91"/>
      <c r="E305" s="91" t="s">
        <v>75</v>
      </c>
      <c r="F305" s="44" t="s">
        <v>680</v>
      </c>
      <c r="G305" s="91" t="s">
        <v>40</v>
      </c>
      <c r="H305" s="91">
        <v>161.96637999999999</v>
      </c>
      <c r="I305" s="91">
        <v>1</v>
      </c>
      <c r="J305" s="91">
        <v>161.96637999999999</v>
      </c>
      <c r="K305" s="91">
        <v>161.96637999999999</v>
      </c>
      <c r="L305" s="91">
        <v>1</v>
      </c>
      <c r="M305" s="91">
        <v>161.96637999999999</v>
      </c>
      <c r="N305" s="6" t="s">
        <v>683</v>
      </c>
      <c r="O305" s="90">
        <v>45296</v>
      </c>
      <c r="P305" s="33" t="str">
        <f>HYPERLINK("https://my.zakupivli.pro/remote/dispatcher/state_purchase_view/48207479", "UA-2024-01-08-000421-a")</f>
        <v>UA-2024-01-08-000421-a</v>
      </c>
      <c r="Q305" s="91">
        <v>161.96637999999999</v>
      </c>
      <c r="R305" s="91">
        <v>1</v>
      </c>
      <c r="S305" s="91">
        <v>161.96637999999999</v>
      </c>
      <c r="T305" s="90">
        <v>45299</v>
      </c>
      <c r="U305" s="91"/>
      <c r="V305" s="91" t="s">
        <v>59</v>
      </c>
    </row>
    <row r="306" spans="1:22" ht="62.4" x14ac:dyDescent="0.3">
      <c r="A306" s="91">
        <v>303</v>
      </c>
      <c r="B306" s="91" t="s">
        <v>40</v>
      </c>
      <c r="C306" s="44" t="s">
        <v>518</v>
      </c>
      <c r="D306" s="91"/>
      <c r="E306" s="92" t="s">
        <v>88</v>
      </c>
      <c r="F306" s="44" t="s">
        <v>684</v>
      </c>
      <c r="G306" s="91" t="s">
        <v>40</v>
      </c>
      <c r="H306" s="91">
        <v>180.30529999999999</v>
      </c>
      <c r="I306" s="91">
        <v>1</v>
      </c>
      <c r="J306" s="91">
        <v>180.30529999999999</v>
      </c>
      <c r="K306" s="91">
        <v>180.30529999999999</v>
      </c>
      <c r="L306" s="91">
        <v>1</v>
      </c>
      <c r="M306" s="91">
        <v>180.30529999999999</v>
      </c>
      <c r="N306" s="6" t="s">
        <v>687</v>
      </c>
      <c r="O306" s="90">
        <v>45289</v>
      </c>
      <c r="P306" s="33" t="str">
        <f>HYPERLINK("https://my.zakupivli.pro/remote/dispatcher/state_purchase_view/48220144", "UA-2024-01-08-005490-a")</f>
        <v>UA-2024-01-08-005490-a</v>
      </c>
      <c r="Q306" s="91">
        <v>180.30529999999999</v>
      </c>
      <c r="R306" s="91">
        <v>1</v>
      </c>
      <c r="S306" s="91">
        <v>180.30529999999999</v>
      </c>
      <c r="T306" s="90">
        <v>45299</v>
      </c>
      <c r="U306" s="91"/>
      <c r="V306" s="91" t="s">
        <v>59</v>
      </c>
    </row>
    <row r="307" spans="1:22" ht="62.4" x14ac:dyDescent="0.3">
      <c r="A307" s="91">
        <v>304</v>
      </c>
      <c r="B307" s="91" t="s">
        <v>40</v>
      </c>
      <c r="C307" s="44" t="s">
        <v>518</v>
      </c>
      <c r="D307" s="91"/>
      <c r="E307" s="92" t="s">
        <v>88</v>
      </c>
      <c r="F307" s="44" t="s">
        <v>685</v>
      </c>
      <c r="G307" s="91" t="s">
        <v>40</v>
      </c>
      <c r="H307" s="91">
        <v>43.111609999999999</v>
      </c>
      <c r="I307" s="91">
        <v>1</v>
      </c>
      <c r="J307" s="91">
        <v>43.111609999999999</v>
      </c>
      <c r="K307" s="91">
        <v>43.111609999999999</v>
      </c>
      <c r="L307" s="91">
        <v>1</v>
      </c>
      <c r="M307" s="91">
        <v>43.111609999999999</v>
      </c>
      <c r="N307" s="6" t="s">
        <v>688</v>
      </c>
      <c r="O307" s="90">
        <v>45289</v>
      </c>
      <c r="P307" s="33" t="str">
        <f>HYPERLINK("https://my.zakupivli.pro/remote/dispatcher/state_purchase_view/48217755", "UA-2024-01-08-004546-a")</f>
        <v>UA-2024-01-08-004546-a</v>
      </c>
      <c r="Q307" s="91">
        <v>43.111609999999999</v>
      </c>
      <c r="R307" s="91">
        <v>1</v>
      </c>
      <c r="S307" s="91">
        <v>43.111609999999999</v>
      </c>
      <c r="T307" s="90">
        <v>45299</v>
      </c>
      <c r="U307" s="91"/>
      <c r="V307" s="91" t="s">
        <v>59</v>
      </c>
    </row>
    <row r="308" spans="1:22" ht="62.4" x14ac:dyDescent="0.3">
      <c r="A308" s="91">
        <v>305</v>
      </c>
      <c r="B308" s="91" t="s">
        <v>40</v>
      </c>
      <c r="C308" s="44" t="s">
        <v>518</v>
      </c>
      <c r="D308" s="91"/>
      <c r="E308" s="92" t="s">
        <v>88</v>
      </c>
      <c r="F308" s="44" t="s">
        <v>686</v>
      </c>
      <c r="G308" s="91" t="s">
        <v>40</v>
      </c>
      <c r="H308" s="91">
        <v>152.07490999999999</v>
      </c>
      <c r="I308" s="91">
        <v>1</v>
      </c>
      <c r="J308" s="91">
        <v>152.07490999999999</v>
      </c>
      <c r="K308" s="91">
        <v>152.07490999999999</v>
      </c>
      <c r="L308" s="91">
        <v>1</v>
      </c>
      <c r="M308" s="91">
        <v>152.07490999999999</v>
      </c>
      <c r="N308" s="6" t="s">
        <v>689</v>
      </c>
      <c r="O308" s="90">
        <v>45289</v>
      </c>
      <c r="P308" s="33" t="str">
        <f>HYPERLINK("https://my.zakupivli.pro/remote/dispatcher/state_purchase_view/48216345", "UA-2024-01-08-003981-a")</f>
        <v>UA-2024-01-08-003981-a</v>
      </c>
      <c r="Q308" s="91">
        <v>152.07490999999999</v>
      </c>
      <c r="R308" s="91">
        <v>1</v>
      </c>
      <c r="S308" s="91">
        <v>152.07490999999999</v>
      </c>
      <c r="T308" s="90">
        <v>45299</v>
      </c>
      <c r="U308" s="91"/>
      <c r="V308" s="91" t="s">
        <v>59</v>
      </c>
    </row>
    <row r="309" spans="1:22" ht="62.4" x14ac:dyDescent="0.3">
      <c r="A309" s="91">
        <v>306</v>
      </c>
      <c r="B309" s="92" t="s">
        <v>21</v>
      </c>
      <c r="C309" s="96" t="s">
        <v>690</v>
      </c>
      <c r="D309" s="91"/>
      <c r="E309" s="92" t="s">
        <v>75</v>
      </c>
      <c r="F309" s="52" t="s">
        <v>63</v>
      </c>
      <c r="G309" s="92" t="s">
        <v>186</v>
      </c>
      <c r="H309" s="91"/>
      <c r="I309" s="91">
        <v>2</v>
      </c>
      <c r="J309" s="91">
        <v>82.954999999999998</v>
      </c>
      <c r="K309" s="91"/>
      <c r="L309" s="91">
        <v>2</v>
      </c>
      <c r="M309" s="92">
        <v>82.954999999999998</v>
      </c>
      <c r="N309" s="6" t="s">
        <v>691</v>
      </c>
      <c r="O309" s="90">
        <v>45302</v>
      </c>
      <c r="P309" s="42" t="str">
        <f>HYPERLINK("https://my.zakupivli.pro/remote/dispatcher/state_purchase_view/48292143", "UA-2024-01-11-008391-a")</f>
        <v>UA-2024-01-11-008391-a</v>
      </c>
      <c r="Q309" s="91"/>
      <c r="R309" s="91">
        <v>2</v>
      </c>
      <c r="S309" s="92">
        <v>82.954999999999998</v>
      </c>
      <c r="T309" s="90">
        <v>45302</v>
      </c>
      <c r="U309" s="91"/>
      <c r="V309" s="92" t="s">
        <v>59</v>
      </c>
    </row>
    <row r="310" spans="1:22" ht="78" x14ac:dyDescent="0.3">
      <c r="A310" s="91">
        <v>307</v>
      </c>
      <c r="B310" s="92" t="s">
        <v>40</v>
      </c>
      <c r="C310" s="44" t="s">
        <v>41</v>
      </c>
      <c r="D310" s="91"/>
      <c r="E310" s="91" t="s">
        <v>373</v>
      </c>
      <c r="F310" s="44" t="s">
        <v>692</v>
      </c>
      <c r="G310" s="92" t="s">
        <v>40</v>
      </c>
      <c r="H310" s="91">
        <v>91.408479999999997</v>
      </c>
      <c r="I310" s="92">
        <v>1</v>
      </c>
      <c r="J310" s="92">
        <v>91.408479999999997</v>
      </c>
      <c r="K310" s="92">
        <v>91.408479999999997</v>
      </c>
      <c r="L310" s="92">
        <v>1</v>
      </c>
      <c r="M310" s="92">
        <v>91.408479999999997</v>
      </c>
      <c r="N310" s="6" t="s">
        <v>694</v>
      </c>
      <c r="O310" s="90">
        <v>45303</v>
      </c>
      <c r="P310" s="33" t="str">
        <f>HYPERLINK("https://my.zakupivli.pro/remote/dispatcher/state_purchase_view/48324796", "UA-2024-01-12-010003-a")</f>
        <v>UA-2024-01-12-010003-a</v>
      </c>
      <c r="Q310" s="92">
        <v>91.408479999999997</v>
      </c>
      <c r="R310" s="92">
        <v>1</v>
      </c>
      <c r="S310" s="92">
        <v>91.408479999999997</v>
      </c>
      <c r="T310" s="93">
        <v>45303</v>
      </c>
      <c r="U310" s="91"/>
      <c r="V310" s="92" t="s">
        <v>59</v>
      </c>
    </row>
    <row r="311" spans="1:22" ht="78" x14ac:dyDescent="0.3">
      <c r="A311" s="91">
        <v>308</v>
      </c>
      <c r="B311" s="92" t="s">
        <v>40</v>
      </c>
      <c r="C311" s="44" t="s">
        <v>41</v>
      </c>
      <c r="D311" s="91"/>
      <c r="E311" s="92" t="s">
        <v>373</v>
      </c>
      <c r="F311" s="44" t="s">
        <v>693</v>
      </c>
      <c r="G311" s="92" t="s">
        <v>40</v>
      </c>
      <c r="H311" s="91">
        <v>99.077370000000002</v>
      </c>
      <c r="I311" s="92">
        <v>1</v>
      </c>
      <c r="J311" s="92">
        <v>99.077370000000002</v>
      </c>
      <c r="K311" s="92">
        <v>99.077370000000002</v>
      </c>
      <c r="L311" s="92">
        <v>1</v>
      </c>
      <c r="M311" s="92">
        <v>99.077370000000002</v>
      </c>
      <c r="N311" s="6" t="s">
        <v>695</v>
      </c>
      <c r="O311" s="93">
        <v>45303</v>
      </c>
      <c r="P311" s="33" t="str">
        <f>HYPERLINK("https://my.zakupivli.pro/remote/dispatcher/state_purchase_view/48324529", "UA-2024-01-12-009909-a")</f>
        <v>UA-2024-01-12-009909-a</v>
      </c>
      <c r="Q311" s="92">
        <v>99.077370000000002</v>
      </c>
      <c r="R311" s="92">
        <v>1</v>
      </c>
      <c r="S311" s="92">
        <v>99.077370000000002</v>
      </c>
      <c r="T311" s="93">
        <v>45303</v>
      </c>
      <c r="U311" s="91"/>
      <c r="V311" s="92" t="s">
        <v>59</v>
      </c>
    </row>
    <row r="312" spans="1:22" ht="62.4" x14ac:dyDescent="0.3">
      <c r="A312" s="94">
        <v>309</v>
      </c>
      <c r="B312" s="94" t="s">
        <v>21</v>
      </c>
      <c r="C312" s="100" t="s">
        <v>690</v>
      </c>
      <c r="D312" s="94"/>
      <c r="E312" s="94" t="s">
        <v>75</v>
      </c>
      <c r="F312" s="99" t="s">
        <v>696</v>
      </c>
      <c r="G312" s="94" t="s">
        <v>187</v>
      </c>
      <c r="H312" s="94"/>
      <c r="I312" s="94">
        <v>220</v>
      </c>
      <c r="J312" s="94">
        <v>276.04599999999999</v>
      </c>
      <c r="K312" s="94"/>
      <c r="L312" s="94">
        <v>220</v>
      </c>
      <c r="M312" s="94">
        <v>276.04599999999999</v>
      </c>
      <c r="N312" s="6" t="s">
        <v>697</v>
      </c>
      <c r="O312" s="95">
        <v>45303</v>
      </c>
      <c r="P312" s="33" t="str">
        <f>HYPERLINK("https://my.zakupivli.pro/remote/dispatcher/state_purchase_view/48328503", "UA-2024-01-13-000371-a")</f>
        <v>UA-2024-01-13-000371-a</v>
      </c>
      <c r="Q312" s="94"/>
      <c r="R312" s="94">
        <v>220</v>
      </c>
      <c r="S312" s="94">
        <v>276.04599999999999</v>
      </c>
      <c r="T312" s="95">
        <v>45303</v>
      </c>
      <c r="U312" s="94"/>
      <c r="V312" s="94" t="s">
        <v>59</v>
      </c>
    </row>
    <row r="313" spans="1:22" ht="62.4" x14ac:dyDescent="0.3">
      <c r="A313" s="94">
        <v>310</v>
      </c>
      <c r="B313" s="94" t="s">
        <v>21</v>
      </c>
      <c r="C313" s="100" t="s">
        <v>690</v>
      </c>
      <c r="D313" s="94"/>
      <c r="E313" s="94" t="s">
        <v>75</v>
      </c>
      <c r="F313" s="94" t="s">
        <v>698</v>
      </c>
      <c r="G313" s="94" t="s">
        <v>185</v>
      </c>
      <c r="H313" s="94"/>
      <c r="I313" s="94">
        <v>200</v>
      </c>
      <c r="J313" s="94">
        <v>1105</v>
      </c>
      <c r="K313" s="94"/>
      <c r="L313" s="94">
        <v>200</v>
      </c>
      <c r="M313" s="94">
        <v>1105</v>
      </c>
      <c r="N313" s="6" t="s">
        <v>699</v>
      </c>
      <c r="O313" s="95">
        <v>45303</v>
      </c>
      <c r="P313" s="33" t="str">
        <f>HYPERLINK("https://my.zakupivli.pro/remote/dispatcher/state_purchase_view/48328528", "UA-2024-01-13-000381-a")</f>
        <v>UA-2024-01-13-000381-a</v>
      </c>
      <c r="Q313" s="94"/>
      <c r="R313" s="94">
        <v>200</v>
      </c>
      <c r="S313" s="94">
        <v>1105</v>
      </c>
      <c r="T313" s="95">
        <v>45303</v>
      </c>
      <c r="U313" s="94"/>
      <c r="V313" s="94" t="s">
        <v>59</v>
      </c>
    </row>
    <row r="314" spans="1:22" ht="78" x14ac:dyDescent="0.3">
      <c r="A314" s="97">
        <v>311</v>
      </c>
      <c r="B314" s="97" t="s">
        <v>40</v>
      </c>
      <c r="C314" s="44" t="s">
        <v>73</v>
      </c>
      <c r="D314" s="97"/>
      <c r="E314" s="97" t="s">
        <v>75</v>
      </c>
      <c r="F314" s="44" t="s">
        <v>700</v>
      </c>
      <c r="G314" s="97" t="s">
        <v>40</v>
      </c>
      <c r="H314" s="97">
        <v>383.87344000000002</v>
      </c>
      <c r="I314" s="97">
        <v>1</v>
      </c>
      <c r="J314" s="97">
        <v>383.87344000000002</v>
      </c>
      <c r="K314" s="97">
        <v>383.87344000000002</v>
      </c>
      <c r="L314" s="97">
        <v>1</v>
      </c>
      <c r="M314" s="97">
        <v>383.87344000000002</v>
      </c>
      <c r="N314" s="6" t="s">
        <v>702</v>
      </c>
      <c r="O314" s="98">
        <v>45308</v>
      </c>
      <c r="P314" s="33" t="str">
        <f>HYPERLINK("https://my.zakupivli.pro/remote/dispatcher/state_purchase_view/48409874", "UA-2024-01-17-000623-a")</f>
        <v>UA-2024-01-17-000623-a</v>
      </c>
      <c r="Q314" s="97">
        <v>383.87344000000002</v>
      </c>
      <c r="R314" s="97">
        <v>1</v>
      </c>
      <c r="S314" s="97">
        <v>383.87344000000002</v>
      </c>
      <c r="T314" s="98">
        <v>45308</v>
      </c>
      <c r="U314" s="97"/>
      <c r="V314" s="97" t="s">
        <v>59</v>
      </c>
    </row>
    <row r="315" spans="1:22" ht="78" x14ac:dyDescent="0.3">
      <c r="A315" s="97">
        <v>312</v>
      </c>
      <c r="B315" s="97" t="s">
        <v>40</v>
      </c>
      <c r="C315" s="44" t="s">
        <v>73</v>
      </c>
      <c r="D315" s="97"/>
      <c r="E315" s="97" t="s">
        <v>75</v>
      </c>
      <c r="F315" s="44" t="s">
        <v>701</v>
      </c>
      <c r="G315" s="97" t="s">
        <v>40</v>
      </c>
      <c r="H315" s="97">
        <v>150.13192000000001</v>
      </c>
      <c r="I315" s="97">
        <v>1</v>
      </c>
      <c r="J315" s="97">
        <v>150.13192000000001</v>
      </c>
      <c r="K315" s="97">
        <v>150.13192000000001</v>
      </c>
      <c r="L315" s="97">
        <v>1</v>
      </c>
      <c r="M315" s="97">
        <v>150.13192000000001</v>
      </c>
      <c r="N315" s="6" t="s">
        <v>703</v>
      </c>
      <c r="O315" s="98">
        <v>45308</v>
      </c>
      <c r="P315" s="33" t="str">
        <f>HYPERLINK("https://my.zakupivli.pro/remote/dispatcher/state_purchase_view/48409206", "UA-2024-01-17-000372-a")</f>
        <v>UA-2024-01-17-000372-a</v>
      </c>
      <c r="Q315" s="97">
        <v>150.13192000000001</v>
      </c>
      <c r="R315" s="97">
        <v>1</v>
      </c>
      <c r="S315" s="97">
        <v>150.13192000000001</v>
      </c>
      <c r="T315" s="98">
        <v>45308</v>
      </c>
      <c r="U315" s="97"/>
      <c r="V315" s="97" t="s">
        <v>59</v>
      </c>
    </row>
    <row r="316" spans="1:22" ht="62.4" x14ac:dyDescent="0.3">
      <c r="A316" s="97">
        <v>313</v>
      </c>
      <c r="B316" s="97" t="s">
        <v>40</v>
      </c>
      <c r="C316" s="44" t="s">
        <v>73</v>
      </c>
      <c r="D316" s="97"/>
      <c r="E316" s="97" t="s">
        <v>75</v>
      </c>
      <c r="F316" s="44" t="s">
        <v>704</v>
      </c>
      <c r="G316" s="97" t="s">
        <v>40</v>
      </c>
      <c r="H316" s="97">
        <v>243.79064</v>
      </c>
      <c r="I316" s="97">
        <v>1</v>
      </c>
      <c r="J316" s="97">
        <v>243.79064</v>
      </c>
      <c r="K316" s="97">
        <v>243.79064</v>
      </c>
      <c r="L316" s="97">
        <v>1</v>
      </c>
      <c r="M316" s="97">
        <v>243.79064</v>
      </c>
      <c r="N316" s="6" t="s">
        <v>705</v>
      </c>
      <c r="O316" s="98">
        <v>45308</v>
      </c>
      <c r="P316" s="33" t="str">
        <f>HYPERLINK("https://my.zakupivli.pro/remote/dispatcher/state_purchase_view/48421027", "UA-2024-01-17-005247-a")</f>
        <v>UA-2024-01-17-005247-a</v>
      </c>
      <c r="Q316" s="97">
        <v>243.79064</v>
      </c>
      <c r="R316" s="97">
        <v>1</v>
      </c>
      <c r="S316" s="97">
        <v>243.79064</v>
      </c>
      <c r="T316" s="98">
        <v>45308</v>
      </c>
      <c r="U316" s="97"/>
      <c r="V316" s="97" t="s">
        <v>59</v>
      </c>
    </row>
    <row r="317" spans="1:22" ht="66" x14ac:dyDescent="0.3">
      <c r="A317" s="102">
        <v>314</v>
      </c>
      <c r="B317" s="102" t="s">
        <v>21</v>
      </c>
      <c r="C317" s="52" t="s">
        <v>176</v>
      </c>
      <c r="D317" s="102"/>
      <c r="E317" s="102" t="s">
        <v>88</v>
      </c>
      <c r="F317" s="85" t="s">
        <v>706</v>
      </c>
      <c r="G317" s="102" t="s">
        <v>186</v>
      </c>
      <c r="H317" s="102"/>
      <c r="I317" s="102">
        <v>9</v>
      </c>
      <c r="J317" s="102">
        <v>1715.4</v>
      </c>
      <c r="K317" s="102"/>
      <c r="L317" s="102">
        <v>9</v>
      </c>
      <c r="M317" s="102">
        <v>1715.4</v>
      </c>
      <c r="N317" s="6" t="s">
        <v>707</v>
      </c>
      <c r="O317" s="101">
        <v>45309</v>
      </c>
      <c r="P317" s="42" t="str">
        <f>HYPERLINK("https://my.zakupivli.pro/remote/dispatcher/state_purchase_view/48458403", "UA-2024-01-18-003325-a")</f>
        <v>UA-2024-01-18-003325-a</v>
      </c>
      <c r="Q317" s="102"/>
      <c r="R317" s="102">
        <v>9</v>
      </c>
      <c r="S317" s="102">
        <v>1715.4</v>
      </c>
      <c r="T317" s="101">
        <v>45329</v>
      </c>
      <c r="U317" s="102"/>
      <c r="V317" s="102"/>
    </row>
    <row r="318" spans="1:22" ht="62.4" x14ac:dyDescent="0.3">
      <c r="A318" s="102">
        <v>315</v>
      </c>
      <c r="B318" s="102" t="s">
        <v>21</v>
      </c>
      <c r="C318" s="44" t="s">
        <v>180</v>
      </c>
      <c r="D318" s="102"/>
      <c r="E318" s="102" t="s">
        <v>88</v>
      </c>
      <c r="F318" s="44" t="s">
        <v>708</v>
      </c>
      <c r="G318" s="102" t="s">
        <v>186</v>
      </c>
      <c r="H318" s="102"/>
      <c r="I318" s="102">
        <v>5</v>
      </c>
      <c r="J318" s="102">
        <v>2859.8616699999998</v>
      </c>
      <c r="K318" s="102"/>
      <c r="L318" s="102">
        <v>5</v>
      </c>
      <c r="M318" s="102">
        <v>2859.8616699999998</v>
      </c>
      <c r="N318" s="6" t="s">
        <v>709</v>
      </c>
      <c r="O318" s="101">
        <v>45309</v>
      </c>
      <c r="P318" s="33" t="str">
        <f>HYPERLINK("https://my.zakupivli.pro/remote/dispatcher/state_purchase_view/48459128", "UA-2024-01-18-003702-a")</f>
        <v>UA-2024-01-18-003702-a</v>
      </c>
      <c r="Q318" s="102"/>
      <c r="R318" s="102">
        <v>5</v>
      </c>
      <c r="S318" s="102">
        <v>2537.36</v>
      </c>
      <c r="T318" s="101">
        <v>45336</v>
      </c>
      <c r="U318" s="102"/>
      <c r="V318" s="102"/>
    </row>
    <row r="319" spans="1:22" ht="78" x14ac:dyDescent="0.3">
      <c r="A319" s="102">
        <v>316</v>
      </c>
      <c r="B319" s="102" t="s">
        <v>21</v>
      </c>
      <c r="C319" s="41" t="s">
        <v>87</v>
      </c>
      <c r="D319" s="102"/>
      <c r="E319" s="102" t="s">
        <v>88</v>
      </c>
      <c r="F319" s="41" t="s">
        <v>710</v>
      </c>
      <c r="G319" s="102" t="s">
        <v>185</v>
      </c>
      <c r="H319" s="102"/>
      <c r="I319" s="102">
        <v>2</v>
      </c>
      <c r="J319" s="102">
        <v>8058.34</v>
      </c>
      <c r="K319" s="102"/>
      <c r="L319" s="102">
        <v>2</v>
      </c>
      <c r="M319" s="102">
        <v>8058.34</v>
      </c>
      <c r="N319" s="6" t="s">
        <v>711</v>
      </c>
      <c r="O319" s="101">
        <v>45309</v>
      </c>
      <c r="P319" s="42" t="str">
        <f>HYPERLINK("https://my.zakupivli.pro/remote/dispatcher/state_purchase_view/48459984", "UA-2024-01-18-004061-a")</f>
        <v>UA-2024-01-18-004061-a</v>
      </c>
      <c r="Q319" s="102">
        <v>8057.5</v>
      </c>
      <c r="R319" s="102">
        <v>2</v>
      </c>
      <c r="S319" s="125">
        <v>8057.5</v>
      </c>
      <c r="T319" s="101">
        <v>45328</v>
      </c>
      <c r="U319" s="102"/>
      <c r="V319" s="102"/>
    </row>
    <row r="320" spans="1:22" ht="78" x14ac:dyDescent="0.3">
      <c r="A320" s="102">
        <v>317</v>
      </c>
      <c r="B320" s="102" t="s">
        <v>21</v>
      </c>
      <c r="C320" s="44" t="s">
        <v>713</v>
      </c>
      <c r="D320" s="102"/>
      <c r="E320" s="102" t="s">
        <v>88</v>
      </c>
      <c r="F320" s="44" t="s">
        <v>712</v>
      </c>
      <c r="G320" s="102" t="s">
        <v>185</v>
      </c>
      <c r="H320" s="102"/>
      <c r="I320" s="102">
        <v>5</v>
      </c>
      <c r="J320" s="102">
        <v>6031.25</v>
      </c>
      <c r="K320" s="102"/>
      <c r="L320" s="102">
        <v>5</v>
      </c>
      <c r="M320" s="102">
        <v>6031.25</v>
      </c>
      <c r="N320" s="6" t="s">
        <v>714</v>
      </c>
      <c r="O320" s="101">
        <v>45309</v>
      </c>
      <c r="P320" s="33" t="str">
        <f>HYPERLINK("https://my.zakupivli.pro/remote/dispatcher/state_purchase_view/48461006", "UA-2024-01-18-004549-a")</f>
        <v>UA-2024-01-18-004549-a</v>
      </c>
      <c r="Q320" s="102"/>
      <c r="R320" s="102">
        <v>5</v>
      </c>
      <c r="S320" s="119">
        <v>5250</v>
      </c>
      <c r="T320" s="101">
        <v>45330</v>
      </c>
      <c r="U320" s="102"/>
      <c r="V320" s="102"/>
    </row>
    <row r="321" spans="1:22" ht="78" x14ac:dyDescent="0.3">
      <c r="A321" s="102">
        <v>318</v>
      </c>
      <c r="B321" s="102" t="s">
        <v>21</v>
      </c>
      <c r="C321" s="41" t="s">
        <v>413</v>
      </c>
      <c r="D321" s="102"/>
      <c r="E321" s="102" t="s">
        <v>88</v>
      </c>
      <c r="F321" s="41" t="s">
        <v>715</v>
      </c>
      <c r="G321" s="102" t="s">
        <v>187</v>
      </c>
      <c r="H321" s="102">
        <v>470.47</v>
      </c>
      <c r="I321" s="102">
        <v>1</v>
      </c>
      <c r="J321" s="102">
        <v>470.47</v>
      </c>
      <c r="K321" s="102">
        <v>470.47</v>
      </c>
      <c r="L321" s="102">
        <v>1</v>
      </c>
      <c r="M321" s="102">
        <v>470.47</v>
      </c>
      <c r="N321" s="6" t="s">
        <v>716</v>
      </c>
      <c r="O321" s="101">
        <v>45309</v>
      </c>
      <c r="P321" s="33" t="str">
        <f>HYPERLINK("https://my.zakupivli.pro/remote/dispatcher/state_purchase_view/48469762", "UA-2024-01-18-008225-a")</f>
        <v>UA-2024-01-18-008225-a</v>
      </c>
      <c r="Q321" s="102">
        <v>467.92099999999999</v>
      </c>
      <c r="R321" s="102">
        <v>1</v>
      </c>
      <c r="S321" s="125">
        <v>467.92099999999999</v>
      </c>
      <c r="T321" s="101">
        <v>45324</v>
      </c>
      <c r="U321" s="102"/>
      <c r="V321" s="102"/>
    </row>
    <row r="322" spans="1:22" ht="78" x14ac:dyDescent="0.3">
      <c r="A322" s="102">
        <v>319</v>
      </c>
      <c r="B322" s="102" t="s">
        <v>21</v>
      </c>
      <c r="C322" s="44" t="s">
        <v>32</v>
      </c>
      <c r="D322" s="102"/>
      <c r="E322" s="102" t="s">
        <v>88</v>
      </c>
      <c r="F322" s="44" t="s">
        <v>717</v>
      </c>
      <c r="G322" s="102" t="s">
        <v>185</v>
      </c>
      <c r="H322" s="102"/>
      <c r="I322" s="102">
        <v>126</v>
      </c>
      <c r="J322" s="102">
        <v>102.54</v>
      </c>
      <c r="K322" s="102"/>
      <c r="L322" s="102">
        <v>126</v>
      </c>
      <c r="M322" s="102">
        <v>102.54</v>
      </c>
      <c r="N322" s="6" t="s">
        <v>718</v>
      </c>
      <c r="O322" s="101">
        <v>45309</v>
      </c>
      <c r="P322" s="33" t="str">
        <f>HYPERLINK("https://my.zakupivli.pro/remote/dispatcher/state_purchase_view/48479304", "UA-2024-01-18-012259-a")</f>
        <v>UA-2024-01-18-012259-a</v>
      </c>
      <c r="Q322" s="102">
        <v>101.925</v>
      </c>
      <c r="R322" s="102">
        <v>126</v>
      </c>
      <c r="S322" s="125">
        <v>101.925</v>
      </c>
      <c r="T322" s="101">
        <v>45324</v>
      </c>
      <c r="U322" s="102"/>
      <c r="V322" s="102"/>
    </row>
    <row r="323" spans="1:22" ht="93.6" x14ac:dyDescent="0.3">
      <c r="A323" s="102">
        <v>320</v>
      </c>
      <c r="B323" s="102" t="s">
        <v>21</v>
      </c>
      <c r="C323" s="44" t="s">
        <v>87</v>
      </c>
      <c r="D323" s="102"/>
      <c r="E323" s="102" t="s">
        <v>88</v>
      </c>
      <c r="F323" s="41" t="s">
        <v>719</v>
      </c>
      <c r="G323" s="102" t="s">
        <v>185</v>
      </c>
      <c r="H323" s="102">
        <v>8029.17</v>
      </c>
      <c r="I323" s="102">
        <v>1</v>
      </c>
      <c r="J323" s="102">
        <v>8029.17</v>
      </c>
      <c r="K323" s="102">
        <v>8029.17</v>
      </c>
      <c r="L323" s="102">
        <v>1</v>
      </c>
      <c r="M323" s="102">
        <v>8029.17</v>
      </c>
      <c r="N323" s="6" t="s">
        <v>720</v>
      </c>
      <c r="O323" s="101">
        <v>45309</v>
      </c>
      <c r="P323" s="33" t="str">
        <f>HYPERLINK("https://my.zakupivli.pro/remote/dispatcher/state_purchase_view/48484797", "UA-2024-01-18-014724-a")</f>
        <v>UA-2024-01-18-014724-a</v>
      </c>
      <c r="Q323" s="102">
        <v>7996.75</v>
      </c>
      <c r="R323" s="102">
        <v>1</v>
      </c>
      <c r="S323" s="125">
        <v>7996.75</v>
      </c>
      <c r="T323" s="101">
        <v>45328</v>
      </c>
      <c r="U323" s="102"/>
      <c r="V323" s="102"/>
    </row>
    <row r="324" spans="1:22" ht="78" x14ac:dyDescent="0.3">
      <c r="A324" s="102">
        <v>321</v>
      </c>
      <c r="B324" s="102" t="s">
        <v>21</v>
      </c>
      <c r="C324" s="44" t="s">
        <v>87</v>
      </c>
      <c r="D324" s="102"/>
      <c r="E324" s="102" t="s">
        <v>88</v>
      </c>
      <c r="F324" s="44" t="s">
        <v>721</v>
      </c>
      <c r="G324" s="102" t="s">
        <v>185</v>
      </c>
      <c r="H324" s="102"/>
      <c r="I324" s="102">
        <v>2</v>
      </c>
      <c r="J324" s="89">
        <v>2846</v>
      </c>
      <c r="K324" s="102"/>
      <c r="L324" s="102">
        <v>2</v>
      </c>
      <c r="M324" s="89">
        <v>2846</v>
      </c>
      <c r="N324" s="6" t="s">
        <v>722</v>
      </c>
      <c r="O324" s="101">
        <v>45309</v>
      </c>
      <c r="P324" s="33" t="str">
        <f>HYPERLINK("https://my.zakupivli.pro/remote/dispatcher/state_purchase_view/48486803", "UA-2024-01-18-015585-a")</f>
        <v>UA-2024-01-18-015585-a</v>
      </c>
      <c r="Q324" s="102"/>
      <c r="R324" s="102">
        <v>2</v>
      </c>
      <c r="S324" s="119">
        <v>2845</v>
      </c>
      <c r="T324" s="101">
        <v>45336</v>
      </c>
      <c r="U324" s="102"/>
      <c r="V324" s="102"/>
    </row>
    <row r="325" spans="1:22" ht="78" x14ac:dyDescent="0.3">
      <c r="A325" s="102">
        <v>322</v>
      </c>
      <c r="B325" s="102" t="s">
        <v>40</v>
      </c>
      <c r="C325" s="44" t="s">
        <v>41</v>
      </c>
      <c r="D325" s="102"/>
      <c r="E325" s="102" t="s">
        <v>88</v>
      </c>
      <c r="F325" s="44" t="s">
        <v>723</v>
      </c>
      <c r="G325" s="102" t="s">
        <v>184</v>
      </c>
      <c r="H325" s="146">
        <v>17947.93</v>
      </c>
      <c r="I325" s="102">
        <v>1</v>
      </c>
      <c r="J325" s="102">
        <v>17947.93</v>
      </c>
      <c r="K325" s="146">
        <v>17947.93</v>
      </c>
      <c r="L325" s="102">
        <v>1</v>
      </c>
      <c r="M325" s="102">
        <v>17947.93</v>
      </c>
      <c r="N325" s="6" t="s">
        <v>724</v>
      </c>
      <c r="O325" s="101">
        <v>45309</v>
      </c>
      <c r="P325" s="33" t="str">
        <f>HYPERLINK("https://my.zakupivli.pro/remote/dispatcher/state_purchase_view/48486096", "UA-2024-01-18-015306-a")</f>
        <v>UA-2024-01-18-015306-a</v>
      </c>
      <c r="Q325" s="146">
        <v>17719.197950000002</v>
      </c>
      <c r="R325" s="102">
        <v>1</v>
      </c>
      <c r="S325" s="102">
        <v>17719.197950000002</v>
      </c>
      <c r="T325" s="101">
        <v>45342</v>
      </c>
      <c r="U325" s="102"/>
      <c r="V325" s="102"/>
    </row>
    <row r="326" spans="1:22" ht="78" x14ac:dyDescent="0.3">
      <c r="A326" s="102">
        <v>323</v>
      </c>
      <c r="B326" s="102" t="s">
        <v>40</v>
      </c>
      <c r="C326" s="44" t="s">
        <v>41</v>
      </c>
      <c r="D326" s="102"/>
      <c r="E326" s="102" t="s">
        <v>88</v>
      </c>
      <c r="F326" s="44" t="s">
        <v>725</v>
      </c>
      <c r="G326" s="102" t="s">
        <v>184</v>
      </c>
      <c r="H326" s="146">
        <v>20715.400000000001</v>
      </c>
      <c r="I326" s="102">
        <v>1</v>
      </c>
      <c r="J326" s="102">
        <v>20715.400000000001</v>
      </c>
      <c r="K326" s="146">
        <v>20715.400000000001</v>
      </c>
      <c r="L326" s="102">
        <v>1</v>
      </c>
      <c r="M326" s="102">
        <v>20715.400000000001</v>
      </c>
      <c r="N326" s="6" t="s">
        <v>726</v>
      </c>
      <c r="O326" s="101">
        <v>45309</v>
      </c>
      <c r="P326" s="33" t="str">
        <f>HYPERLINK("https://my.zakupivli.pro/remote/dispatcher/state_purchase_view/48488090", "UA-2024-01-18-016148-a")</f>
        <v>UA-2024-01-18-016148-a</v>
      </c>
      <c r="Q326" s="102">
        <v>20706.904699999999</v>
      </c>
      <c r="R326" s="102">
        <v>1</v>
      </c>
      <c r="S326" s="146">
        <v>20706.904699999999</v>
      </c>
      <c r="T326" s="101">
        <v>45345</v>
      </c>
      <c r="U326" s="102"/>
      <c r="V326" s="102"/>
    </row>
    <row r="327" spans="1:22" ht="78" x14ac:dyDescent="0.3">
      <c r="A327" s="102">
        <v>324</v>
      </c>
      <c r="B327" s="102" t="s">
        <v>40</v>
      </c>
      <c r="C327" s="44" t="s">
        <v>41</v>
      </c>
      <c r="D327" s="102"/>
      <c r="E327" s="102" t="s">
        <v>88</v>
      </c>
      <c r="F327" s="44" t="s">
        <v>727</v>
      </c>
      <c r="G327" s="102" t="s">
        <v>184</v>
      </c>
      <c r="H327" s="146">
        <v>21357.49</v>
      </c>
      <c r="I327" s="102">
        <v>1</v>
      </c>
      <c r="J327" s="102">
        <v>21357.49</v>
      </c>
      <c r="K327" s="146">
        <v>21357.49</v>
      </c>
      <c r="L327" s="102">
        <v>1</v>
      </c>
      <c r="M327" s="102">
        <v>21357.49</v>
      </c>
      <c r="N327" s="6" t="s">
        <v>728</v>
      </c>
      <c r="O327" s="101">
        <v>45309</v>
      </c>
      <c r="P327" s="42" t="str">
        <f>HYPERLINK("https://my.zakupivli.pro/remote/dispatcher/state_purchase_view/48492237", "UA-2024-01-19-000255-a")</f>
        <v>UA-2024-01-19-000255-a</v>
      </c>
      <c r="Q327" s="102">
        <v>21344.765879999999</v>
      </c>
      <c r="R327" s="102">
        <v>1</v>
      </c>
      <c r="S327" s="146">
        <v>21344.765879999999</v>
      </c>
      <c r="T327" s="101">
        <v>45342</v>
      </c>
      <c r="U327" s="102"/>
      <c r="V327" s="102"/>
    </row>
    <row r="328" spans="1:22" ht="62.4" x14ac:dyDescent="0.3">
      <c r="A328" s="102">
        <v>325</v>
      </c>
      <c r="B328" s="103" t="s">
        <v>21</v>
      </c>
      <c r="C328" s="44" t="s">
        <v>733</v>
      </c>
      <c r="D328" s="102"/>
      <c r="E328" s="103" t="s">
        <v>75</v>
      </c>
      <c r="F328" s="44" t="s">
        <v>729</v>
      </c>
      <c r="G328" s="107" t="s">
        <v>186</v>
      </c>
      <c r="H328" s="102"/>
      <c r="I328" s="102">
        <v>5</v>
      </c>
      <c r="J328" s="102">
        <v>75.2</v>
      </c>
      <c r="K328" s="102"/>
      <c r="L328" s="102">
        <v>5</v>
      </c>
      <c r="M328" s="103">
        <v>75.2</v>
      </c>
      <c r="N328" s="6" t="s">
        <v>736</v>
      </c>
      <c r="O328" s="101">
        <v>45313</v>
      </c>
      <c r="P328" s="33" t="str">
        <f>HYPERLINK("https://my.zakupivli.pro/remote/dispatcher/state_purchase_view/48567018", "UA-2024-01-22-014388-a")</f>
        <v>UA-2024-01-22-014388-a</v>
      </c>
      <c r="Q328" s="102"/>
      <c r="R328" s="102">
        <v>5</v>
      </c>
      <c r="S328" s="103">
        <v>75.2</v>
      </c>
      <c r="T328" s="104">
        <v>45313</v>
      </c>
      <c r="U328" s="102"/>
      <c r="V328" s="103" t="s">
        <v>59</v>
      </c>
    </row>
    <row r="329" spans="1:22" ht="124.8" x14ac:dyDescent="0.3">
      <c r="A329" s="102">
        <v>326</v>
      </c>
      <c r="B329" s="103" t="s">
        <v>21</v>
      </c>
      <c r="C329" s="44" t="s">
        <v>36</v>
      </c>
      <c r="D329" s="102"/>
      <c r="E329" s="103" t="s">
        <v>75</v>
      </c>
      <c r="F329" s="44" t="s">
        <v>730</v>
      </c>
      <c r="G329" s="107" t="s">
        <v>185</v>
      </c>
      <c r="H329" s="102">
        <v>5.5250000000000004</v>
      </c>
      <c r="I329" s="102">
        <v>170</v>
      </c>
      <c r="J329" s="102">
        <v>939.25</v>
      </c>
      <c r="K329" s="103">
        <v>5.5250000000000004</v>
      </c>
      <c r="L329" s="103">
        <v>170</v>
      </c>
      <c r="M329" s="103">
        <v>939.25</v>
      </c>
      <c r="N329" s="6" t="s">
        <v>737</v>
      </c>
      <c r="O329" s="104">
        <v>45313</v>
      </c>
      <c r="P329" s="33" t="str">
        <f>HYPERLINK("https://my.zakupivli.pro/remote/dispatcher/state_purchase_view/48555711", "UA-2024-01-22-009491-a")</f>
        <v>UA-2024-01-22-009491-a</v>
      </c>
      <c r="Q329" s="103">
        <v>5.5250000000000004</v>
      </c>
      <c r="R329" s="103">
        <v>170</v>
      </c>
      <c r="S329" s="103">
        <v>939.25</v>
      </c>
      <c r="T329" s="104">
        <v>45313</v>
      </c>
      <c r="U329" s="102"/>
      <c r="V329" s="103" t="s">
        <v>59</v>
      </c>
    </row>
    <row r="330" spans="1:22" ht="62.4" x14ac:dyDescent="0.3">
      <c r="A330" s="103">
        <v>327</v>
      </c>
      <c r="B330" s="103" t="s">
        <v>21</v>
      </c>
      <c r="C330" s="44" t="s">
        <v>734</v>
      </c>
      <c r="D330" s="103"/>
      <c r="E330" s="103" t="s">
        <v>75</v>
      </c>
      <c r="F330" s="44" t="s">
        <v>731</v>
      </c>
      <c r="G330" s="103" t="s">
        <v>738</v>
      </c>
      <c r="H330" s="103">
        <v>0.39800000000000002</v>
      </c>
      <c r="I330" s="103">
        <v>168</v>
      </c>
      <c r="J330" s="103">
        <v>66.864000000000004</v>
      </c>
      <c r="K330" s="103">
        <v>0.39800000000000002</v>
      </c>
      <c r="L330" s="103">
        <v>168</v>
      </c>
      <c r="M330" s="103">
        <v>66.864000000000004</v>
      </c>
      <c r="N330" s="6" t="s">
        <v>739</v>
      </c>
      <c r="O330" s="104">
        <v>45313</v>
      </c>
      <c r="P330" s="33" t="str">
        <f>HYPERLINK("https://my.zakupivli.pro/remote/dispatcher/state_purchase_view/48552651", "UA-2024-01-22-008156-a")</f>
        <v>UA-2024-01-22-008156-a</v>
      </c>
      <c r="Q330" s="103">
        <v>0.39800000000000002</v>
      </c>
      <c r="R330" s="103">
        <v>168</v>
      </c>
      <c r="S330" s="103">
        <v>66.864000000000004</v>
      </c>
      <c r="T330" s="104">
        <v>45313</v>
      </c>
      <c r="U330" s="103"/>
      <c r="V330" s="103" t="s">
        <v>59</v>
      </c>
    </row>
    <row r="331" spans="1:22" ht="62.4" x14ac:dyDescent="0.3">
      <c r="A331" s="103">
        <v>328</v>
      </c>
      <c r="B331" s="103" t="s">
        <v>21</v>
      </c>
      <c r="C331" s="44" t="s">
        <v>735</v>
      </c>
      <c r="D331" s="103"/>
      <c r="E331" s="103" t="s">
        <v>75</v>
      </c>
      <c r="F331" s="44" t="s">
        <v>732</v>
      </c>
      <c r="G331" s="103" t="s">
        <v>185</v>
      </c>
      <c r="H331" s="103">
        <v>9.1739999999999995</v>
      </c>
      <c r="I331" s="103">
        <v>8</v>
      </c>
      <c r="J331" s="103">
        <v>73.391999999999996</v>
      </c>
      <c r="K331" s="103">
        <v>9.1739999999999995</v>
      </c>
      <c r="L331" s="103">
        <v>8</v>
      </c>
      <c r="M331" s="103">
        <v>73.391999999999996</v>
      </c>
      <c r="N331" s="6" t="s">
        <v>740</v>
      </c>
      <c r="O331" s="104">
        <v>45313</v>
      </c>
      <c r="P331" s="33" t="str">
        <f>HYPERLINK("https://my.zakupivli.pro/remote/dispatcher/state_purchase_view/48552028", "UA-2024-01-22-007945-a")</f>
        <v>UA-2024-01-22-007945-a</v>
      </c>
      <c r="Q331" s="103">
        <v>9.1739999999999995</v>
      </c>
      <c r="R331" s="103">
        <v>8</v>
      </c>
      <c r="S331" s="103">
        <v>73.391999999999996</v>
      </c>
      <c r="T331" s="104">
        <v>45313</v>
      </c>
      <c r="U331" s="103"/>
      <c r="V331" s="103" t="s">
        <v>59</v>
      </c>
    </row>
    <row r="332" spans="1:22" ht="62.4" x14ac:dyDescent="0.3">
      <c r="A332" s="105">
        <v>329</v>
      </c>
      <c r="B332" s="105" t="s">
        <v>40</v>
      </c>
      <c r="C332" s="41" t="s">
        <v>41</v>
      </c>
      <c r="D332" s="105"/>
      <c r="E332" s="105" t="s">
        <v>88</v>
      </c>
      <c r="F332" s="44" t="s">
        <v>741</v>
      </c>
      <c r="G332" s="105" t="s">
        <v>184</v>
      </c>
      <c r="H332" s="105">
        <v>408.37324000000001</v>
      </c>
      <c r="I332" s="105">
        <v>1</v>
      </c>
      <c r="J332" s="105">
        <v>408.37324000000001</v>
      </c>
      <c r="K332" s="105">
        <v>408.37324000000001</v>
      </c>
      <c r="L332" s="105">
        <v>1</v>
      </c>
      <c r="M332" s="105">
        <v>408.37324000000001</v>
      </c>
      <c r="N332" s="6" t="s">
        <v>742</v>
      </c>
      <c r="O332" s="106">
        <v>45314</v>
      </c>
      <c r="P332" s="42" t="str">
        <f>HYPERLINK("https://my.zakupivli.pro/remote/dispatcher/state_purchase_view/48603959", "UA-2024-01-23-013208-a")</f>
        <v>UA-2024-01-23-013208-a</v>
      </c>
      <c r="Q332" s="105">
        <v>408.37324000000001</v>
      </c>
      <c r="R332" s="105">
        <v>1</v>
      </c>
      <c r="S332" s="105">
        <v>408.37324000000001</v>
      </c>
      <c r="T332" s="106">
        <v>45314</v>
      </c>
      <c r="U332" s="105"/>
      <c r="V332" s="105" t="s">
        <v>59</v>
      </c>
    </row>
    <row r="333" spans="1:22" ht="31.2" x14ac:dyDescent="0.3">
      <c r="A333" s="105">
        <v>330</v>
      </c>
      <c r="B333" s="105" t="s">
        <v>21</v>
      </c>
      <c r="C333" s="44" t="s">
        <v>36</v>
      </c>
      <c r="D333" s="112" t="s">
        <v>58</v>
      </c>
      <c r="E333" s="105" t="s">
        <v>75</v>
      </c>
      <c r="F333" s="44" t="s">
        <v>743</v>
      </c>
      <c r="G333" s="105" t="s">
        <v>186</v>
      </c>
      <c r="I333" s="105">
        <v>134</v>
      </c>
      <c r="J333" s="105">
        <v>11125</v>
      </c>
      <c r="K333" s="105"/>
      <c r="L333" s="105">
        <v>134</v>
      </c>
      <c r="M333" s="105">
        <v>11125</v>
      </c>
      <c r="N333" s="6" t="s">
        <v>748</v>
      </c>
      <c r="O333" s="106">
        <v>45314</v>
      </c>
      <c r="P333" s="33" t="str">
        <f>HYPERLINK("https://my.zakupivli.pro/remote/dispatcher/state_purchase_view/48579121", "UA-2024-01-23-002308-a")</f>
        <v>UA-2024-01-23-002308-a</v>
      </c>
      <c r="Q333" s="105"/>
      <c r="R333" s="105">
        <v>134</v>
      </c>
      <c r="S333" s="105">
        <v>10885.87895</v>
      </c>
      <c r="T333" s="106">
        <v>45343</v>
      </c>
      <c r="U333" s="105"/>
      <c r="V333" s="105"/>
    </row>
    <row r="334" spans="1:22" ht="78" x14ac:dyDescent="0.3">
      <c r="A334" s="105">
        <v>331</v>
      </c>
      <c r="B334" s="105" t="s">
        <v>21</v>
      </c>
      <c r="C334" s="44" t="s">
        <v>36</v>
      </c>
      <c r="D334" s="112" t="s">
        <v>58</v>
      </c>
      <c r="E334" s="105" t="s">
        <v>75</v>
      </c>
      <c r="F334" s="44" t="s">
        <v>744</v>
      </c>
      <c r="G334" s="105" t="s">
        <v>186</v>
      </c>
      <c r="H334" s="105"/>
      <c r="I334" s="105">
        <v>9</v>
      </c>
      <c r="J334" s="105">
        <v>1481.752</v>
      </c>
      <c r="K334" s="105"/>
      <c r="L334" s="105">
        <v>9</v>
      </c>
      <c r="M334" s="105">
        <v>1481.752</v>
      </c>
      <c r="N334" s="6" t="s">
        <v>748</v>
      </c>
      <c r="O334" s="106">
        <v>45314</v>
      </c>
      <c r="P334" s="33" t="str">
        <f>HYPERLINK("https://my.zakupivli.pro/remote/dispatcher/state_purchase_view/48579121", "UA-2024-01-23-002308-a")</f>
        <v>UA-2024-01-23-002308-a</v>
      </c>
      <c r="Q334" s="105"/>
      <c r="R334" s="105"/>
      <c r="S334" s="105"/>
      <c r="T334" s="106"/>
      <c r="U334" s="146" t="s">
        <v>93</v>
      </c>
      <c r="V334" s="105"/>
    </row>
    <row r="335" spans="1:22" ht="31.2" x14ac:dyDescent="0.3">
      <c r="A335" s="105">
        <v>332</v>
      </c>
      <c r="B335" s="105" t="s">
        <v>21</v>
      </c>
      <c r="C335" s="44" t="s">
        <v>36</v>
      </c>
      <c r="D335" s="112" t="s">
        <v>58</v>
      </c>
      <c r="E335" s="105" t="s">
        <v>373</v>
      </c>
      <c r="F335" s="44" t="s">
        <v>745</v>
      </c>
      <c r="G335" s="105" t="s">
        <v>186</v>
      </c>
      <c r="H335" s="105"/>
      <c r="I335" s="105">
        <v>2</v>
      </c>
      <c r="J335" s="105">
        <v>14787.21666</v>
      </c>
      <c r="K335" s="105"/>
      <c r="L335" s="105">
        <v>2</v>
      </c>
      <c r="M335" s="105">
        <v>14787.21666</v>
      </c>
      <c r="N335" s="6" t="s">
        <v>748</v>
      </c>
      <c r="O335" s="106">
        <v>45314</v>
      </c>
      <c r="P335" s="33" t="str">
        <f>HYPERLINK("https://my.zakupivli.pro/remote/dispatcher/state_purchase_view/48579121", "UA-2024-01-23-002308-a")</f>
        <v>UA-2024-01-23-002308-a</v>
      </c>
      <c r="Q335" s="105"/>
      <c r="R335" s="105">
        <v>2</v>
      </c>
      <c r="S335" s="105">
        <v>10904.4</v>
      </c>
      <c r="T335" s="106">
        <v>45343</v>
      </c>
      <c r="U335" s="105"/>
      <c r="V335" s="105"/>
    </row>
    <row r="336" spans="1:22" ht="31.2" x14ac:dyDescent="0.3">
      <c r="A336" s="105">
        <v>333</v>
      </c>
      <c r="B336" s="105" t="s">
        <v>21</v>
      </c>
      <c r="C336" s="44" t="s">
        <v>36</v>
      </c>
      <c r="D336" s="112" t="s">
        <v>58</v>
      </c>
      <c r="E336" s="105" t="s">
        <v>75</v>
      </c>
      <c r="F336" s="44" t="s">
        <v>746</v>
      </c>
      <c r="G336" s="105" t="s">
        <v>186</v>
      </c>
      <c r="H336" s="105"/>
      <c r="I336" s="105">
        <v>2</v>
      </c>
      <c r="J336" s="105">
        <v>267.56599999999997</v>
      </c>
      <c r="K336" s="105"/>
      <c r="L336" s="105">
        <v>2</v>
      </c>
      <c r="M336" s="105">
        <v>267.56599999999997</v>
      </c>
      <c r="N336" s="6" t="s">
        <v>748</v>
      </c>
      <c r="O336" s="106">
        <v>45314</v>
      </c>
      <c r="P336" s="33" t="str">
        <f>HYPERLINK("https://my.zakupivli.pro/remote/dispatcher/state_purchase_view/48579121", "UA-2024-01-23-002308-a")</f>
        <v>UA-2024-01-23-002308-a</v>
      </c>
      <c r="Q336" s="105"/>
      <c r="R336" s="105">
        <v>2</v>
      </c>
      <c r="S336" s="105">
        <v>243.166</v>
      </c>
      <c r="T336" s="106">
        <v>45343</v>
      </c>
      <c r="U336" s="105"/>
      <c r="V336" s="105"/>
    </row>
    <row r="337" spans="1:22" ht="31.2" x14ac:dyDescent="0.3">
      <c r="A337" s="105">
        <v>334</v>
      </c>
      <c r="B337" s="105" t="s">
        <v>21</v>
      </c>
      <c r="C337" s="44" t="s">
        <v>36</v>
      </c>
      <c r="D337" s="112" t="s">
        <v>58</v>
      </c>
      <c r="E337" s="105" t="s">
        <v>75</v>
      </c>
      <c r="F337" s="44" t="s">
        <v>747</v>
      </c>
      <c r="G337" s="105" t="s">
        <v>186</v>
      </c>
      <c r="H337" s="105"/>
      <c r="I337" s="105">
        <v>3</v>
      </c>
      <c r="J337" s="105">
        <v>3913.74</v>
      </c>
      <c r="K337" s="105"/>
      <c r="L337" s="105">
        <v>3</v>
      </c>
      <c r="M337" s="105">
        <v>3913.74</v>
      </c>
      <c r="N337" s="6" t="s">
        <v>748</v>
      </c>
      <c r="O337" s="106">
        <v>45314</v>
      </c>
      <c r="P337" s="33" t="str">
        <f>HYPERLINK("https://my.zakupivli.pro/remote/dispatcher/state_purchase_view/48579121", "UA-2024-01-23-002308-a")</f>
        <v>UA-2024-01-23-002308-a</v>
      </c>
      <c r="Q337" s="105"/>
      <c r="R337" s="105">
        <v>3</v>
      </c>
      <c r="S337" s="105">
        <v>3663.4537999999998</v>
      </c>
      <c r="T337" s="106">
        <v>45343</v>
      </c>
      <c r="U337" s="105"/>
      <c r="V337" s="105"/>
    </row>
    <row r="338" spans="1:22" ht="62.4" x14ac:dyDescent="0.3">
      <c r="A338" s="108">
        <v>335</v>
      </c>
      <c r="B338" s="108" t="s">
        <v>40</v>
      </c>
      <c r="C338" s="44" t="s">
        <v>73</v>
      </c>
      <c r="D338" s="108"/>
      <c r="E338" s="108" t="s">
        <v>75</v>
      </c>
      <c r="F338" s="44" t="s">
        <v>749</v>
      </c>
      <c r="G338" s="108" t="s">
        <v>184</v>
      </c>
      <c r="H338" s="89">
        <v>315</v>
      </c>
      <c r="I338" s="108">
        <v>1</v>
      </c>
      <c r="J338" s="89">
        <v>315</v>
      </c>
      <c r="K338" s="89">
        <v>315</v>
      </c>
      <c r="L338" s="108">
        <v>1</v>
      </c>
      <c r="M338" s="89">
        <v>315</v>
      </c>
      <c r="N338" s="6" t="s">
        <v>750</v>
      </c>
      <c r="O338" s="109">
        <v>45315</v>
      </c>
      <c r="P338" s="33" t="str">
        <f>HYPERLINK("https://my.zakupivli.pro/remote/dispatcher/state_purchase_view/48628967", "UA-2024-01-24-005968-a")</f>
        <v>UA-2024-01-24-005968-a</v>
      </c>
      <c r="Q338" s="89">
        <v>315</v>
      </c>
      <c r="R338" s="108">
        <v>1</v>
      </c>
      <c r="S338" s="89">
        <v>315</v>
      </c>
      <c r="T338" s="109">
        <v>45315</v>
      </c>
      <c r="U338" s="108"/>
      <c r="V338" s="108" t="s">
        <v>59</v>
      </c>
    </row>
    <row r="339" spans="1:22" ht="43.2" x14ac:dyDescent="0.3">
      <c r="A339" s="110">
        <v>336</v>
      </c>
      <c r="B339" s="110" t="s">
        <v>21</v>
      </c>
      <c r="C339" s="44" t="s">
        <v>30</v>
      </c>
      <c r="D339" s="112" t="s">
        <v>58</v>
      </c>
      <c r="E339" s="110" t="s">
        <v>75</v>
      </c>
      <c r="F339" s="44" t="s">
        <v>751</v>
      </c>
      <c r="G339" s="110" t="s">
        <v>186</v>
      </c>
      <c r="H339" s="110"/>
      <c r="I339" s="110">
        <v>106</v>
      </c>
      <c r="J339" s="110">
        <v>5583.3329999999996</v>
      </c>
      <c r="K339" s="110"/>
      <c r="L339" s="110">
        <v>106</v>
      </c>
      <c r="M339" s="110">
        <v>5583.3329999999996</v>
      </c>
      <c r="N339" s="6" t="s">
        <v>754</v>
      </c>
      <c r="O339" s="111">
        <v>45315</v>
      </c>
      <c r="P339" s="33" t="str">
        <f>HYPERLINK("https://my.zakupivli.pro/remote/dispatcher/state_purchase_view/48638355", "UA-2024-01-24-010255-a")</f>
        <v>UA-2024-01-24-010255-a</v>
      </c>
      <c r="Q339" s="110"/>
      <c r="R339" s="110">
        <v>106</v>
      </c>
      <c r="S339" s="110">
        <v>5539.33025</v>
      </c>
      <c r="T339" s="111">
        <v>45336</v>
      </c>
      <c r="U339" s="110"/>
      <c r="V339" s="110"/>
    </row>
    <row r="340" spans="1:22" ht="43.2" x14ac:dyDescent="0.3">
      <c r="A340" s="110">
        <v>337</v>
      </c>
      <c r="B340" s="110" t="s">
        <v>21</v>
      </c>
      <c r="C340" s="44" t="s">
        <v>30</v>
      </c>
      <c r="D340" s="112" t="s">
        <v>58</v>
      </c>
      <c r="E340" s="110" t="s">
        <v>75</v>
      </c>
      <c r="F340" s="44" t="s">
        <v>752</v>
      </c>
      <c r="G340" s="110" t="s">
        <v>186</v>
      </c>
      <c r="H340" s="110"/>
      <c r="I340" s="110">
        <v>92</v>
      </c>
      <c r="J340" s="110">
        <v>779.19165799999996</v>
      </c>
      <c r="K340" s="110"/>
      <c r="L340" s="110">
        <v>92</v>
      </c>
      <c r="M340" s="110">
        <v>779.19165799999996</v>
      </c>
      <c r="N340" s="6" t="s">
        <v>755</v>
      </c>
      <c r="O340" s="111">
        <v>45315</v>
      </c>
      <c r="P340" s="33" t="str">
        <f>HYPERLINK("https://my.zakupivli.pro/remote/dispatcher/state_purchase_view/48638355", "UA-2024-01-24-010255-a")</f>
        <v>UA-2024-01-24-010255-a</v>
      </c>
      <c r="Q340" s="110"/>
      <c r="R340" s="110">
        <v>92</v>
      </c>
      <c r="S340" s="110">
        <v>757.47540000000004</v>
      </c>
      <c r="T340" s="111">
        <v>45329</v>
      </c>
      <c r="U340" s="110"/>
      <c r="V340" s="110"/>
    </row>
    <row r="341" spans="1:22" ht="43.2" x14ac:dyDescent="0.3">
      <c r="A341" s="110">
        <v>338</v>
      </c>
      <c r="B341" s="110" t="s">
        <v>21</v>
      </c>
      <c r="C341" s="44" t="s">
        <v>30</v>
      </c>
      <c r="D341" s="112" t="s">
        <v>58</v>
      </c>
      <c r="E341" s="110" t="s">
        <v>75</v>
      </c>
      <c r="F341" s="44" t="s">
        <v>753</v>
      </c>
      <c r="G341" s="110" t="s">
        <v>186</v>
      </c>
      <c r="H341" s="110"/>
      <c r="I341" s="110">
        <v>38</v>
      </c>
      <c r="J341" s="110">
        <v>4833.3329999999996</v>
      </c>
      <c r="K341" s="110"/>
      <c r="L341" s="110">
        <v>38</v>
      </c>
      <c r="M341" s="110">
        <v>4833.3329999999996</v>
      </c>
      <c r="N341" s="6" t="s">
        <v>756</v>
      </c>
      <c r="O341" s="111">
        <v>45315</v>
      </c>
      <c r="P341" s="33" t="str">
        <f>HYPERLINK("https://my.zakupivli.pro/remote/dispatcher/state_purchase_view/48638355", "UA-2024-01-24-010255-a")</f>
        <v>UA-2024-01-24-010255-a</v>
      </c>
      <c r="Q341" s="110"/>
      <c r="R341" s="110">
        <v>38</v>
      </c>
      <c r="S341" s="110">
        <v>4636.3738999999996</v>
      </c>
      <c r="T341" s="111">
        <v>45336</v>
      </c>
      <c r="U341" s="110"/>
      <c r="V341" s="110"/>
    </row>
    <row r="342" spans="1:22" ht="43.2" x14ac:dyDescent="0.3">
      <c r="A342" s="110">
        <v>339</v>
      </c>
      <c r="B342" s="110" t="s">
        <v>21</v>
      </c>
      <c r="C342" s="44" t="s">
        <v>30</v>
      </c>
      <c r="D342" s="112" t="s">
        <v>58</v>
      </c>
      <c r="E342" s="110" t="s">
        <v>75</v>
      </c>
      <c r="F342" s="44" t="s">
        <v>757</v>
      </c>
      <c r="G342" s="110" t="s">
        <v>186</v>
      </c>
      <c r="H342" s="110"/>
      <c r="I342" s="110">
        <v>24</v>
      </c>
      <c r="J342" s="89">
        <v>1300</v>
      </c>
      <c r="K342" s="110"/>
      <c r="L342" s="110">
        <v>24</v>
      </c>
      <c r="M342" s="89">
        <v>1300</v>
      </c>
      <c r="N342" s="6" t="s">
        <v>758</v>
      </c>
      <c r="O342" s="111">
        <v>45315</v>
      </c>
      <c r="P342" s="33" t="str">
        <f>HYPERLINK("https://my.zakupivli.pro/remote/dispatcher/state_purchase_view/48637783", "UA-2024-01-24-009975-a")</f>
        <v>UA-2024-01-24-009975-a</v>
      </c>
      <c r="Q342" s="110"/>
      <c r="R342" s="110">
        <v>24</v>
      </c>
      <c r="S342" s="119">
        <v>776</v>
      </c>
      <c r="T342" s="111">
        <v>45336</v>
      </c>
      <c r="U342" s="110"/>
      <c r="V342" s="110"/>
    </row>
    <row r="343" spans="1:22" ht="46.8" x14ac:dyDescent="0.3">
      <c r="A343" s="113">
        <v>340</v>
      </c>
      <c r="B343" s="113" t="s">
        <v>21</v>
      </c>
      <c r="C343" s="41" t="s">
        <v>761</v>
      </c>
      <c r="D343" s="113" t="s">
        <v>58</v>
      </c>
      <c r="E343" s="113" t="s">
        <v>759</v>
      </c>
      <c r="F343" s="41" t="s">
        <v>760</v>
      </c>
      <c r="G343" s="113" t="s">
        <v>187</v>
      </c>
      <c r="H343" s="113"/>
      <c r="I343" s="113">
        <v>979</v>
      </c>
      <c r="J343" s="113">
        <v>3917.2</v>
      </c>
      <c r="K343" s="113"/>
      <c r="L343" s="113">
        <v>979</v>
      </c>
      <c r="M343" s="113">
        <v>3917.2</v>
      </c>
      <c r="N343" s="6" t="s">
        <v>762</v>
      </c>
      <c r="O343" s="114">
        <v>45316</v>
      </c>
      <c r="P343" s="42" t="str">
        <f>HYPERLINK("https://my.zakupivli.pro/remote/dispatcher/state_purchase_view/48664390", "UA-2024-01-25-003776-a")</f>
        <v>UA-2024-01-25-003776-a</v>
      </c>
      <c r="Q343" s="113"/>
      <c r="R343" s="113">
        <v>979</v>
      </c>
      <c r="S343" s="113">
        <v>2120.3854999999999</v>
      </c>
      <c r="T343" s="114">
        <v>45336</v>
      </c>
      <c r="U343" s="113"/>
      <c r="V343" s="113"/>
    </row>
    <row r="344" spans="1:22" ht="93.6" x14ac:dyDescent="0.3">
      <c r="A344" s="113">
        <v>341</v>
      </c>
      <c r="B344" s="113" t="s">
        <v>40</v>
      </c>
      <c r="C344" s="44" t="s">
        <v>41</v>
      </c>
      <c r="D344" s="113"/>
      <c r="E344" s="113" t="s">
        <v>88</v>
      </c>
      <c r="F344" s="44" t="s">
        <v>763</v>
      </c>
      <c r="G344" s="113" t="s">
        <v>184</v>
      </c>
      <c r="H344" s="113">
        <v>310.57474999999999</v>
      </c>
      <c r="I344" s="113">
        <v>1</v>
      </c>
      <c r="J344" s="113">
        <v>310.57474999999999</v>
      </c>
      <c r="K344" s="113">
        <v>310.57474999999999</v>
      </c>
      <c r="L344" s="113">
        <v>1</v>
      </c>
      <c r="M344" s="113">
        <v>310.57474999999999</v>
      </c>
      <c r="N344" s="6" t="s">
        <v>770</v>
      </c>
      <c r="O344" s="114">
        <v>45316</v>
      </c>
      <c r="P344" s="33" t="str">
        <f>HYPERLINK("https://my.zakupivli.pro/remote/dispatcher/state_purchase_view/48688184", "UA-2024-01-25-014181-a")</f>
        <v>UA-2024-01-25-014181-a</v>
      </c>
      <c r="Q344" s="113">
        <v>310.57474999999999</v>
      </c>
      <c r="R344" s="113">
        <v>1</v>
      </c>
      <c r="S344" s="113">
        <v>310.57474999999999</v>
      </c>
      <c r="T344" s="114">
        <v>45316</v>
      </c>
      <c r="U344" s="113"/>
      <c r="V344" s="113" t="s">
        <v>59</v>
      </c>
    </row>
    <row r="345" spans="1:22" ht="93.6" x14ac:dyDescent="0.3">
      <c r="A345" s="113">
        <v>342</v>
      </c>
      <c r="B345" s="113" t="s">
        <v>40</v>
      </c>
      <c r="C345" s="44" t="s">
        <v>41</v>
      </c>
      <c r="D345" s="113"/>
      <c r="E345" s="113" t="s">
        <v>88</v>
      </c>
      <c r="F345" s="44" t="s">
        <v>764</v>
      </c>
      <c r="G345" s="113" t="s">
        <v>184</v>
      </c>
      <c r="H345" s="113">
        <v>234.87541999999999</v>
      </c>
      <c r="I345" s="113">
        <v>1</v>
      </c>
      <c r="J345" s="113">
        <v>234.87541999999999</v>
      </c>
      <c r="K345" s="113">
        <v>234.87541999999999</v>
      </c>
      <c r="L345" s="113">
        <v>1</v>
      </c>
      <c r="M345" s="113">
        <v>234.87541999999999</v>
      </c>
      <c r="N345" s="6" t="s">
        <v>771</v>
      </c>
      <c r="O345" s="114">
        <v>45316</v>
      </c>
      <c r="P345" s="33" t="str">
        <f>HYPERLINK("https://my.zakupivli.pro/remote/dispatcher/state_purchase_view/48687397", "UA-2024-01-25-013828-a")</f>
        <v>UA-2024-01-25-013828-a</v>
      </c>
      <c r="Q345" s="113">
        <v>234.87541999999999</v>
      </c>
      <c r="R345" s="113">
        <v>1</v>
      </c>
      <c r="S345" s="113">
        <v>234.87541999999999</v>
      </c>
      <c r="T345" s="114">
        <v>45316</v>
      </c>
      <c r="U345" s="113"/>
      <c r="V345" s="113" t="s">
        <v>59</v>
      </c>
    </row>
    <row r="346" spans="1:22" ht="62.4" x14ac:dyDescent="0.3">
      <c r="A346" s="113">
        <v>343</v>
      </c>
      <c r="B346" s="113" t="s">
        <v>40</v>
      </c>
      <c r="C346" s="44" t="s">
        <v>41</v>
      </c>
      <c r="D346" s="113"/>
      <c r="E346" s="113" t="s">
        <v>88</v>
      </c>
      <c r="F346" s="44" t="s">
        <v>765</v>
      </c>
      <c r="G346" s="113" t="s">
        <v>184</v>
      </c>
      <c r="H346" s="113">
        <v>740.63445000000002</v>
      </c>
      <c r="I346" s="113">
        <v>1</v>
      </c>
      <c r="J346" s="113">
        <v>740.63445000000002</v>
      </c>
      <c r="K346" s="113">
        <v>740.63445000000002</v>
      </c>
      <c r="L346" s="113">
        <v>1</v>
      </c>
      <c r="M346" s="113">
        <v>740.63445000000002</v>
      </c>
      <c r="N346" s="6" t="s">
        <v>772</v>
      </c>
      <c r="O346" s="114">
        <v>45316</v>
      </c>
      <c r="P346" s="33" t="str">
        <f>HYPERLINK("https://my.zakupivli.pro/remote/dispatcher/state_purchase_view/48686800", "UA-2024-01-25-013604-a")</f>
        <v>UA-2024-01-25-013604-a</v>
      </c>
      <c r="Q346" s="113">
        <v>740.63445000000002</v>
      </c>
      <c r="R346" s="113">
        <v>1</v>
      </c>
      <c r="S346" s="113">
        <v>740.63445000000002</v>
      </c>
      <c r="T346" s="114">
        <v>45316</v>
      </c>
      <c r="U346" s="113"/>
      <c r="V346" s="113" t="s">
        <v>59</v>
      </c>
    </row>
    <row r="347" spans="1:22" ht="93.6" x14ac:dyDescent="0.3">
      <c r="A347" s="113">
        <v>344</v>
      </c>
      <c r="B347" s="113" t="s">
        <v>40</v>
      </c>
      <c r="C347" s="44" t="s">
        <v>41</v>
      </c>
      <c r="D347" s="113"/>
      <c r="E347" s="113" t="s">
        <v>88</v>
      </c>
      <c r="F347" s="44" t="s">
        <v>766</v>
      </c>
      <c r="G347" s="113" t="s">
        <v>184</v>
      </c>
      <c r="H347" s="113">
        <v>107.49384000000001</v>
      </c>
      <c r="I347" s="113">
        <v>1</v>
      </c>
      <c r="J347" s="113">
        <v>107.49384000000001</v>
      </c>
      <c r="K347" s="113">
        <v>107.49384000000001</v>
      </c>
      <c r="L347" s="113">
        <v>1</v>
      </c>
      <c r="M347" s="113">
        <v>107.49384000000001</v>
      </c>
      <c r="N347" s="6" t="s">
        <v>773</v>
      </c>
      <c r="O347" s="114">
        <v>45316</v>
      </c>
      <c r="P347" s="33" t="str">
        <f>HYPERLINK("https://my.zakupivli.pro/remote/dispatcher/state_purchase_view/48686589", "UA-2024-01-25-013506-a")</f>
        <v>UA-2024-01-25-013506-a</v>
      </c>
      <c r="Q347" s="113">
        <v>107.49384000000001</v>
      </c>
      <c r="R347" s="113">
        <v>1</v>
      </c>
      <c r="S347" s="113">
        <v>107.49384000000001</v>
      </c>
      <c r="T347" s="114">
        <v>45316</v>
      </c>
      <c r="U347" s="113"/>
      <c r="V347" s="113" t="s">
        <v>59</v>
      </c>
    </row>
    <row r="348" spans="1:22" ht="62.4" x14ac:dyDescent="0.3">
      <c r="A348" s="113">
        <v>345</v>
      </c>
      <c r="B348" s="113" t="s">
        <v>40</v>
      </c>
      <c r="C348" s="44" t="s">
        <v>41</v>
      </c>
      <c r="D348" s="113"/>
      <c r="E348" s="113" t="s">
        <v>88</v>
      </c>
      <c r="F348" s="44" t="s">
        <v>767</v>
      </c>
      <c r="G348" s="113" t="s">
        <v>184</v>
      </c>
      <c r="H348" s="113">
        <v>282.64605</v>
      </c>
      <c r="I348" s="113">
        <v>1</v>
      </c>
      <c r="J348" s="113">
        <v>282.64605</v>
      </c>
      <c r="K348" s="113">
        <v>282.64605</v>
      </c>
      <c r="L348" s="113">
        <v>1</v>
      </c>
      <c r="M348" s="113">
        <v>282.64605</v>
      </c>
      <c r="N348" s="6" t="s">
        <v>774</v>
      </c>
      <c r="O348" s="114">
        <v>45316</v>
      </c>
      <c r="P348" s="33" t="str">
        <f>HYPERLINK("https://my.zakupivli.pro/remote/dispatcher/state_purchase_view/48686004", "UA-2024-01-25-013302-a")</f>
        <v>UA-2024-01-25-013302-a</v>
      </c>
      <c r="Q348" s="113">
        <v>282.64605</v>
      </c>
      <c r="R348" s="113">
        <v>1</v>
      </c>
      <c r="S348" s="113">
        <v>282.64605</v>
      </c>
      <c r="T348" s="114">
        <v>45316</v>
      </c>
      <c r="U348" s="113"/>
      <c r="V348" s="113" t="s">
        <v>59</v>
      </c>
    </row>
    <row r="349" spans="1:22" ht="93.6" x14ac:dyDescent="0.3">
      <c r="A349" s="113">
        <v>346</v>
      </c>
      <c r="B349" s="113" t="s">
        <v>40</v>
      </c>
      <c r="C349" s="44" t="s">
        <v>41</v>
      </c>
      <c r="D349" s="113"/>
      <c r="E349" s="113" t="s">
        <v>88</v>
      </c>
      <c r="F349" s="44" t="s">
        <v>768</v>
      </c>
      <c r="G349" s="113" t="s">
        <v>184</v>
      </c>
      <c r="H349" s="113">
        <v>923.80998</v>
      </c>
      <c r="I349" s="113">
        <v>1</v>
      </c>
      <c r="J349" s="113">
        <v>923.80998</v>
      </c>
      <c r="K349" s="113">
        <v>923.80998</v>
      </c>
      <c r="L349" s="113">
        <v>1</v>
      </c>
      <c r="M349" s="113">
        <v>923.80998</v>
      </c>
      <c r="N349" s="6" t="s">
        <v>775</v>
      </c>
      <c r="O349" s="114">
        <v>45316</v>
      </c>
      <c r="P349" s="33" t="str">
        <f>HYPERLINK("https://my.zakupivli.pro/remote/dispatcher/state_purchase_view/48685781", "UA-2024-01-25-013186-a")</f>
        <v>UA-2024-01-25-013186-a</v>
      </c>
      <c r="Q349" s="113">
        <v>923.80998</v>
      </c>
      <c r="R349" s="113">
        <v>1</v>
      </c>
      <c r="S349" s="113">
        <v>923.80998</v>
      </c>
      <c r="T349" s="114">
        <v>45316</v>
      </c>
      <c r="U349" s="113"/>
      <c r="V349" s="113" t="s">
        <v>59</v>
      </c>
    </row>
    <row r="350" spans="1:22" ht="62.4" x14ac:dyDescent="0.3">
      <c r="A350" s="113">
        <v>347</v>
      </c>
      <c r="B350" s="113" t="s">
        <v>40</v>
      </c>
      <c r="C350" s="44" t="s">
        <v>41</v>
      </c>
      <c r="D350" s="113"/>
      <c r="E350" s="113" t="s">
        <v>88</v>
      </c>
      <c r="F350" s="44" t="s">
        <v>769</v>
      </c>
      <c r="G350" s="113" t="s">
        <v>184</v>
      </c>
      <c r="H350" s="113">
        <v>179.18911</v>
      </c>
      <c r="I350" s="113">
        <v>1</v>
      </c>
      <c r="J350" s="113">
        <v>179.18911</v>
      </c>
      <c r="K350" s="113">
        <v>179.18911</v>
      </c>
      <c r="L350" s="113">
        <v>1</v>
      </c>
      <c r="M350" s="113">
        <v>179.18911</v>
      </c>
      <c r="N350" s="6" t="s">
        <v>776</v>
      </c>
      <c r="O350" s="114">
        <v>45316</v>
      </c>
      <c r="P350" s="33" t="str">
        <f>HYPERLINK("https://my.zakupivli.pro/remote/dispatcher/state_purchase_view/48685400", "UA-2024-01-25-012929-a")</f>
        <v>UA-2024-01-25-012929-a</v>
      </c>
      <c r="Q350" s="113">
        <v>179.18911</v>
      </c>
      <c r="R350" s="113">
        <v>1</v>
      </c>
      <c r="S350" s="113">
        <v>179.18911</v>
      </c>
      <c r="T350" s="114">
        <v>45316</v>
      </c>
      <c r="U350" s="113"/>
      <c r="V350" s="113" t="s">
        <v>59</v>
      </c>
    </row>
    <row r="351" spans="1:22" ht="62.4" x14ac:dyDescent="0.3">
      <c r="A351" s="115">
        <v>348</v>
      </c>
      <c r="B351" s="115" t="s">
        <v>21</v>
      </c>
      <c r="C351" s="44" t="s">
        <v>32</v>
      </c>
      <c r="D351" s="115"/>
      <c r="E351" s="115" t="s">
        <v>75</v>
      </c>
      <c r="F351" s="44" t="s">
        <v>777</v>
      </c>
      <c r="G351" s="115" t="s">
        <v>21</v>
      </c>
      <c r="H351" s="119">
        <v>36</v>
      </c>
      <c r="I351" s="115">
        <v>2</v>
      </c>
      <c r="J351" s="119">
        <v>72</v>
      </c>
      <c r="K351" s="119">
        <v>36</v>
      </c>
      <c r="L351" s="115">
        <v>2</v>
      </c>
      <c r="M351" s="119">
        <v>72</v>
      </c>
      <c r="N351" s="6" t="s">
        <v>778</v>
      </c>
      <c r="O351" s="116">
        <v>45320</v>
      </c>
      <c r="P351" s="33" t="str">
        <f>HYPERLINK("https://my.zakupivli.pro/remote/dispatcher/state_purchase_view/48742399", "UA-2024-01-29-003400-a")</f>
        <v>UA-2024-01-29-003400-a</v>
      </c>
      <c r="Q351" s="119">
        <v>36</v>
      </c>
      <c r="R351" s="115">
        <v>2</v>
      </c>
      <c r="S351" s="119">
        <v>72</v>
      </c>
      <c r="T351" s="116">
        <v>45320</v>
      </c>
      <c r="U351" s="115"/>
      <c r="V351" s="115" t="s">
        <v>59</v>
      </c>
    </row>
    <row r="352" spans="1:22" ht="62.4" x14ac:dyDescent="0.3">
      <c r="A352" s="117">
        <v>349</v>
      </c>
      <c r="B352" s="117" t="s">
        <v>40</v>
      </c>
      <c r="C352" s="44" t="s">
        <v>41</v>
      </c>
      <c r="D352" s="117"/>
      <c r="E352" s="117" t="s">
        <v>373</v>
      </c>
      <c r="F352" s="44" t="s">
        <v>779</v>
      </c>
      <c r="G352" s="117" t="s">
        <v>184</v>
      </c>
      <c r="H352" s="117">
        <v>303.98403999999999</v>
      </c>
      <c r="I352" s="117">
        <v>1</v>
      </c>
      <c r="J352" s="117">
        <v>303.98403999999999</v>
      </c>
      <c r="K352" s="117">
        <v>303.98403999999999</v>
      </c>
      <c r="L352" s="117">
        <v>1</v>
      </c>
      <c r="M352" s="117">
        <v>303.98403999999999</v>
      </c>
      <c r="N352" s="6" t="s">
        <v>780</v>
      </c>
      <c r="O352" s="118">
        <v>45322</v>
      </c>
      <c r="P352" s="33" t="str">
        <f>HYPERLINK("https://my.zakupivli.pro/remote/dispatcher/state_purchase_view/48819624", "UA-2024-01-31-005075-a")</f>
        <v>UA-2024-01-31-005075-a</v>
      </c>
      <c r="Q352" s="117">
        <v>303.98403999999999</v>
      </c>
      <c r="R352" s="117">
        <v>1</v>
      </c>
      <c r="S352" s="117">
        <v>303.98403999999999</v>
      </c>
      <c r="T352" s="118">
        <v>45322</v>
      </c>
      <c r="U352" s="117"/>
      <c r="V352" s="117" t="s">
        <v>59</v>
      </c>
    </row>
    <row r="353" spans="1:22" ht="62.4" x14ac:dyDescent="0.3">
      <c r="A353" s="117">
        <v>350</v>
      </c>
      <c r="B353" s="117" t="s">
        <v>40</v>
      </c>
      <c r="C353" s="44" t="s">
        <v>41</v>
      </c>
      <c r="D353" s="117"/>
      <c r="E353" s="117" t="s">
        <v>88</v>
      </c>
      <c r="F353" s="44" t="s">
        <v>781</v>
      </c>
      <c r="G353" s="117" t="s">
        <v>184</v>
      </c>
      <c r="H353" s="117">
        <v>382.27184999999997</v>
      </c>
      <c r="I353" s="117">
        <v>1</v>
      </c>
      <c r="J353" s="117">
        <v>382.27184999999997</v>
      </c>
      <c r="K353" s="117">
        <v>382.27184999999997</v>
      </c>
      <c r="L353" s="117">
        <v>1</v>
      </c>
      <c r="M353" s="117">
        <v>382.27184999999997</v>
      </c>
      <c r="N353" s="6" t="s">
        <v>782</v>
      </c>
      <c r="O353" s="118">
        <v>45322</v>
      </c>
      <c r="P353" s="33" t="str">
        <f>HYPERLINK("https://my.zakupivli.pro/remote/dispatcher/state_purchase_view/48824211", "UA-2024-01-31-007241-a")</f>
        <v>UA-2024-01-31-007241-a</v>
      </c>
      <c r="Q353" s="117">
        <v>382.27184999999997</v>
      </c>
      <c r="R353" s="117">
        <v>1</v>
      </c>
      <c r="S353" s="117">
        <v>382.27184999999997</v>
      </c>
      <c r="T353" s="118">
        <v>45322</v>
      </c>
      <c r="U353" s="117"/>
      <c r="V353" s="117" t="s">
        <v>59</v>
      </c>
    </row>
    <row r="354" spans="1:22" ht="93.6" x14ac:dyDescent="0.3">
      <c r="A354" s="117">
        <v>351</v>
      </c>
      <c r="B354" s="117" t="s">
        <v>40</v>
      </c>
      <c r="C354" s="44" t="s">
        <v>41</v>
      </c>
      <c r="D354" s="117"/>
      <c r="E354" s="117" t="s">
        <v>88</v>
      </c>
      <c r="F354" s="44" t="s">
        <v>783</v>
      </c>
      <c r="G354" s="117" t="s">
        <v>184</v>
      </c>
      <c r="H354" s="117">
        <v>282.87943000000001</v>
      </c>
      <c r="I354" s="117">
        <v>1</v>
      </c>
      <c r="J354" s="117">
        <v>282.87943000000001</v>
      </c>
      <c r="K354" s="117">
        <v>282.87943000000001</v>
      </c>
      <c r="L354" s="117">
        <v>1</v>
      </c>
      <c r="M354" s="117">
        <v>282.87943000000001</v>
      </c>
      <c r="N354" s="6" t="s">
        <v>784</v>
      </c>
      <c r="O354" s="118">
        <v>45322</v>
      </c>
      <c r="P354" s="33" t="str">
        <f>HYPERLINK("https://my.zakupivli.pro/remote/dispatcher/state_purchase_view/48824354", "UA-2024-01-31-007341-a")</f>
        <v>UA-2024-01-31-007341-a</v>
      </c>
      <c r="Q354" s="117">
        <v>282.87943000000001</v>
      </c>
      <c r="R354" s="117">
        <v>1</v>
      </c>
      <c r="S354" s="117">
        <v>282.87943000000001</v>
      </c>
      <c r="T354" s="118">
        <v>45322</v>
      </c>
      <c r="U354" s="117"/>
      <c r="V354" s="117" t="s">
        <v>59</v>
      </c>
    </row>
    <row r="355" spans="1:22" ht="62.4" x14ac:dyDescent="0.3">
      <c r="A355" s="117">
        <v>352</v>
      </c>
      <c r="B355" s="117" t="s">
        <v>40</v>
      </c>
      <c r="C355" s="44" t="s">
        <v>41</v>
      </c>
      <c r="D355" s="117"/>
      <c r="E355" s="117" t="s">
        <v>88</v>
      </c>
      <c r="F355" s="44" t="s">
        <v>785</v>
      </c>
      <c r="G355" s="117" t="s">
        <v>184</v>
      </c>
      <c r="H355" s="117">
        <v>543.99990000000003</v>
      </c>
      <c r="I355" s="117">
        <v>1</v>
      </c>
      <c r="J355" s="117">
        <v>543.99990000000003</v>
      </c>
      <c r="K355" s="117">
        <v>543.99990000000003</v>
      </c>
      <c r="L355" s="117">
        <v>1</v>
      </c>
      <c r="M355" s="117">
        <v>543.99990000000003</v>
      </c>
      <c r="N355" s="6" t="s">
        <v>787</v>
      </c>
      <c r="O355" s="118">
        <v>45322</v>
      </c>
      <c r="P355" s="122" t="str">
        <f>HYPERLINK("https://my.zakupivli.pro/remote/dispatcher/state_purchase_view/48825205", "UA-2024-01-31-007708-a")</f>
        <v>UA-2024-01-31-007708-a</v>
      </c>
      <c r="Q355" s="117">
        <v>543.99990000000003</v>
      </c>
      <c r="R355" s="117">
        <v>1</v>
      </c>
      <c r="S355" s="117">
        <v>543.99990000000003</v>
      </c>
      <c r="T355" s="118">
        <v>45322</v>
      </c>
      <c r="U355" s="117"/>
      <c r="V355" s="117" t="s">
        <v>59</v>
      </c>
    </row>
    <row r="356" spans="1:22" ht="93.6" x14ac:dyDescent="0.3">
      <c r="A356" s="117">
        <v>353</v>
      </c>
      <c r="B356" s="117" t="s">
        <v>40</v>
      </c>
      <c r="C356" s="44" t="s">
        <v>41</v>
      </c>
      <c r="D356" s="117"/>
      <c r="E356" s="117" t="s">
        <v>88</v>
      </c>
      <c r="F356" s="44" t="s">
        <v>786</v>
      </c>
      <c r="G356" s="117" t="s">
        <v>184</v>
      </c>
      <c r="H356" s="119">
        <v>277.44</v>
      </c>
      <c r="I356" s="117">
        <v>1</v>
      </c>
      <c r="J356" s="119">
        <v>277.44</v>
      </c>
      <c r="K356" s="119">
        <v>277.44</v>
      </c>
      <c r="L356" s="117">
        <v>1</v>
      </c>
      <c r="M356" s="119">
        <v>277.44</v>
      </c>
      <c r="N356" s="6" t="s">
        <v>788</v>
      </c>
      <c r="O356" s="118">
        <v>45322</v>
      </c>
      <c r="P356" s="122" t="str">
        <f>HYPERLINK("https://my.zakupivli.pro/remote/dispatcher/state_purchase_view/48825190", "UA-2024-01-31-007699-a")</f>
        <v>UA-2024-01-31-007699-a</v>
      </c>
      <c r="Q356" s="119">
        <v>277.44</v>
      </c>
      <c r="R356" s="117">
        <v>1</v>
      </c>
      <c r="S356" s="119">
        <v>277.44</v>
      </c>
      <c r="T356" s="118">
        <v>45322</v>
      </c>
      <c r="U356" s="117"/>
      <c r="V356" s="117" t="s">
        <v>59</v>
      </c>
    </row>
    <row r="357" spans="1:22" ht="93.6" x14ac:dyDescent="0.3">
      <c r="A357" s="117">
        <v>354</v>
      </c>
      <c r="B357" s="117" t="s">
        <v>40</v>
      </c>
      <c r="C357" s="44" t="s">
        <v>41</v>
      </c>
      <c r="D357" s="117"/>
      <c r="E357" s="117" t="s">
        <v>88</v>
      </c>
      <c r="F357" s="44" t="s">
        <v>789</v>
      </c>
      <c r="G357" s="117" t="s">
        <v>184</v>
      </c>
      <c r="H357" s="117">
        <v>103.532</v>
      </c>
      <c r="I357" s="117">
        <v>1</v>
      </c>
      <c r="J357" s="117">
        <v>103.532</v>
      </c>
      <c r="K357" s="117">
        <v>103.532</v>
      </c>
      <c r="L357" s="117">
        <v>1</v>
      </c>
      <c r="M357" s="117">
        <v>103.532</v>
      </c>
      <c r="N357" s="6" t="s">
        <v>791</v>
      </c>
      <c r="O357" s="118">
        <v>45322</v>
      </c>
      <c r="P357" s="33" t="str">
        <f>HYPERLINK("https://my.zakupivli.pro/remote/dispatcher/state_purchase_view/48826096", "UA-2024-01-31-008115-a")</f>
        <v>UA-2024-01-31-008115-a</v>
      </c>
      <c r="Q357" s="117">
        <v>103.532</v>
      </c>
      <c r="R357" s="117">
        <v>1</v>
      </c>
      <c r="S357" s="117">
        <v>103.532</v>
      </c>
      <c r="T357" s="118">
        <v>45322</v>
      </c>
      <c r="U357" s="117"/>
      <c r="V357" s="117" t="s">
        <v>59</v>
      </c>
    </row>
    <row r="358" spans="1:22" ht="93.6" x14ac:dyDescent="0.3">
      <c r="A358" s="117">
        <v>355</v>
      </c>
      <c r="B358" s="117" t="s">
        <v>40</v>
      </c>
      <c r="C358" s="44" t="s">
        <v>41</v>
      </c>
      <c r="D358" s="117"/>
      <c r="E358" s="117" t="s">
        <v>88</v>
      </c>
      <c r="F358" s="44" t="s">
        <v>790</v>
      </c>
      <c r="G358" s="117" t="s">
        <v>184</v>
      </c>
      <c r="H358" s="117">
        <v>242.90186</v>
      </c>
      <c r="I358" s="117">
        <v>1</v>
      </c>
      <c r="J358" s="117">
        <v>242.90186</v>
      </c>
      <c r="K358" s="117">
        <v>242.90186</v>
      </c>
      <c r="L358" s="117">
        <v>1</v>
      </c>
      <c r="M358" s="117">
        <v>242.90186</v>
      </c>
      <c r="N358" s="6" t="s">
        <v>792</v>
      </c>
      <c r="O358" s="118">
        <v>45322</v>
      </c>
      <c r="P358" s="33" t="str">
        <f>HYPERLINK("https://my.zakupivli.pro/remote/dispatcher/state_purchase_view/48825340", "UA-2024-01-31-007748-a")</f>
        <v>UA-2024-01-31-007748-a</v>
      </c>
      <c r="Q358" s="117">
        <v>242.90186</v>
      </c>
      <c r="R358" s="117">
        <v>1</v>
      </c>
      <c r="S358" s="117">
        <v>242.90186</v>
      </c>
      <c r="T358" s="118">
        <v>45322</v>
      </c>
      <c r="U358" s="117"/>
      <c r="V358" s="117" t="s">
        <v>59</v>
      </c>
    </row>
    <row r="359" spans="1:22" ht="93.6" x14ac:dyDescent="0.3">
      <c r="A359" s="117">
        <v>356</v>
      </c>
      <c r="B359" s="117" t="s">
        <v>40</v>
      </c>
      <c r="C359" s="44" t="s">
        <v>41</v>
      </c>
      <c r="D359" s="117"/>
      <c r="E359" s="117" t="s">
        <v>88</v>
      </c>
      <c r="F359" s="44" t="s">
        <v>793</v>
      </c>
      <c r="G359" s="117" t="s">
        <v>184</v>
      </c>
      <c r="H359" s="117">
        <v>565.44399999999996</v>
      </c>
      <c r="I359" s="117">
        <v>1</v>
      </c>
      <c r="J359" s="117">
        <v>565.44399999999996</v>
      </c>
      <c r="K359" s="117">
        <v>565.44399999999996</v>
      </c>
      <c r="L359" s="117">
        <v>1</v>
      </c>
      <c r="M359" s="117">
        <v>565.44399999999996</v>
      </c>
      <c r="N359" s="6" t="s">
        <v>794</v>
      </c>
      <c r="O359" s="118">
        <v>45322</v>
      </c>
      <c r="P359" s="33" t="str">
        <f>HYPERLINK("https://my.zakupivli.pro/remote/dispatcher/state_purchase_view/48826700", "UA-2024-01-31-008354-a")</f>
        <v>UA-2024-01-31-008354-a</v>
      </c>
      <c r="Q359" s="117">
        <v>565.44399999999996</v>
      </c>
      <c r="R359" s="117">
        <v>1</v>
      </c>
      <c r="S359" s="117">
        <v>565.44399999999996</v>
      </c>
      <c r="T359" s="118">
        <v>45322</v>
      </c>
      <c r="U359" s="117"/>
      <c r="V359" s="117" t="s">
        <v>59</v>
      </c>
    </row>
    <row r="360" spans="1:22" ht="78" x14ac:dyDescent="0.3">
      <c r="A360" s="117">
        <v>357</v>
      </c>
      <c r="B360" s="117" t="s">
        <v>21</v>
      </c>
      <c r="C360" s="44" t="s">
        <v>735</v>
      </c>
      <c r="D360" s="117" t="s">
        <v>58</v>
      </c>
      <c r="E360" s="117" t="s">
        <v>75</v>
      </c>
      <c r="F360" s="44" t="s">
        <v>795</v>
      </c>
      <c r="G360" s="117" t="s">
        <v>186</v>
      </c>
      <c r="H360" s="119"/>
      <c r="I360" s="117">
        <v>3</v>
      </c>
      <c r="J360" s="119">
        <v>200</v>
      </c>
      <c r="K360" s="117"/>
      <c r="L360" s="117">
        <v>3</v>
      </c>
      <c r="M360" s="119">
        <v>200</v>
      </c>
      <c r="N360" s="6" t="s">
        <v>797</v>
      </c>
      <c r="O360" s="118">
        <v>45322</v>
      </c>
      <c r="P360" s="33" t="str">
        <f>HYPERLINK("https://my.zakupivli.pro/remote/dispatcher/state_purchase_view/48832012", "UA-2024-01-31-010710-a")</f>
        <v>UA-2024-01-31-010710-a</v>
      </c>
      <c r="Q360" s="117"/>
      <c r="R360" s="117">
        <v>3</v>
      </c>
      <c r="S360" s="117">
        <v>169.96600000000001</v>
      </c>
      <c r="T360" s="118">
        <v>45341</v>
      </c>
      <c r="U360" s="117"/>
      <c r="V360" s="117"/>
    </row>
    <row r="361" spans="1:22" ht="78" x14ac:dyDescent="0.3">
      <c r="A361" s="117">
        <v>358</v>
      </c>
      <c r="B361" s="117" t="s">
        <v>21</v>
      </c>
      <c r="C361" s="44" t="s">
        <v>735</v>
      </c>
      <c r="D361" s="117" t="s">
        <v>58</v>
      </c>
      <c r="E361" s="117" t="s">
        <v>75</v>
      </c>
      <c r="F361" s="44" t="s">
        <v>796</v>
      </c>
      <c r="G361" s="117" t="s">
        <v>186</v>
      </c>
      <c r="H361" s="117"/>
      <c r="I361" s="117">
        <v>15</v>
      </c>
      <c r="J361" s="119">
        <v>350</v>
      </c>
      <c r="K361" s="117"/>
      <c r="L361" s="117">
        <v>15</v>
      </c>
      <c r="M361" s="119">
        <v>350</v>
      </c>
      <c r="N361" s="6" t="s">
        <v>797</v>
      </c>
      <c r="O361" s="118">
        <v>45322</v>
      </c>
      <c r="P361" s="33" t="str">
        <f>HYPERLINK("https://my.zakupivli.pro/remote/dispatcher/state_purchase_view/48832012", "UA-2024-01-31-010710-a")</f>
        <v>UA-2024-01-31-010710-a</v>
      </c>
      <c r="Q361" s="117"/>
      <c r="R361" s="117">
        <v>15</v>
      </c>
      <c r="S361" s="117">
        <v>298.35000000000002</v>
      </c>
      <c r="T361" s="136">
        <v>45341</v>
      </c>
      <c r="U361" s="117"/>
      <c r="V361" s="117"/>
    </row>
    <row r="362" spans="1:22" ht="62.4" x14ac:dyDescent="0.3">
      <c r="A362" s="117">
        <v>359</v>
      </c>
      <c r="B362" s="120" t="s">
        <v>40</v>
      </c>
      <c r="C362" s="44" t="s">
        <v>518</v>
      </c>
      <c r="D362" s="117"/>
      <c r="E362" s="120" t="s">
        <v>75</v>
      </c>
      <c r="F362" s="41" t="s">
        <v>798</v>
      </c>
      <c r="G362" s="120" t="s">
        <v>184</v>
      </c>
      <c r="H362" s="117">
        <v>163.86313000000001</v>
      </c>
      <c r="I362" s="117">
        <v>1</v>
      </c>
      <c r="J362" s="120">
        <v>163.86313000000001</v>
      </c>
      <c r="K362" s="120">
        <v>163.86313000000001</v>
      </c>
      <c r="L362" s="120">
        <v>1</v>
      </c>
      <c r="M362" s="120">
        <v>163.86313000000001</v>
      </c>
      <c r="N362" s="6" t="s">
        <v>799</v>
      </c>
      <c r="O362" s="118">
        <v>45323</v>
      </c>
      <c r="P362" s="42" t="str">
        <f>HYPERLINK("https://my.zakupivli.pro/remote/dispatcher/state_purchase_view/48865177", "UA-2024-02-01-010457-a")</f>
        <v>UA-2024-02-01-010457-a</v>
      </c>
      <c r="Q362" s="120">
        <v>163.86313000000001</v>
      </c>
      <c r="R362" s="120">
        <v>1</v>
      </c>
      <c r="S362" s="120">
        <v>163.86313000000001</v>
      </c>
      <c r="T362" s="121">
        <v>45323</v>
      </c>
      <c r="U362" s="117"/>
      <c r="V362" s="120" t="s">
        <v>59</v>
      </c>
    </row>
    <row r="363" spans="1:22" ht="46.8" x14ac:dyDescent="0.3">
      <c r="A363" s="120">
        <v>360</v>
      </c>
      <c r="B363" s="120" t="s">
        <v>21</v>
      </c>
      <c r="C363" s="41" t="s">
        <v>300</v>
      </c>
      <c r="D363" s="120" t="s">
        <v>58</v>
      </c>
      <c r="E363" s="120" t="s">
        <v>759</v>
      </c>
      <c r="F363" s="44" t="s">
        <v>800</v>
      </c>
      <c r="G363" s="120" t="s">
        <v>186</v>
      </c>
      <c r="H363" s="120"/>
      <c r="I363" s="120">
        <v>6</v>
      </c>
      <c r="J363" s="120">
        <v>787.91250000000002</v>
      </c>
      <c r="K363" s="120"/>
      <c r="L363" s="120">
        <v>6</v>
      </c>
      <c r="M363" s="120">
        <v>787.91250000000002</v>
      </c>
      <c r="N363" s="6" t="s">
        <v>801</v>
      </c>
      <c r="O363" s="121">
        <v>45323</v>
      </c>
      <c r="P363" s="33" t="str">
        <f>HYPERLINK("https://my.zakupivli.pro/remote/dispatcher/state_purchase_view/48871901", "UA-2024-02-01-013304-a")</f>
        <v>UA-2024-02-01-013304-a</v>
      </c>
      <c r="Q363" s="120"/>
      <c r="R363" s="120">
        <v>6</v>
      </c>
      <c r="S363" s="120">
        <v>693.85569999999996</v>
      </c>
      <c r="T363" s="121">
        <v>45342</v>
      </c>
      <c r="U363" s="120"/>
      <c r="V363" s="120"/>
    </row>
    <row r="364" spans="1:22" ht="31.2" x14ac:dyDescent="0.3">
      <c r="A364" s="120">
        <v>361</v>
      </c>
      <c r="B364" s="120" t="s">
        <v>21</v>
      </c>
      <c r="C364" s="44" t="s">
        <v>805</v>
      </c>
      <c r="D364" s="120" t="s">
        <v>58</v>
      </c>
      <c r="E364" s="120" t="s">
        <v>75</v>
      </c>
      <c r="F364" s="44" t="s">
        <v>802</v>
      </c>
      <c r="G364" s="120" t="s">
        <v>186</v>
      </c>
      <c r="H364" s="120">
        <v>135.83332999999999</v>
      </c>
      <c r="I364" s="120">
        <v>1</v>
      </c>
      <c r="J364" s="120">
        <v>135.83332999999999</v>
      </c>
      <c r="K364" s="120">
        <v>135.83332999999999</v>
      </c>
      <c r="L364" s="120">
        <v>1</v>
      </c>
      <c r="M364" s="120">
        <v>135.83332999999999</v>
      </c>
      <c r="N364" s="6" t="s">
        <v>804</v>
      </c>
      <c r="O364" s="121">
        <v>45323</v>
      </c>
      <c r="P364" s="33" t="str">
        <f>HYPERLINK("https://my.zakupivli.pro/remote/dispatcher/state_purchase_view/48872463", "UA-2024-02-01-013588-a")</f>
        <v>UA-2024-02-01-013588-a</v>
      </c>
      <c r="Q364" s="146">
        <v>135.83000000000001</v>
      </c>
      <c r="R364" s="120">
        <v>1</v>
      </c>
      <c r="S364" s="120">
        <v>135.83000000000001</v>
      </c>
      <c r="T364" s="121">
        <v>45337</v>
      </c>
      <c r="U364" s="120"/>
      <c r="V364" s="120"/>
    </row>
    <row r="365" spans="1:22" ht="78" x14ac:dyDescent="0.3">
      <c r="A365" s="120">
        <v>362</v>
      </c>
      <c r="B365" s="120" t="s">
        <v>21</v>
      </c>
      <c r="C365" s="44" t="s">
        <v>805</v>
      </c>
      <c r="D365" s="120" t="s">
        <v>58</v>
      </c>
      <c r="E365" s="120" t="s">
        <v>75</v>
      </c>
      <c r="F365" s="44" t="s">
        <v>803</v>
      </c>
      <c r="G365" s="120" t="s">
        <v>186</v>
      </c>
      <c r="H365" s="120"/>
      <c r="I365" s="120">
        <v>9</v>
      </c>
      <c r="J365" s="120">
        <v>160.80065999999999</v>
      </c>
      <c r="K365" s="120"/>
      <c r="L365" s="120">
        <v>9</v>
      </c>
      <c r="M365" s="120">
        <v>160.80065999999999</v>
      </c>
      <c r="N365" s="6" t="s">
        <v>804</v>
      </c>
      <c r="O365" s="121">
        <v>45323</v>
      </c>
      <c r="P365" s="33" t="str">
        <f>HYPERLINK("https://my.zakupivli.pro/remote/dispatcher/state_purchase_view/48872463", "UA-2024-02-01-013588-a")</f>
        <v>UA-2024-02-01-013588-a</v>
      </c>
      <c r="Q365" s="120"/>
      <c r="R365" s="120"/>
      <c r="S365" s="120"/>
      <c r="T365" s="121"/>
      <c r="U365" s="146" t="s">
        <v>93</v>
      </c>
      <c r="V365" s="120"/>
    </row>
    <row r="366" spans="1:22" ht="62.4" x14ac:dyDescent="0.3">
      <c r="A366" s="120">
        <v>363</v>
      </c>
      <c r="B366" s="120" t="s">
        <v>21</v>
      </c>
      <c r="C366" s="120" t="s">
        <v>406</v>
      </c>
      <c r="D366" s="120" t="s">
        <v>58</v>
      </c>
      <c r="E366" s="120" t="s">
        <v>75</v>
      </c>
      <c r="F366" s="44" t="s">
        <v>807</v>
      </c>
      <c r="G366" s="120" t="s">
        <v>186</v>
      </c>
      <c r="H366" s="120"/>
      <c r="I366" s="120">
        <v>68</v>
      </c>
      <c r="J366" s="120">
        <v>4341.6660000000002</v>
      </c>
      <c r="K366" s="120"/>
      <c r="L366" s="120">
        <v>68</v>
      </c>
      <c r="M366" s="120">
        <v>4341.6660000000002</v>
      </c>
      <c r="N366" s="6" t="s">
        <v>806</v>
      </c>
      <c r="O366" s="121">
        <v>45323</v>
      </c>
      <c r="P366" s="33" t="str">
        <f>HYPERLINK("https://my.zakupivli.pro/remote/dispatcher/state_purchase_view/48872774", "UA-2024-02-01-013687-a")</f>
        <v>UA-2024-02-01-013687-a</v>
      </c>
      <c r="Q366" s="120"/>
      <c r="R366" s="120">
        <v>68</v>
      </c>
      <c r="S366" s="120">
        <v>4305.6054999999997</v>
      </c>
      <c r="T366" s="121">
        <v>45343</v>
      </c>
      <c r="U366" s="120"/>
      <c r="V366" s="120"/>
    </row>
    <row r="367" spans="1:22" ht="187.2" x14ac:dyDescent="0.3">
      <c r="A367" s="120">
        <v>364</v>
      </c>
      <c r="B367" s="124" t="s">
        <v>40</v>
      </c>
      <c r="C367" s="44" t="s">
        <v>41</v>
      </c>
      <c r="D367" s="124" t="s">
        <v>58</v>
      </c>
      <c r="E367" s="124" t="s">
        <v>88</v>
      </c>
      <c r="F367" s="44" t="s">
        <v>808</v>
      </c>
      <c r="G367" s="124" t="s">
        <v>184</v>
      </c>
      <c r="H367" s="120">
        <v>2583.86</v>
      </c>
      <c r="I367" s="120">
        <v>1</v>
      </c>
      <c r="J367" s="124">
        <v>2583.86</v>
      </c>
      <c r="K367" s="124">
        <v>2583.86</v>
      </c>
      <c r="L367" s="124">
        <v>1</v>
      </c>
      <c r="M367" s="124">
        <v>2583.86</v>
      </c>
      <c r="N367" s="6" t="s">
        <v>809</v>
      </c>
      <c r="O367" s="121">
        <v>45324</v>
      </c>
      <c r="P367" s="33" t="str">
        <f>HYPERLINK("https://my.zakupivli.pro/remote/dispatcher/state_purchase_view/48907510", "UA-2024-02-02-013046-a")</f>
        <v>UA-2024-02-02-013046-a</v>
      </c>
      <c r="Q367" s="124">
        <v>2567.0527400000001</v>
      </c>
      <c r="R367" s="124">
        <v>1</v>
      </c>
      <c r="S367" s="191">
        <v>2567.0527400000001</v>
      </c>
      <c r="T367" s="121">
        <v>45359</v>
      </c>
      <c r="U367" s="120"/>
      <c r="V367" s="120"/>
    </row>
    <row r="368" spans="1:22" ht="187.2" x14ac:dyDescent="0.3">
      <c r="A368" s="124">
        <v>365</v>
      </c>
      <c r="B368" s="124" t="s">
        <v>40</v>
      </c>
      <c r="C368" s="44" t="s">
        <v>41</v>
      </c>
      <c r="D368" s="124" t="s">
        <v>58</v>
      </c>
      <c r="E368" s="124" t="s">
        <v>88</v>
      </c>
      <c r="F368" s="44" t="s">
        <v>810</v>
      </c>
      <c r="G368" s="124" t="s">
        <v>184</v>
      </c>
      <c r="H368" s="119">
        <v>1958.6</v>
      </c>
      <c r="I368" s="124">
        <v>1</v>
      </c>
      <c r="J368" s="119">
        <v>1958.6</v>
      </c>
      <c r="K368" s="119">
        <v>1958.6</v>
      </c>
      <c r="L368" s="124">
        <v>1</v>
      </c>
      <c r="M368" s="119">
        <v>1958.6</v>
      </c>
      <c r="N368" s="6" t="s">
        <v>809</v>
      </c>
      <c r="O368" s="123">
        <v>45324</v>
      </c>
      <c r="P368" s="33" t="str">
        <f>HYPERLINK("https://my.zakupivli.pro/remote/dispatcher/state_purchase_view/48907510", "UA-2024-02-02-013046-a")</f>
        <v>UA-2024-02-02-013046-a</v>
      </c>
      <c r="Q368" s="124">
        <v>1931.6126200000001</v>
      </c>
      <c r="R368" s="124">
        <v>1</v>
      </c>
      <c r="S368" s="191">
        <v>1931.6126200000001</v>
      </c>
      <c r="T368" s="190">
        <v>45359</v>
      </c>
      <c r="U368" s="124"/>
      <c r="V368" s="124"/>
    </row>
    <row r="369" spans="1:22" ht="140.4" x14ac:dyDescent="0.3">
      <c r="A369" s="124">
        <v>366</v>
      </c>
      <c r="B369" s="124" t="s">
        <v>40</v>
      </c>
      <c r="C369" s="44" t="s">
        <v>41</v>
      </c>
      <c r="D369" s="124" t="s">
        <v>58</v>
      </c>
      <c r="E369" s="124" t="s">
        <v>88</v>
      </c>
      <c r="F369" s="44" t="s">
        <v>811</v>
      </c>
      <c r="G369" s="124" t="s">
        <v>184</v>
      </c>
      <c r="H369" s="124">
        <v>4673.54</v>
      </c>
      <c r="I369" s="124">
        <v>1</v>
      </c>
      <c r="J369" s="124">
        <v>4673.54</v>
      </c>
      <c r="K369" s="124">
        <v>4673.54</v>
      </c>
      <c r="L369" s="124">
        <v>1</v>
      </c>
      <c r="M369" s="124">
        <v>4673.54</v>
      </c>
      <c r="N369" s="6" t="s">
        <v>812</v>
      </c>
      <c r="O369" s="123">
        <v>45324</v>
      </c>
      <c r="P369" s="33" t="str">
        <f>HYPERLINK("https://my.zakupivli.pro/remote/dispatcher/state_purchase_view/48907505", "UA-2024-02-02-013037-a")</f>
        <v>UA-2024-02-02-013037-a</v>
      </c>
      <c r="Q369" s="124">
        <v>4671.54817</v>
      </c>
      <c r="R369" s="124">
        <v>1</v>
      </c>
      <c r="S369" s="146">
        <v>4671.54817</v>
      </c>
      <c r="T369" s="123">
        <v>45345</v>
      </c>
      <c r="U369" s="124"/>
      <c r="V369" s="124"/>
    </row>
    <row r="370" spans="1:22" ht="109.2" x14ac:dyDescent="0.3">
      <c r="A370" s="124">
        <v>367</v>
      </c>
      <c r="B370" s="124" t="s">
        <v>40</v>
      </c>
      <c r="C370" s="44" t="s">
        <v>41</v>
      </c>
      <c r="D370" s="124" t="s">
        <v>58</v>
      </c>
      <c r="E370" s="124" t="s">
        <v>88</v>
      </c>
      <c r="F370" s="44" t="s">
        <v>813</v>
      </c>
      <c r="G370" s="124" t="s">
        <v>184</v>
      </c>
      <c r="H370" s="124">
        <v>1456.78683</v>
      </c>
      <c r="I370" s="124">
        <v>1</v>
      </c>
      <c r="J370" s="124">
        <v>1456.78683</v>
      </c>
      <c r="K370" s="124">
        <v>1456.78683</v>
      </c>
      <c r="L370" s="124">
        <v>1</v>
      </c>
      <c r="M370" s="124">
        <v>1456.78683</v>
      </c>
      <c r="N370" s="6" t="s">
        <v>814</v>
      </c>
      <c r="O370" s="123">
        <v>45324</v>
      </c>
      <c r="P370" s="42" t="str">
        <f>HYPERLINK("https://my.zakupivli.pro/remote/dispatcher/state_purchase_view/48907317", "UA-2024-02-02-012973-a")</f>
        <v>UA-2024-02-02-012973-a</v>
      </c>
      <c r="Q370" s="124">
        <v>1351.3407400000001</v>
      </c>
      <c r="R370" s="124">
        <v>1</v>
      </c>
      <c r="S370" s="146">
        <v>1351.3407400000001</v>
      </c>
      <c r="T370" s="123">
        <v>45341</v>
      </c>
      <c r="U370" s="124"/>
      <c r="V370" s="124"/>
    </row>
    <row r="371" spans="1:22" ht="140.4" x14ac:dyDescent="0.3">
      <c r="A371" s="124">
        <v>368</v>
      </c>
      <c r="B371" s="124" t="s">
        <v>40</v>
      </c>
      <c r="C371" s="44" t="s">
        <v>41</v>
      </c>
      <c r="D371" s="124" t="s">
        <v>58</v>
      </c>
      <c r="E371" s="124" t="s">
        <v>88</v>
      </c>
      <c r="F371" s="44" t="s">
        <v>815</v>
      </c>
      <c r="G371" s="124" t="s">
        <v>184</v>
      </c>
      <c r="H371" s="124">
        <v>2280.23</v>
      </c>
      <c r="I371" s="124">
        <v>1</v>
      </c>
      <c r="J371" s="124">
        <v>2280.23</v>
      </c>
      <c r="K371" s="124">
        <v>2280.23</v>
      </c>
      <c r="L371" s="124">
        <v>1</v>
      </c>
      <c r="M371" s="124">
        <v>2280.23</v>
      </c>
      <c r="N371" s="6" t="s">
        <v>816</v>
      </c>
      <c r="O371" s="123">
        <v>45324</v>
      </c>
      <c r="P371" s="33" t="str">
        <f>HYPERLINK("https://my.zakupivli.pro/remote/dispatcher/state_purchase_view/48907249", "UA-2024-02-02-012931-a")</f>
        <v>UA-2024-02-02-012931-a</v>
      </c>
      <c r="Q371" s="124">
        <v>2208.3333299999999</v>
      </c>
      <c r="R371" s="124">
        <v>1</v>
      </c>
      <c r="S371" s="191">
        <v>2208.3333299999999</v>
      </c>
      <c r="T371" s="123">
        <v>45358</v>
      </c>
      <c r="U371" s="124"/>
      <c r="V371" s="124"/>
    </row>
    <row r="372" spans="1:22" ht="234" x14ac:dyDescent="0.3">
      <c r="A372" s="124">
        <v>369</v>
      </c>
      <c r="B372" s="124" t="s">
        <v>40</v>
      </c>
      <c r="C372" s="44" t="s">
        <v>41</v>
      </c>
      <c r="D372" s="124" t="s">
        <v>58</v>
      </c>
      <c r="E372" s="124" t="s">
        <v>88</v>
      </c>
      <c r="F372" s="44" t="s">
        <v>817</v>
      </c>
      <c r="G372" s="124" t="s">
        <v>184</v>
      </c>
      <c r="H372" s="124">
        <v>1505.6904</v>
      </c>
      <c r="I372" s="124">
        <v>1</v>
      </c>
      <c r="J372" s="124">
        <v>1505.6904</v>
      </c>
      <c r="K372" s="124">
        <v>1505.6904</v>
      </c>
      <c r="L372" s="124">
        <v>1</v>
      </c>
      <c r="M372" s="124">
        <v>1505.6904</v>
      </c>
      <c r="N372" s="6" t="s">
        <v>821</v>
      </c>
      <c r="O372" s="123">
        <v>45324</v>
      </c>
      <c r="P372" s="33" t="str">
        <f>HYPERLINK("https://my.zakupivli.pro/remote/dispatcher/state_purchase_view/48906477", "UA-2024-02-02-012574-a")</f>
        <v>UA-2024-02-02-012574-a</v>
      </c>
      <c r="Q372" s="124">
        <v>1505.5498399999999</v>
      </c>
      <c r="R372" s="124">
        <v>1</v>
      </c>
      <c r="S372" s="146">
        <v>1505.5498399999999</v>
      </c>
      <c r="T372" s="123">
        <v>45345</v>
      </c>
      <c r="U372" s="124"/>
      <c r="V372" s="124"/>
    </row>
    <row r="373" spans="1:22" ht="234" x14ac:dyDescent="0.3">
      <c r="A373" s="124">
        <v>370</v>
      </c>
      <c r="B373" s="124" t="s">
        <v>40</v>
      </c>
      <c r="C373" s="44" t="s">
        <v>41</v>
      </c>
      <c r="D373" s="124" t="s">
        <v>58</v>
      </c>
      <c r="E373" s="124" t="s">
        <v>88</v>
      </c>
      <c r="F373" s="44" t="s">
        <v>818</v>
      </c>
      <c r="G373" s="124" t="s">
        <v>184</v>
      </c>
      <c r="H373" s="124">
        <v>3363.5384899999999</v>
      </c>
      <c r="I373" s="124">
        <v>1</v>
      </c>
      <c r="J373" s="124">
        <v>3363.5384899999999</v>
      </c>
      <c r="K373" s="124">
        <v>3363.5384899999999</v>
      </c>
      <c r="L373" s="124">
        <v>1</v>
      </c>
      <c r="M373" s="124">
        <v>3363.5384899999999</v>
      </c>
      <c r="N373" s="6" t="s">
        <v>821</v>
      </c>
      <c r="O373" s="123">
        <v>45324</v>
      </c>
      <c r="P373" s="33" t="str">
        <f>HYPERLINK("https://my.zakupivli.pro/remote/dispatcher/state_purchase_view/48906477", "UA-2024-02-02-012574-a")</f>
        <v>UA-2024-02-02-012574-a</v>
      </c>
      <c r="Q373" s="124">
        <v>3363.5246499999998</v>
      </c>
      <c r="R373" s="124">
        <v>1</v>
      </c>
      <c r="S373" s="146">
        <v>3363.5246499999998</v>
      </c>
      <c r="T373" s="147">
        <v>45345</v>
      </c>
      <c r="U373" s="124"/>
      <c r="V373" s="124"/>
    </row>
    <row r="374" spans="1:22" ht="234" x14ac:dyDescent="0.3">
      <c r="A374" s="124">
        <v>371</v>
      </c>
      <c r="B374" s="124" t="s">
        <v>40</v>
      </c>
      <c r="C374" s="44" t="s">
        <v>41</v>
      </c>
      <c r="D374" s="124" t="s">
        <v>58</v>
      </c>
      <c r="E374" s="124" t="s">
        <v>88</v>
      </c>
      <c r="F374" s="44" t="s">
        <v>819</v>
      </c>
      <c r="G374" s="124" t="s">
        <v>184</v>
      </c>
      <c r="H374" s="124">
        <v>3330.2784900000001</v>
      </c>
      <c r="I374" s="124">
        <v>1</v>
      </c>
      <c r="J374" s="124">
        <v>3330.2784900000001</v>
      </c>
      <c r="K374" s="124">
        <v>3330.2784900000001</v>
      </c>
      <c r="L374" s="124">
        <v>1</v>
      </c>
      <c r="M374" s="124">
        <v>3330.2784900000001</v>
      </c>
      <c r="N374" s="6" t="s">
        <v>821</v>
      </c>
      <c r="O374" s="123">
        <v>45324</v>
      </c>
      <c r="P374" s="33" t="str">
        <f>HYPERLINK("https://my.zakupivli.pro/remote/dispatcher/state_purchase_view/48906477", "UA-2024-02-02-012574-a")</f>
        <v>UA-2024-02-02-012574-a</v>
      </c>
      <c r="Q374" s="124">
        <v>3330.23414</v>
      </c>
      <c r="R374" s="124">
        <v>1</v>
      </c>
      <c r="S374" s="146">
        <v>3330.23414</v>
      </c>
      <c r="T374" s="147">
        <v>45345</v>
      </c>
      <c r="U374" s="124"/>
      <c r="V374" s="124"/>
    </row>
    <row r="375" spans="1:22" ht="234" x14ac:dyDescent="0.3">
      <c r="A375" s="124">
        <v>372</v>
      </c>
      <c r="B375" s="124" t="s">
        <v>40</v>
      </c>
      <c r="C375" s="44" t="s">
        <v>41</v>
      </c>
      <c r="D375" s="124" t="s">
        <v>58</v>
      </c>
      <c r="E375" s="124" t="s">
        <v>88</v>
      </c>
      <c r="F375" s="44" t="s">
        <v>820</v>
      </c>
      <c r="G375" s="124" t="s">
        <v>184</v>
      </c>
      <c r="H375" s="124">
        <v>2156.20631</v>
      </c>
      <c r="I375" s="124">
        <v>1</v>
      </c>
      <c r="J375" s="124">
        <v>2156.20631</v>
      </c>
      <c r="K375" s="124">
        <v>2156.20631</v>
      </c>
      <c r="L375" s="124">
        <v>1</v>
      </c>
      <c r="M375" s="124">
        <v>2156.20631</v>
      </c>
      <c r="N375" s="6" t="s">
        <v>821</v>
      </c>
      <c r="O375" s="123">
        <v>45324</v>
      </c>
      <c r="P375" s="33" t="str">
        <f>HYPERLINK("https://my.zakupivli.pro/remote/dispatcher/state_purchase_view/48906477", "UA-2024-02-02-012574-a")</f>
        <v>UA-2024-02-02-012574-a</v>
      </c>
      <c r="Q375" s="124">
        <v>2156.0509999999999</v>
      </c>
      <c r="R375" s="124">
        <v>1</v>
      </c>
      <c r="S375" s="146">
        <v>2156.0509999999999</v>
      </c>
      <c r="T375" s="147">
        <v>45345</v>
      </c>
      <c r="U375" s="124"/>
      <c r="V375" s="124"/>
    </row>
    <row r="376" spans="1:22" ht="140.4" x14ac:dyDescent="0.3">
      <c r="A376" s="124">
        <v>373</v>
      </c>
      <c r="B376" s="124" t="s">
        <v>40</v>
      </c>
      <c r="C376" s="44" t="s">
        <v>41</v>
      </c>
      <c r="D376" s="124" t="s">
        <v>58</v>
      </c>
      <c r="E376" s="124" t="s">
        <v>88</v>
      </c>
      <c r="F376" s="44" t="s">
        <v>822</v>
      </c>
      <c r="G376" s="124" t="s">
        <v>184</v>
      </c>
      <c r="H376" s="119">
        <v>5482.5</v>
      </c>
      <c r="I376" s="124">
        <v>1</v>
      </c>
      <c r="J376" s="119">
        <v>5482.5</v>
      </c>
      <c r="K376" s="119">
        <v>5482.5</v>
      </c>
      <c r="L376" s="124">
        <v>1</v>
      </c>
      <c r="M376" s="119">
        <v>5482.5</v>
      </c>
      <c r="N376" s="6" t="s">
        <v>823</v>
      </c>
      <c r="O376" s="123">
        <v>45324</v>
      </c>
      <c r="P376" s="42" t="str">
        <f>HYPERLINK("https://my.zakupivli.pro/remote/dispatcher/state_purchase_view/48906433", "UA-2024-02-02-012545-a")</f>
        <v>UA-2024-02-02-012545-a</v>
      </c>
      <c r="Q376" s="124">
        <v>5395.5066699999998</v>
      </c>
      <c r="R376" s="124">
        <v>1</v>
      </c>
      <c r="S376" s="191">
        <v>5395.5066699999998</v>
      </c>
      <c r="T376" s="123">
        <v>45358</v>
      </c>
      <c r="U376" s="124"/>
      <c r="V376" s="124"/>
    </row>
    <row r="377" spans="1:22" ht="218.4" x14ac:dyDescent="0.3">
      <c r="A377" s="124">
        <v>374</v>
      </c>
      <c r="B377" s="124" t="s">
        <v>40</v>
      </c>
      <c r="C377" s="44" t="s">
        <v>41</v>
      </c>
      <c r="D377" s="124" t="s">
        <v>58</v>
      </c>
      <c r="E377" s="124" t="s">
        <v>88</v>
      </c>
      <c r="F377" s="44" t="s">
        <v>824</v>
      </c>
      <c r="G377" s="124" t="s">
        <v>184</v>
      </c>
      <c r="H377" s="124">
        <v>2525.36</v>
      </c>
      <c r="I377" s="124">
        <v>1</v>
      </c>
      <c r="J377" s="124">
        <v>2525.36</v>
      </c>
      <c r="K377" s="124">
        <v>2525.36</v>
      </c>
      <c r="L377" s="124">
        <v>1</v>
      </c>
      <c r="M377" s="124">
        <v>2525.36</v>
      </c>
      <c r="N377" s="6" t="s">
        <v>826</v>
      </c>
      <c r="O377" s="123">
        <v>45324</v>
      </c>
      <c r="P377" s="33" t="str">
        <f>HYPERLINK("https://my.zakupivli.pro/remote/dispatcher/state_purchase_view/48906057", "UA-2024-02-02-012435-a")</f>
        <v>UA-2024-02-02-012435-a</v>
      </c>
      <c r="Q377" s="124">
        <v>2525.2122399999998</v>
      </c>
      <c r="R377" s="124">
        <v>1</v>
      </c>
      <c r="S377" s="146">
        <v>2525.2122399999998</v>
      </c>
      <c r="T377" s="123">
        <v>45345</v>
      </c>
      <c r="U377" s="124"/>
      <c r="V377" s="124"/>
    </row>
    <row r="378" spans="1:22" ht="218.4" x14ac:dyDescent="0.3">
      <c r="A378" s="124">
        <v>375</v>
      </c>
      <c r="B378" s="124" t="s">
        <v>40</v>
      </c>
      <c r="C378" s="44" t="s">
        <v>41</v>
      </c>
      <c r="D378" s="124" t="s">
        <v>58</v>
      </c>
      <c r="E378" s="124" t="s">
        <v>88</v>
      </c>
      <c r="F378" s="44" t="s">
        <v>825</v>
      </c>
      <c r="G378" s="124" t="s">
        <v>184</v>
      </c>
      <c r="H378" s="124">
        <v>7262.14</v>
      </c>
      <c r="I378" s="124">
        <v>1</v>
      </c>
      <c r="J378" s="124">
        <v>7262.14</v>
      </c>
      <c r="K378" s="124">
        <v>7262.14</v>
      </c>
      <c r="L378" s="124">
        <v>1</v>
      </c>
      <c r="M378" s="124">
        <v>7262.14</v>
      </c>
      <c r="N378" s="6" t="s">
        <v>826</v>
      </c>
      <c r="O378" s="123">
        <v>45324</v>
      </c>
      <c r="P378" s="33" t="str">
        <f>HYPERLINK("https://my.zakupivli.pro/remote/dispatcher/state_purchase_view/48906057", "UA-2024-02-02-012435-a")</f>
        <v>UA-2024-02-02-012435-a</v>
      </c>
      <c r="Q378" s="124">
        <v>7082.54709</v>
      </c>
      <c r="R378" s="124">
        <v>1</v>
      </c>
      <c r="S378" s="146">
        <v>7082.54709</v>
      </c>
      <c r="T378" s="147">
        <v>45345</v>
      </c>
      <c r="U378" s="124"/>
      <c r="V378" s="124"/>
    </row>
    <row r="379" spans="1:22" ht="140.4" x14ac:dyDescent="0.3">
      <c r="A379" s="124">
        <v>376</v>
      </c>
      <c r="B379" s="124" t="s">
        <v>40</v>
      </c>
      <c r="C379" s="44" t="s">
        <v>41</v>
      </c>
      <c r="D379" s="124" t="s">
        <v>58</v>
      </c>
      <c r="E379" s="124" t="s">
        <v>88</v>
      </c>
      <c r="F379" s="44" t="s">
        <v>827</v>
      </c>
      <c r="G379" s="124" t="s">
        <v>184</v>
      </c>
      <c r="H379" s="124">
        <v>3379.05</v>
      </c>
      <c r="I379" s="124">
        <v>1</v>
      </c>
      <c r="J379" s="124">
        <v>3379.05</v>
      </c>
      <c r="K379" s="124">
        <v>3379.05</v>
      </c>
      <c r="L379" s="124">
        <v>1</v>
      </c>
      <c r="M379" s="124">
        <v>3379.05</v>
      </c>
      <c r="N379" s="6" t="s">
        <v>828</v>
      </c>
      <c r="O379" s="123">
        <v>45324</v>
      </c>
      <c r="P379" s="33" t="str">
        <f>HYPERLINK("https://my.zakupivli.pro/remote/dispatcher/state_purchase_view/48905507", "UA-2024-02-02-012110-a")</f>
        <v>UA-2024-02-02-012110-a</v>
      </c>
      <c r="Q379" s="124">
        <v>3369.45262</v>
      </c>
      <c r="R379" s="124">
        <v>1</v>
      </c>
      <c r="S379" s="146">
        <v>3369.45262</v>
      </c>
      <c r="T379" s="147">
        <v>45345</v>
      </c>
      <c r="U379" s="124"/>
      <c r="V379" s="124"/>
    </row>
    <row r="380" spans="1:22" ht="140.4" x14ac:dyDescent="0.3">
      <c r="A380" s="124">
        <v>377</v>
      </c>
      <c r="B380" s="124" t="s">
        <v>40</v>
      </c>
      <c r="C380" s="44" t="s">
        <v>41</v>
      </c>
      <c r="D380" s="124" t="s">
        <v>58</v>
      </c>
      <c r="E380" s="124" t="s">
        <v>88</v>
      </c>
      <c r="F380" s="44" t="s">
        <v>829</v>
      </c>
      <c r="G380" s="124" t="s">
        <v>184</v>
      </c>
      <c r="H380" s="124">
        <v>5108.74</v>
      </c>
      <c r="I380" s="124">
        <v>1</v>
      </c>
      <c r="J380" s="124">
        <v>5108.74</v>
      </c>
      <c r="K380" s="124">
        <v>5108.74</v>
      </c>
      <c r="L380" s="124">
        <v>1</v>
      </c>
      <c r="M380" s="124">
        <v>5108.74</v>
      </c>
      <c r="N380" s="6" t="s">
        <v>830</v>
      </c>
      <c r="O380" s="123">
        <v>45324</v>
      </c>
      <c r="P380" s="33" t="str">
        <f>HYPERLINK("https://my.zakupivli.pro/remote/dispatcher/state_purchase_view/48905205", "UA-2024-02-02-011984-a")</f>
        <v>UA-2024-02-02-011984-a</v>
      </c>
      <c r="Q380" s="124">
        <v>5108.5941199999997</v>
      </c>
      <c r="R380" s="124">
        <v>1</v>
      </c>
      <c r="S380" s="146">
        <v>5108.5941199999997</v>
      </c>
      <c r="T380" s="123">
        <v>45345</v>
      </c>
      <c r="U380" s="124"/>
      <c r="V380" s="124"/>
    </row>
    <row r="381" spans="1:22" ht="124.8" x14ac:dyDescent="0.3">
      <c r="A381" s="124">
        <v>378</v>
      </c>
      <c r="B381" s="124" t="s">
        <v>40</v>
      </c>
      <c r="C381" s="44" t="s">
        <v>41</v>
      </c>
      <c r="D381" s="124" t="s">
        <v>58</v>
      </c>
      <c r="E381" s="124" t="s">
        <v>88</v>
      </c>
      <c r="F381" s="44" t="s">
        <v>831</v>
      </c>
      <c r="G381" s="124" t="s">
        <v>184</v>
      </c>
      <c r="H381" s="124">
        <v>3600.39</v>
      </c>
      <c r="I381" s="124">
        <v>1</v>
      </c>
      <c r="J381" s="124">
        <v>3600.39</v>
      </c>
      <c r="K381" s="124">
        <v>3600.39</v>
      </c>
      <c r="L381" s="124">
        <v>1</v>
      </c>
      <c r="M381" s="124">
        <v>3600.39</v>
      </c>
      <c r="N381" s="6" t="s">
        <v>832</v>
      </c>
      <c r="O381" s="123">
        <v>45324</v>
      </c>
      <c r="P381" s="33" t="str">
        <f>HYPERLINK("https://my.zakupivli.pro/remote/dispatcher/state_purchase_view/48904634", "UA-2024-02-02-011751-a")</f>
        <v>UA-2024-02-02-011751-a</v>
      </c>
      <c r="Q381" s="124">
        <v>3595.6838499999999</v>
      </c>
      <c r="R381" s="124">
        <v>1</v>
      </c>
      <c r="S381" s="146">
        <v>3595.6838499999999</v>
      </c>
      <c r="T381" s="123">
        <v>45343</v>
      </c>
      <c r="U381" s="124"/>
      <c r="V381" s="124"/>
    </row>
    <row r="382" spans="1:22" ht="109.2" x14ac:dyDescent="0.3">
      <c r="A382" s="124">
        <v>379</v>
      </c>
      <c r="B382" s="124" t="s">
        <v>40</v>
      </c>
      <c r="C382" s="44" t="s">
        <v>41</v>
      </c>
      <c r="D382" s="124" t="s">
        <v>58</v>
      </c>
      <c r="E382" s="124" t="s">
        <v>88</v>
      </c>
      <c r="F382" s="44" t="s">
        <v>833</v>
      </c>
      <c r="G382" s="124" t="s">
        <v>184</v>
      </c>
      <c r="H382" s="124">
        <v>3061.681</v>
      </c>
      <c r="I382" s="124">
        <v>1</v>
      </c>
      <c r="J382" s="124">
        <v>3061.681</v>
      </c>
      <c r="K382" s="124">
        <v>3061.681</v>
      </c>
      <c r="L382" s="124">
        <v>1</v>
      </c>
      <c r="M382" s="124">
        <v>3061.681</v>
      </c>
      <c r="N382" s="6" t="s">
        <v>834</v>
      </c>
      <c r="O382" s="123">
        <v>45324</v>
      </c>
      <c r="P382" s="33" t="str">
        <f>HYPERLINK("https://my.zakupivli.pro/remote/dispatcher/state_purchase_view/48904467", "UA-2024-02-02-011638-a")</f>
        <v>UA-2024-02-02-011638-a</v>
      </c>
      <c r="Q382" s="124">
        <v>3047.6784499999999</v>
      </c>
      <c r="R382" s="124">
        <v>1</v>
      </c>
      <c r="S382" s="146">
        <v>3047.6784499999999</v>
      </c>
      <c r="T382" s="123">
        <v>45342</v>
      </c>
      <c r="U382" s="124"/>
      <c r="V382" s="124"/>
    </row>
    <row r="383" spans="1:22" ht="109.2" x14ac:dyDescent="0.3">
      <c r="A383" s="124">
        <v>380</v>
      </c>
      <c r="B383" s="124" t="s">
        <v>40</v>
      </c>
      <c r="C383" s="44" t="s">
        <v>41</v>
      </c>
      <c r="D383" s="124" t="s">
        <v>58</v>
      </c>
      <c r="E383" s="124" t="s">
        <v>88</v>
      </c>
      <c r="F383" s="44" t="s">
        <v>835</v>
      </c>
      <c r="G383" s="124" t="s">
        <v>184</v>
      </c>
      <c r="H383" s="124">
        <v>3249.9830000000002</v>
      </c>
      <c r="I383" s="124">
        <v>1</v>
      </c>
      <c r="J383" s="124">
        <v>3249.9830000000002</v>
      </c>
      <c r="K383" s="124">
        <v>3249.9830000000002</v>
      </c>
      <c r="L383" s="124">
        <v>1</v>
      </c>
      <c r="M383" s="124">
        <v>3249.9830000000002</v>
      </c>
      <c r="N383" s="6" t="s">
        <v>836</v>
      </c>
      <c r="O383" s="123">
        <v>45324</v>
      </c>
      <c r="P383" s="33" t="str">
        <f>HYPERLINK("https://my.zakupivli.pro/remote/dispatcher/state_purchase_view/48904066", "UA-2024-02-02-011602-a")</f>
        <v>UA-2024-02-02-011602-a</v>
      </c>
      <c r="Q383" s="124">
        <v>3244.7617</v>
      </c>
      <c r="R383" s="124">
        <v>1</v>
      </c>
      <c r="S383" s="146">
        <v>3244.7617</v>
      </c>
      <c r="T383" s="147">
        <v>45342</v>
      </c>
      <c r="U383" s="124"/>
      <c r="V383" s="124"/>
    </row>
    <row r="384" spans="1:22" ht="202.8" x14ac:dyDescent="0.3">
      <c r="A384" s="124">
        <v>381</v>
      </c>
      <c r="B384" s="124" t="s">
        <v>40</v>
      </c>
      <c r="C384" s="44" t="s">
        <v>41</v>
      </c>
      <c r="D384" s="124" t="s">
        <v>58</v>
      </c>
      <c r="E384" s="124" t="s">
        <v>88</v>
      </c>
      <c r="F384" s="44" t="s">
        <v>837</v>
      </c>
      <c r="G384" s="124" t="s">
        <v>184</v>
      </c>
      <c r="H384" s="124">
        <v>8349.8189399999992</v>
      </c>
      <c r="I384" s="124">
        <v>1</v>
      </c>
      <c r="J384" s="124">
        <v>8349.8189399999992</v>
      </c>
      <c r="K384" s="124">
        <v>8349.8189399999992</v>
      </c>
      <c r="L384" s="124">
        <v>1</v>
      </c>
      <c r="M384" s="124">
        <v>8349.8189399999992</v>
      </c>
      <c r="N384" s="6" t="s">
        <v>839</v>
      </c>
      <c r="O384" s="123">
        <v>45324</v>
      </c>
      <c r="P384" s="33" t="str">
        <f>HYPERLINK("https://my.zakupivli.pro/remote/dispatcher/state_purchase_view/48903944", "UA-2024-02-02-011459-a")</f>
        <v>UA-2024-02-02-011459-a</v>
      </c>
      <c r="Q384" s="124"/>
      <c r="R384" s="124"/>
      <c r="S384" s="124"/>
      <c r="T384" s="123"/>
      <c r="U384" s="131" t="s">
        <v>93</v>
      </c>
      <c r="V384" s="124"/>
    </row>
    <row r="385" spans="1:22" ht="218.4" x14ac:dyDescent="0.3">
      <c r="A385" s="124">
        <v>382</v>
      </c>
      <c r="B385" s="124" t="s">
        <v>40</v>
      </c>
      <c r="C385" s="44" t="s">
        <v>41</v>
      </c>
      <c r="D385" s="124" t="s">
        <v>58</v>
      </c>
      <c r="E385" s="124" t="s">
        <v>88</v>
      </c>
      <c r="F385" s="44" t="s">
        <v>838</v>
      </c>
      <c r="G385" s="124" t="s">
        <v>184</v>
      </c>
      <c r="H385" s="124">
        <v>6432.3817799999997</v>
      </c>
      <c r="I385" s="124">
        <v>1</v>
      </c>
      <c r="J385" s="124">
        <v>6432.3817799999997</v>
      </c>
      <c r="K385" s="124">
        <v>6432.3817799999997</v>
      </c>
      <c r="L385" s="124">
        <v>1</v>
      </c>
      <c r="M385" s="124">
        <v>6432.3817799999997</v>
      </c>
      <c r="N385" s="6" t="s">
        <v>839</v>
      </c>
      <c r="O385" s="123">
        <v>45324</v>
      </c>
      <c r="P385" s="33" t="str">
        <f>HYPERLINK("https://my.zakupivli.pro/remote/dispatcher/state_purchase_view/48903944", "UA-2024-02-02-011459-a")</f>
        <v>UA-2024-02-02-011459-a</v>
      </c>
      <c r="Q385" s="124"/>
      <c r="R385" s="124"/>
      <c r="S385" s="124"/>
      <c r="T385" s="123"/>
      <c r="U385" s="131" t="s">
        <v>93</v>
      </c>
      <c r="V385" s="124"/>
    </row>
    <row r="386" spans="1:22" ht="140.4" x14ac:dyDescent="0.3">
      <c r="A386" s="124">
        <v>383</v>
      </c>
      <c r="B386" s="124" t="s">
        <v>40</v>
      </c>
      <c r="C386" s="44" t="s">
        <v>41</v>
      </c>
      <c r="D386" s="124" t="s">
        <v>58</v>
      </c>
      <c r="E386" s="124" t="s">
        <v>88</v>
      </c>
      <c r="F386" s="44" t="s">
        <v>840</v>
      </c>
      <c r="G386" s="124" t="s">
        <v>184</v>
      </c>
      <c r="H386" s="124">
        <v>1489.52</v>
      </c>
      <c r="I386" s="124">
        <v>1</v>
      </c>
      <c r="J386" s="124">
        <v>1489.52</v>
      </c>
      <c r="K386" s="124">
        <v>1489.52</v>
      </c>
      <c r="L386" s="124">
        <v>1</v>
      </c>
      <c r="M386" s="124">
        <v>1489.52</v>
      </c>
      <c r="N386" s="6" t="s">
        <v>841</v>
      </c>
      <c r="O386" s="123">
        <v>45324</v>
      </c>
      <c r="P386" s="33" t="str">
        <f>HYPERLINK("https://my.zakupivli.pro/remote/dispatcher/state_purchase_view/48903877", "UA-2024-02-02-011398-a")</f>
        <v>UA-2024-02-02-011398-a</v>
      </c>
      <c r="Q386" s="119">
        <v>1375</v>
      </c>
      <c r="R386" s="124">
        <v>1</v>
      </c>
      <c r="S386" s="119">
        <v>1375</v>
      </c>
      <c r="T386" s="123">
        <v>45342</v>
      </c>
      <c r="U386" s="124"/>
      <c r="V386" s="124"/>
    </row>
    <row r="387" spans="1:22" ht="140.4" x14ac:dyDescent="0.3">
      <c r="A387" s="124">
        <v>384</v>
      </c>
      <c r="B387" s="124" t="s">
        <v>40</v>
      </c>
      <c r="C387" s="44" t="s">
        <v>41</v>
      </c>
      <c r="D387" s="124" t="s">
        <v>58</v>
      </c>
      <c r="E387" s="124" t="s">
        <v>88</v>
      </c>
      <c r="F387" s="44" t="s">
        <v>842</v>
      </c>
      <c r="G387" s="124" t="s">
        <v>184</v>
      </c>
      <c r="H387" s="124">
        <v>1842.9317599999999</v>
      </c>
      <c r="I387" s="124">
        <v>1</v>
      </c>
      <c r="J387" s="124">
        <v>1842.9317599999999</v>
      </c>
      <c r="K387" s="124">
        <v>1842.9317599999999</v>
      </c>
      <c r="L387" s="124">
        <v>1</v>
      </c>
      <c r="M387" s="124">
        <v>1842.9317599999999</v>
      </c>
      <c r="N387" s="6" t="s">
        <v>843</v>
      </c>
      <c r="O387" s="123">
        <v>45324</v>
      </c>
      <c r="P387" s="33" t="str">
        <f>HYPERLINK("https://my.zakupivli.pro/remote/dispatcher/state_purchase_view/48903690", "UA-2024-02-02-011282-a")</f>
        <v>UA-2024-02-02-011282-a</v>
      </c>
      <c r="Q387" s="124">
        <v>1545.0863999999999</v>
      </c>
      <c r="R387" s="124">
        <v>1</v>
      </c>
      <c r="S387" s="146">
        <v>1545.0863999999999</v>
      </c>
      <c r="T387" s="147">
        <v>45342</v>
      </c>
      <c r="U387" s="124"/>
      <c r="V387" s="124"/>
    </row>
    <row r="388" spans="1:22" ht="124.8" x14ac:dyDescent="0.3">
      <c r="A388" s="124">
        <v>385</v>
      </c>
      <c r="B388" s="124" t="s">
        <v>40</v>
      </c>
      <c r="C388" s="44" t="s">
        <v>41</v>
      </c>
      <c r="D388" s="124" t="s">
        <v>58</v>
      </c>
      <c r="E388" s="124" t="s">
        <v>88</v>
      </c>
      <c r="F388" s="41" t="s">
        <v>844</v>
      </c>
      <c r="G388" s="124" t="s">
        <v>184</v>
      </c>
      <c r="H388" s="124">
        <v>1965.6579999999999</v>
      </c>
      <c r="I388" s="124">
        <v>1</v>
      </c>
      <c r="J388" s="124">
        <v>1965.6579999999999</v>
      </c>
      <c r="K388" s="124">
        <v>1965.6579999999999</v>
      </c>
      <c r="L388" s="124">
        <v>1</v>
      </c>
      <c r="M388" s="124">
        <v>1965.6579999999999</v>
      </c>
      <c r="N388" s="6" t="s">
        <v>845</v>
      </c>
      <c r="O388" s="123">
        <v>45324</v>
      </c>
      <c r="P388" s="33" t="str">
        <f>HYPERLINK("https://my.zakupivli.pro/remote/dispatcher/state_purchase_view/48903252", "UA-2024-02-02-011124-a")</f>
        <v>UA-2024-02-02-011124-a</v>
      </c>
      <c r="Q388" s="124">
        <v>1929.05405</v>
      </c>
      <c r="R388" s="124">
        <v>1</v>
      </c>
      <c r="S388" s="146">
        <v>1929.05405</v>
      </c>
      <c r="T388" s="147">
        <v>45342</v>
      </c>
      <c r="U388" s="124"/>
      <c r="V388" s="124"/>
    </row>
    <row r="389" spans="1:22" ht="124.8" x14ac:dyDescent="0.3">
      <c r="A389" s="124">
        <v>386</v>
      </c>
      <c r="B389" s="124" t="s">
        <v>40</v>
      </c>
      <c r="C389" s="44" t="s">
        <v>41</v>
      </c>
      <c r="D389" s="124" t="s">
        <v>58</v>
      </c>
      <c r="E389" s="124" t="s">
        <v>88</v>
      </c>
      <c r="F389" s="44" t="s">
        <v>846</v>
      </c>
      <c r="G389" s="124" t="s">
        <v>184</v>
      </c>
      <c r="H389" s="124">
        <v>2855.15</v>
      </c>
      <c r="I389" s="124">
        <v>1</v>
      </c>
      <c r="J389" s="124">
        <v>2855.15</v>
      </c>
      <c r="K389" s="124">
        <v>2855.15</v>
      </c>
      <c r="L389" s="124">
        <v>1</v>
      </c>
      <c r="M389" s="124">
        <v>2855.15</v>
      </c>
      <c r="N389" s="6" t="s">
        <v>847</v>
      </c>
      <c r="O389" s="123">
        <v>45324</v>
      </c>
      <c r="P389" s="33" t="str">
        <f>HYPERLINK("https://my.zakupivli.pro/remote/dispatcher/state_purchase_view/48903036", "UA-2024-02-02-010994-a")</f>
        <v>UA-2024-02-02-010994-a</v>
      </c>
      <c r="Q389" s="124">
        <v>2853.7132700000002</v>
      </c>
      <c r="R389" s="124">
        <v>1</v>
      </c>
      <c r="S389" s="146">
        <v>2853.7132700000002</v>
      </c>
      <c r="T389" s="123">
        <v>45345</v>
      </c>
      <c r="U389" s="124"/>
      <c r="V389" s="124"/>
    </row>
    <row r="390" spans="1:22" ht="62.4" x14ac:dyDescent="0.3">
      <c r="A390" s="124">
        <v>387</v>
      </c>
      <c r="B390" s="124" t="s">
        <v>40</v>
      </c>
      <c r="C390" s="44" t="s">
        <v>73</v>
      </c>
      <c r="D390" s="124"/>
      <c r="E390" s="124" t="s">
        <v>75</v>
      </c>
      <c r="F390" s="44" t="s">
        <v>848</v>
      </c>
      <c r="G390" s="124" t="s">
        <v>184</v>
      </c>
      <c r="H390" s="124">
        <v>156.30500000000001</v>
      </c>
      <c r="I390" s="124">
        <v>1</v>
      </c>
      <c r="J390" s="124">
        <v>156.30500000000001</v>
      </c>
      <c r="K390" s="124">
        <v>156.30500000000001</v>
      </c>
      <c r="L390" s="124">
        <v>1</v>
      </c>
      <c r="M390" s="124">
        <v>156.30500000000001</v>
      </c>
      <c r="N390" s="6" t="s">
        <v>851</v>
      </c>
      <c r="O390" s="123">
        <v>45324</v>
      </c>
      <c r="P390" s="33" t="str">
        <f>HYPERLINK("https://my.zakupivli.pro/remote/dispatcher/state_purchase_view/48906947", "UA-2024-02-02-012790-a")</f>
        <v>UA-2024-02-02-012790-a</v>
      </c>
      <c r="Q390" s="124">
        <v>156.30500000000001</v>
      </c>
      <c r="R390" s="124">
        <v>1</v>
      </c>
      <c r="S390" s="124">
        <v>156.30500000000001</v>
      </c>
      <c r="T390" s="155">
        <v>45324</v>
      </c>
      <c r="U390" s="124"/>
      <c r="V390" s="124" t="s">
        <v>59</v>
      </c>
    </row>
    <row r="391" spans="1:22" ht="62.4" x14ac:dyDescent="0.3">
      <c r="A391" s="124">
        <v>388</v>
      </c>
      <c r="B391" s="124" t="s">
        <v>40</v>
      </c>
      <c r="C391" s="44" t="s">
        <v>73</v>
      </c>
      <c r="D391" s="124"/>
      <c r="E391" s="124" t="s">
        <v>75</v>
      </c>
      <c r="F391" s="44" t="s">
        <v>849</v>
      </c>
      <c r="G391" s="124" t="s">
        <v>184</v>
      </c>
      <c r="H391" s="124">
        <v>110.2067</v>
      </c>
      <c r="I391" s="124">
        <v>1</v>
      </c>
      <c r="J391" s="124">
        <v>110.2067</v>
      </c>
      <c r="K391" s="124">
        <v>110.2067</v>
      </c>
      <c r="L391" s="124">
        <v>1</v>
      </c>
      <c r="M391" s="124">
        <v>110.2067</v>
      </c>
      <c r="N391" s="6" t="s">
        <v>852</v>
      </c>
      <c r="O391" s="123">
        <v>45324</v>
      </c>
      <c r="P391" s="33" t="str">
        <f>HYPERLINK("https://my.zakupivli.pro/remote/dispatcher/state_purchase_view/48880326", "UA-2024-02-02-000824-a")</f>
        <v>UA-2024-02-02-000824-a</v>
      </c>
      <c r="Q391" s="124">
        <v>110.2067</v>
      </c>
      <c r="R391" s="124">
        <v>1</v>
      </c>
      <c r="S391" s="124">
        <v>110.2067</v>
      </c>
      <c r="T391" s="155">
        <v>45324</v>
      </c>
      <c r="U391" s="124"/>
      <c r="V391" s="124" t="s">
        <v>59</v>
      </c>
    </row>
    <row r="392" spans="1:22" ht="62.4" x14ac:dyDescent="0.3">
      <c r="A392" s="124">
        <v>389</v>
      </c>
      <c r="B392" s="124" t="s">
        <v>40</v>
      </c>
      <c r="C392" s="44" t="s">
        <v>73</v>
      </c>
      <c r="D392" s="124"/>
      <c r="E392" s="124" t="s">
        <v>75</v>
      </c>
      <c r="F392" s="44" t="s">
        <v>850</v>
      </c>
      <c r="G392" s="124" t="s">
        <v>184</v>
      </c>
      <c r="H392" s="124">
        <v>251.22640000000001</v>
      </c>
      <c r="I392" s="124">
        <v>1</v>
      </c>
      <c r="J392" s="124">
        <v>251.22640000000001</v>
      </c>
      <c r="K392" s="124">
        <v>251.22640000000001</v>
      </c>
      <c r="L392" s="124">
        <v>1</v>
      </c>
      <c r="M392" s="124">
        <v>251.22640000000001</v>
      </c>
      <c r="N392" s="6" t="s">
        <v>853</v>
      </c>
      <c r="O392" s="123">
        <v>45324</v>
      </c>
      <c r="P392" s="33" t="str">
        <f>HYPERLINK("https://my.zakupivli.pro/remote/dispatcher/state_purchase_view/48879722", "UA-2024-02-02-000542-a")</f>
        <v>UA-2024-02-02-000542-a</v>
      </c>
      <c r="Q392" s="124">
        <v>251.22640000000001</v>
      </c>
      <c r="R392" s="124">
        <v>1</v>
      </c>
      <c r="S392" s="124">
        <v>251.22640000000001</v>
      </c>
      <c r="T392" s="155">
        <v>45324</v>
      </c>
      <c r="U392" s="124"/>
      <c r="V392" s="124" t="s">
        <v>59</v>
      </c>
    </row>
    <row r="393" spans="1:22" ht="124.8" x14ac:dyDescent="0.3">
      <c r="A393" s="124">
        <v>390</v>
      </c>
      <c r="B393" s="124" t="s">
        <v>40</v>
      </c>
      <c r="C393" s="44" t="s">
        <v>41</v>
      </c>
      <c r="D393" s="124" t="s">
        <v>58</v>
      </c>
      <c r="E393" s="124" t="s">
        <v>88</v>
      </c>
      <c r="F393" s="44" t="s">
        <v>854</v>
      </c>
      <c r="G393" s="124" t="s">
        <v>184</v>
      </c>
      <c r="H393" s="124">
        <v>46628.046950000004</v>
      </c>
      <c r="I393" s="124">
        <v>1</v>
      </c>
      <c r="J393" s="124">
        <v>46628.046950000004</v>
      </c>
      <c r="K393" s="124">
        <v>46628.046950000004</v>
      </c>
      <c r="L393" s="124">
        <v>1</v>
      </c>
      <c r="M393" s="124">
        <v>46628.046950000004</v>
      </c>
      <c r="N393" s="6" t="s">
        <v>855</v>
      </c>
      <c r="O393" s="123">
        <v>45324</v>
      </c>
      <c r="P393" s="42" t="str">
        <f>HYPERLINK("https://my.zakupivli.pro/remote/dispatcher/state_purchase_view/48908684", "UA-2024-02-02-013586-a")</f>
        <v>UA-2024-02-02-013586-a</v>
      </c>
      <c r="Q393" s="124"/>
      <c r="R393" s="124"/>
      <c r="S393" s="124"/>
      <c r="T393" s="123"/>
      <c r="U393" s="131" t="s">
        <v>93</v>
      </c>
      <c r="V393" s="124"/>
    </row>
    <row r="394" spans="1:22" ht="93.6" x14ac:dyDescent="0.3">
      <c r="A394" s="124">
        <v>391</v>
      </c>
      <c r="B394" s="124" t="s">
        <v>40</v>
      </c>
      <c r="C394" s="44" t="s">
        <v>41</v>
      </c>
      <c r="D394" s="124" t="s">
        <v>58</v>
      </c>
      <c r="E394" s="124" t="s">
        <v>88</v>
      </c>
      <c r="F394" s="44" t="s">
        <v>856</v>
      </c>
      <c r="G394" s="124" t="s">
        <v>184</v>
      </c>
      <c r="H394" s="124">
        <v>2673.0005700000002</v>
      </c>
      <c r="I394" s="124">
        <v>1</v>
      </c>
      <c r="J394" s="124">
        <v>2673.0005700000002</v>
      </c>
      <c r="K394" s="124">
        <v>2673.0005700000002</v>
      </c>
      <c r="L394" s="124">
        <v>1</v>
      </c>
      <c r="M394" s="124">
        <v>2673.0005700000002</v>
      </c>
      <c r="N394" s="6" t="s">
        <v>858</v>
      </c>
      <c r="O394" s="123">
        <v>45324</v>
      </c>
      <c r="P394" s="33" t="str">
        <f>HYPERLINK("https://my.zakupivli.pro/remote/dispatcher/state_purchase_view/48908032", "UA-2024-02-02-013279-a")</f>
        <v>UA-2024-02-02-013279-a</v>
      </c>
      <c r="Q394" s="124"/>
      <c r="R394" s="124"/>
      <c r="S394" s="124"/>
      <c r="T394" s="123"/>
      <c r="U394" s="146" t="s">
        <v>93</v>
      </c>
      <c r="V394" s="124"/>
    </row>
    <row r="395" spans="1:22" ht="93.6" x14ac:dyDescent="0.3">
      <c r="A395" s="124">
        <v>392</v>
      </c>
      <c r="B395" s="124" t="s">
        <v>40</v>
      </c>
      <c r="C395" s="44" t="s">
        <v>41</v>
      </c>
      <c r="D395" s="124" t="s">
        <v>58</v>
      </c>
      <c r="E395" s="124" t="s">
        <v>88</v>
      </c>
      <c r="F395" s="44" t="s">
        <v>857</v>
      </c>
      <c r="G395" s="124" t="s">
        <v>184</v>
      </c>
      <c r="H395" s="124">
        <v>1517.3883000000001</v>
      </c>
      <c r="I395" s="124">
        <v>1</v>
      </c>
      <c r="J395" s="124">
        <v>1517.3883000000001</v>
      </c>
      <c r="K395" s="124">
        <v>1517.3883000000001</v>
      </c>
      <c r="L395" s="124">
        <v>1</v>
      </c>
      <c r="M395" s="124">
        <v>1517.3883000000001</v>
      </c>
      <c r="N395" s="6" t="s">
        <v>858</v>
      </c>
      <c r="O395" s="123">
        <v>45324</v>
      </c>
      <c r="P395" s="33" t="str">
        <f>HYPERLINK("https://my.zakupivli.pro/remote/dispatcher/state_purchase_view/48908032", "UA-2024-02-02-013279-a")</f>
        <v>UA-2024-02-02-013279-a</v>
      </c>
      <c r="Q395" s="124"/>
      <c r="R395" s="124"/>
      <c r="S395" s="124"/>
      <c r="T395" s="123"/>
      <c r="U395" s="146" t="s">
        <v>93</v>
      </c>
      <c r="V395" s="124"/>
    </row>
    <row r="396" spans="1:22" ht="93.6" x14ac:dyDescent="0.3">
      <c r="A396" s="124">
        <v>393</v>
      </c>
      <c r="B396" s="124" t="s">
        <v>40</v>
      </c>
      <c r="C396" s="44" t="s">
        <v>41</v>
      </c>
      <c r="D396" s="124" t="s">
        <v>58</v>
      </c>
      <c r="E396" s="124" t="s">
        <v>88</v>
      </c>
      <c r="F396" s="44" t="s">
        <v>859</v>
      </c>
      <c r="G396" s="124" t="s">
        <v>184</v>
      </c>
      <c r="H396" s="124">
        <v>8289.1450000000004</v>
      </c>
      <c r="I396" s="124">
        <v>1</v>
      </c>
      <c r="J396" s="124">
        <v>8289.1450000000004</v>
      </c>
      <c r="K396" s="124">
        <v>8289.1450000000004</v>
      </c>
      <c r="L396" s="124">
        <v>1</v>
      </c>
      <c r="M396" s="124">
        <v>8289.1450000000004</v>
      </c>
      <c r="N396" s="6" t="s">
        <v>861</v>
      </c>
      <c r="O396" s="123">
        <v>45324</v>
      </c>
      <c r="P396" s="33" t="str">
        <f>HYPERLINK("https://my.zakupivli.pro/remote/dispatcher/state_purchase_view/48907751", "UA-2024-02-02-013167-a")</f>
        <v>UA-2024-02-02-013167-a</v>
      </c>
      <c r="Q396" s="124">
        <v>7727.8095899999998</v>
      </c>
      <c r="R396" s="124">
        <v>1</v>
      </c>
      <c r="S396" s="146">
        <v>7727.8095899999998</v>
      </c>
      <c r="T396" s="123">
        <v>45345</v>
      </c>
      <c r="U396" s="124"/>
      <c r="V396" s="124"/>
    </row>
    <row r="397" spans="1:22" ht="93.6" x14ac:dyDescent="0.3">
      <c r="A397" s="124">
        <v>395</v>
      </c>
      <c r="B397" s="124" t="s">
        <v>40</v>
      </c>
      <c r="C397" s="44" t="s">
        <v>41</v>
      </c>
      <c r="D397" s="124" t="s">
        <v>58</v>
      </c>
      <c r="E397" s="124" t="s">
        <v>88</v>
      </c>
      <c r="F397" s="44" t="s">
        <v>860</v>
      </c>
      <c r="G397" s="124" t="s">
        <v>184</v>
      </c>
      <c r="H397" s="124">
        <v>7378.9748499999996</v>
      </c>
      <c r="I397" s="124">
        <v>1</v>
      </c>
      <c r="J397" s="124">
        <v>7378.9748499999996</v>
      </c>
      <c r="K397" s="124">
        <v>7378.9748499999996</v>
      </c>
      <c r="L397" s="124">
        <v>1</v>
      </c>
      <c r="M397" s="124">
        <v>7378.9748499999996</v>
      </c>
      <c r="N397" s="6" t="s">
        <v>861</v>
      </c>
      <c r="O397" s="123">
        <v>45324</v>
      </c>
      <c r="P397" s="33" t="str">
        <f>HYPERLINK("https://my.zakupivli.pro/remote/dispatcher/state_purchase_view/48907751", "UA-2024-02-02-013167-a")</f>
        <v>UA-2024-02-02-013167-a</v>
      </c>
      <c r="Q397" s="124">
        <v>7378.6265800000001</v>
      </c>
      <c r="R397" s="124">
        <v>1</v>
      </c>
      <c r="S397" s="146">
        <v>7378.6265800000001</v>
      </c>
      <c r="T397" s="123">
        <v>45342</v>
      </c>
      <c r="U397" s="124"/>
      <c r="V397" s="124"/>
    </row>
    <row r="398" spans="1:22" ht="140.4" x14ac:dyDescent="0.3">
      <c r="A398" s="124">
        <v>395</v>
      </c>
      <c r="B398" s="124" t="s">
        <v>40</v>
      </c>
      <c r="C398" s="44" t="s">
        <v>41</v>
      </c>
      <c r="D398" s="124" t="s">
        <v>58</v>
      </c>
      <c r="E398" s="124" t="s">
        <v>88</v>
      </c>
      <c r="F398" s="44" t="s">
        <v>862</v>
      </c>
      <c r="G398" s="124" t="s">
        <v>184</v>
      </c>
      <c r="H398" s="124">
        <v>2691.93</v>
      </c>
      <c r="I398" s="124">
        <v>1</v>
      </c>
      <c r="J398" s="124">
        <v>2691.93</v>
      </c>
      <c r="K398" s="124">
        <v>2691.93</v>
      </c>
      <c r="L398" s="124">
        <v>1</v>
      </c>
      <c r="M398" s="124">
        <v>2691.93</v>
      </c>
      <c r="N398" s="6" t="s">
        <v>863</v>
      </c>
      <c r="O398" s="123">
        <v>45324</v>
      </c>
      <c r="P398" s="33" t="str">
        <f>HYPERLINK("https://my.zakupivli.pro/remote/dispatcher/state_purchase_view/48907725", "UA-2024-02-02-013148-a")</f>
        <v>UA-2024-02-02-013148-a</v>
      </c>
      <c r="Q398" s="124">
        <v>2691.7078499999998</v>
      </c>
      <c r="R398" s="124">
        <v>1</v>
      </c>
      <c r="S398" s="146">
        <v>2691.7078499999998</v>
      </c>
      <c r="T398" s="147">
        <v>45345</v>
      </c>
      <c r="U398" s="124"/>
      <c r="V398" s="124"/>
    </row>
    <row r="399" spans="1:22" ht="187.2" x14ac:dyDescent="0.3">
      <c r="A399" s="124">
        <v>396</v>
      </c>
      <c r="B399" s="124" t="s">
        <v>40</v>
      </c>
      <c r="C399" s="44" t="s">
        <v>41</v>
      </c>
      <c r="D399" s="124" t="s">
        <v>58</v>
      </c>
      <c r="E399" s="124" t="s">
        <v>88</v>
      </c>
      <c r="F399" s="44" t="s">
        <v>808</v>
      </c>
      <c r="G399" s="124" t="s">
        <v>184</v>
      </c>
      <c r="H399" s="124"/>
      <c r="I399" s="124">
        <v>2</v>
      </c>
      <c r="J399" s="124">
        <v>4542.46</v>
      </c>
      <c r="K399" s="124"/>
      <c r="L399" s="124">
        <v>2</v>
      </c>
      <c r="M399" s="124">
        <v>4542.46</v>
      </c>
      <c r="N399" s="6" t="s">
        <v>809</v>
      </c>
      <c r="O399" s="123">
        <v>45324</v>
      </c>
      <c r="P399" s="33" t="str">
        <f>HYPERLINK("https://my.zakupivli.pro/remote/dispatcher/state_purchase_view/48907510", "UA-2024-02-02-013046-a")</f>
        <v>UA-2024-02-02-013046-a</v>
      </c>
      <c r="Q399" s="124"/>
      <c r="R399" s="124">
        <v>2</v>
      </c>
      <c r="S399" s="168">
        <v>4498.66536</v>
      </c>
      <c r="T399" s="123">
        <v>45359</v>
      </c>
      <c r="U399" s="124"/>
      <c r="V399" s="124"/>
    </row>
    <row r="400" spans="1:22" ht="124.8" x14ac:dyDescent="0.3">
      <c r="A400" s="124">
        <v>397</v>
      </c>
      <c r="B400" s="125" t="s">
        <v>40</v>
      </c>
      <c r="C400" s="44" t="s">
        <v>41</v>
      </c>
      <c r="D400" s="125" t="s">
        <v>58</v>
      </c>
      <c r="E400" s="125" t="s">
        <v>88</v>
      </c>
      <c r="F400" s="41" t="s">
        <v>864</v>
      </c>
      <c r="G400" s="125" t="s">
        <v>184</v>
      </c>
      <c r="H400" s="124">
        <v>1887.36</v>
      </c>
      <c r="I400" s="124">
        <v>1</v>
      </c>
      <c r="J400" s="125">
        <v>1887.36</v>
      </c>
      <c r="K400" s="125">
        <v>1887.36</v>
      </c>
      <c r="L400" s="125">
        <v>1</v>
      </c>
      <c r="M400" s="125">
        <v>1887.36</v>
      </c>
      <c r="N400" s="6" t="s">
        <v>865</v>
      </c>
      <c r="O400" s="123">
        <v>45328</v>
      </c>
      <c r="P400" s="33" t="str">
        <f>HYPERLINK("https://my.zakupivli.pro/remote/dispatcher/state_purchase_view/48969987", "UA-2024-02-06-008339-a")</f>
        <v>UA-2024-02-06-008339-a</v>
      </c>
      <c r="Q400" s="119">
        <v>1875</v>
      </c>
      <c r="R400" s="124">
        <v>1</v>
      </c>
      <c r="S400" s="119">
        <v>1875</v>
      </c>
      <c r="T400" s="123">
        <v>45351</v>
      </c>
      <c r="U400" s="124"/>
      <c r="V400" s="124"/>
    </row>
    <row r="401" spans="1:22" ht="62.4" x14ac:dyDescent="0.3">
      <c r="A401" s="124">
        <v>398</v>
      </c>
      <c r="B401" s="125" t="s">
        <v>21</v>
      </c>
      <c r="C401" s="44" t="s">
        <v>406</v>
      </c>
      <c r="D401" s="125" t="s">
        <v>58</v>
      </c>
      <c r="E401" s="125" t="s">
        <v>75</v>
      </c>
      <c r="F401" s="44" t="s">
        <v>866</v>
      </c>
      <c r="G401" s="107" t="s">
        <v>186</v>
      </c>
      <c r="H401" s="124"/>
      <c r="I401" s="124">
        <v>2</v>
      </c>
      <c r="J401" s="124">
        <v>1993.104</v>
      </c>
      <c r="K401" s="124"/>
      <c r="L401" s="125">
        <v>2</v>
      </c>
      <c r="M401" s="125">
        <v>1993.104</v>
      </c>
      <c r="N401" s="6" t="s">
        <v>872</v>
      </c>
      <c r="O401" s="126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9"/>
      <c r="R401" s="124">
        <v>2</v>
      </c>
      <c r="S401" s="119">
        <v>1785</v>
      </c>
      <c r="T401" s="123">
        <v>45352</v>
      </c>
      <c r="U401" s="124"/>
      <c r="V401" s="124"/>
    </row>
    <row r="402" spans="1:22" ht="62.4" x14ac:dyDescent="0.3">
      <c r="A402" s="125">
        <v>399</v>
      </c>
      <c r="B402" s="125" t="s">
        <v>21</v>
      </c>
      <c r="C402" s="44" t="s">
        <v>406</v>
      </c>
      <c r="D402" s="125" t="s">
        <v>58</v>
      </c>
      <c r="E402" s="125" t="s">
        <v>75</v>
      </c>
      <c r="F402" s="44" t="s">
        <v>867</v>
      </c>
      <c r="G402" s="107" t="s">
        <v>186</v>
      </c>
      <c r="H402" s="125">
        <v>2518.9011500000001</v>
      </c>
      <c r="I402" s="125">
        <v>1</v>
      </c>
      <c r="J402" s="125">
        <v>2518.9011500000001</v>
      </c>
      <c r="K402" s="125">
        <v>2518.9011500000001</v>
      </c>
      <c r="L402" s="125">
        <v>1</v>
      </c>
      <c r="M402" s="125">
        <v>2518.9011500000001</v>
      </c>
      <c r="N402" s="6" t="s">
        <v>872</v>
      </c>
      <c r="O402" s="126">
        <v>45328</v>
      </c>
      <c r="P402" s="33" t="str">
        <f t="shared" si="0"/>
        <v>UA-2024-02-06-009098-a</v>
      </c>
      <c r="Q402" s="125">
        <v>2517.8620500000002</v>
      </c>
      <c r="R402" s="125">
        <v>1</v>
      </c>
      <c r="S402" s="164">
        <v>2517.8620500000002</v>
      </c>
      <c r="T402" s="126">
        <v>45352</v>
      </c>
      <c r="U402" s="125"/>
      <c r="V402" s="125"/>
    </row>
    <row r="403" spans="1:22" ht="78" x14ac:dyDescent="0.3">
      <c r="A403" s="125">
        <v>400</v>
      </c>
      <c r="B403" s="125" t="s">
        <v>21</v>
      </c>
      <c r="C403" s="44" t="s">
        <v>406</v>
      </c>
      <c r="D403" s="125" t="s">
        <v>58</v>
      </c>
      <c r="E403" s="125" t="s">
        <v>75</v>
      </c>
      <c r="F403" s="44" t="s">
        <v>868</v>
      </c>
      <c r="G403" s="107" t="s">
        <v>186</v>
      </c>
      <c r="H403" s="125"/>
      <c r="I403" s="125">
        <v>24</v>
      </c>
      <c r="J403" s="125">
        <v>2219.8198900000002</v>
      </c>
      <c r="K403" s="125"/>
      <c r="L403" s="125">
        <v>24</v>
      </c>
      <c r="M403" s="125">
        <v>2219.8198900000002</v>
      </c>
      <c r="N403" s="6" t="s">
        <v>872</v>
      </c>
      <c r="O403" s="126">
        <v>45328</v>
      </c>
      <c r="P403" s="33" t="str">
        <f t="shared" si="0"/>
        <v>UA-2024-02-06-009098-a</v>
      </c>
      <c r="Q403" s="125"/>
      <c r="R403" s="125"/>
      <c r="S403" s="125"/>
      <c r="T403" s="126"/>
      <c r="U403" s="164" t="s">
        <v>93</v>
      </c>
      <c r="V403" s="125"/>
    </row>
    <row r="404" spans="1:22" ht="62.4" x14ac:dyDescent="0.3">
      <c r="A404" s="125">
        <v>401</v>
      </c>
      <c r="B404" s="125" t="s">
        <v>21</v>
      </c>
      <c r="C404" s="44" t="s">
        <v>406</v>
      </c>
      <c r="D404" s="125" t="s">
        <v>58</v>
      </c>
      <c r="E404" s="125" t="s">
        <v>75</v>
      </c>
      <c r="F404" s="44" t="s">
        <v>869</v>
      </c>
      <c r="G404" s="107" t="s">
        <v>186</v>
      </c>
      <c r="H404" s="125"/>
      <c r="I404" s="125">
        <v>122</v>
      </c>
      <c r="J404" s="125">
        <v>9412.7220400000006</v>
      </c>
      <c r="K404" s="125"/>
      <c r="L404" s="125">
        <v>122</v>
      </c>
      <c r="M404" s="125">
        <v>9412.7220400000006</v>
      </c>
      <c r="N404" s="6" t="s">
        <v>872</v>
      </c>
      <c r="O404" s="126">
        <v>45328</v>
      </c>
      <c r="P404" s="33" t="str">
        <f t="shared" si="0"/>
        <v>UA-2024-02-06-009098-a</v>
      </c>
      <c r="Q404" s="125"/>
      <c r="R404" s="125">
        <v>122</v>
      </c>
      <c r="S404" s="125">
        <v>8897.5373999999993</v>
      </c>
      <c r="T404" s="165">
        <v>45352</v>
      </c>
      <c r="U404" s="125"/>
      <c r="V404" s="125"/>
    </row>
    <row r="405" spans="1:22" ht="62.4" x14ac:dyDescent="0.3">
      <c r="A405" s="125">
        <v>402</v>
      </c>
      <c r="B405" s="125" t="s">
        <v>21</v>
      </c>
      <c r="C405" s="44" t="s">
        <v>406</v>
      </c>
      <c r="D405" s="125" t="s">
        <v>58</v>
      </c>
      <c r="E405" s="125" t="s">
        <v>75</v>
      </c>
      <c r="F405" s="44" t="s">
        <v>870</v>
      </c>
      <c r="G405" s="107" t="s">
        <v>186</v>
      </c>
      <c r="H405" s="125"/>
      <c r="I405" s="125">
        <v>2</v>
      </c>
      <c r="J405" s="125">
        <v>3825.5</v>
      </c>
      <c r="K405" s="125"/>
      <c r="L405" s="125">
        <v>2</v>
      </c>
      <c r="M405" s="125">
        <v>3825.5</v>
      </c>
      <c r="N405" s="6" t="s">
        <v>872</v>
      </c>
      <c r="O405" s="126">
        <v>45328</v>
      </c>
      <c r="P405" s="33" t="str">
        <f t="shared" si="0"/>
        <v>UA-2024-02-06-009098-a</v>
      </c>
      <c r="Q405" s="125"/>
      <c r="R405" s="125">
        <v>2</v>
      </c>
      <c r="S405" s="125">
        <v>3824.85</v>
      </c>
      <c r="T405" s="126">
        <v>45355</v>
      </c>
      <c r="U405" s="125"/>
      <c r="V405" s="125"/>
    </row>
    <row r="406" spans="1:22" ht="62.4" x14ac:dyDescent="0.3">
      <c r="A406" s="125">
        <v>403</v>
      </c>
      <c r="B406" s="125" t="s">
        <v>21</v>
      </c>
      <c r="C406" s="44" t="s">
        <v>406</v>
      </c>
      <c r="D406" s="125" t="s">
        <v>58</v>
      </c>
      <c r="E406" s="125" t="s">
        <v>75</v>
      </c>
      <c r="F406" s="44" t="s">
        <v>871</v>
      </c>
      <c r="G406" s="107" t="s">
        <v>186</v>
      </c>
      <c r="H406" s="125"/>
      <c r="I406" s="125">
        <v>13</v>
      </c>
      <c r="J406" s="125">
        <v>1441.9291599999999</v>
      </c>
      <c r="K406" s="125"/>
      <c r="L406" s="125">
        <v>13</v>
      </c>
      <c r="M406" s="125">
        <v>1441.9291599999999</v>
      </c>
      <c r="N406" s="6" t="s">
        <v>872</v>
      </c>
      <c r="O406" s="126">
        <v>45328</v>
      </c>
      <c r="P406" s="33" t="str">
        <f t="shared" si="0"/>
        <v>UA-2024-02-06-009098-a</v>
      </c>
      <c r="Q406" s="125"/>
      <c r="R406" s="125">
        <v>13</v>
      </c>
      <c r="S406" s="125">
        <v>1373.9870000000001</v>
      </c>
      <c r="T406" s="126">
        <v>45352</v>
      </c>
      <c r="U406" s="125"/>
      <c r="V406" s="125"/>
    </row>
    <row r="407" spans="1:22" ht="46.8" x14ac:dyDescent="0.3">
      <c r="A407" s="127">
        <v>404</v>
      </c>
      <c r="B407" s="127" t="s">
        <v>21</v>
      </c>
      <c r="C407" s="41" t="s">
        <v>874</v>
      </c>
      <c r="D407" s="127" t="s">
        <v>58</v>
      </c>
      <c r="E407" s="127" t="s">
        <v>75</v>
      </c>
      <c r="F407" s="41" t="s">
        <v>873</v>
      </c>
      <c r="G407" s="127" t="s">
        <v>186</v>
      </c>
      <c r="H407" s="127"/>
      <c r="I407" s="127">
        <v>34</v>
      </c>
      <c r="J407" s="127">
        <v>727.5</v>
      </c>
      <c r="K407" s="127"/>
      <c r="L407" s="127">
        <v>34</v>
      </c>
      <c r="M407" s="127">
        <v>727.5</v>
      </c>
      <c r="N407" s="6" t="s">
        <v>875</v>
      </c>
      <c r="O407" s="128">
        <v>45329</v>
      </c>
      <c r="P407" s="42" t="str">
        <f>HYPERLINK("https://my.zakupivli.pro/remote/dispatcher/state_purchase_view/49007933", "UA-2024-02-07-009090-a")</f>
        <v>UA-2024-02-07-009090-a</v>
      </c>
      <c r="Q407" s="127"/>
      <c r="R407" s="127">
        <v>34</v>
      </c>
      <c r="S407" s="127">
        <v>574.99167</v>
      </c>
      <c r="T407" s="128">
        <v>45350</v>
      </c>
      <c r="U407" s="127"/>
      <c r="V407" s="127"/>
    </row>
    <row r="408" spans="1:22" ht="93.6" x14ac:dyDescent="0.3">
      <c r="A408" s="127">
        <v>405</v>
      </c>
      <c r="B408" s="127" t="s">
        <v>21</v>
      </c>
      <c r="C408" s="44" t="s">
        <v>183</v>
      </c>
      <c r="D408" s="127" t="s">
        <v>58</v>
      </c>
      <c r="E408" s="127" t="s">
        <v>88</v>
      </c>
      <c r="F408" s="44" t="s">
        <v>876</v>
      </c>
      <c r="G408" s="127" t="s">
        <v>185</v>
      </c>
      <c r="H408" s="127">
        <v>589.88333</v>
      </c>
      <c r="I408" s="127">
        <v>1</v>
      </c>
      <c r="J408" s="127">
        <v>589.88333</v>
      </c>
      <c r="K408" s="127">
        <v>589.88333</v>
      </c>
      <c r="L408" s="127">
        <v>1</v>
      </c>
      <c r="M408" s="127">
        <v>589.88333</v>
      </c>
      <c r="N408" s="6" t="s">
        <v>878</v>
      </c>
      <c r="O408" s="128">
        <v>45329</v>
      </c>
      <c r="P408" s="33" t="str">
        <f>HYPERLINK("https://my.zakupivli.pro/remote/dispatcher/state_purchase_view/49014231", "UA-2024-02-07-011926-a")</f>
        <v>UA-2024-02-07-011926-a</v>
      </c>
      <c r="Q408" s="119">
        <v>536.25</v>
      </c>
      <c r="R408" s="127">
        <v>1</v>
      </c>
      <c r="S408" s="119">
        <v>536.25</v>
      </c>
      <c r="T408" s="128">
        <v>45349</v>
      </c>
      <c r="U408" s="127"/>
      <c r="V408" s="127"/>
    </row>
    <row r="409" spans="1:22" ht="93.6" x14ac:dyDescent="0.3">
      <c r="A409" s="127">
        <v>406</v>
      </c>
      <c r="B409" s="127" t="s">
        <v>21</v>
      </c>
      <c r="C409" s="44" t="s">
        <v>183</v>
      </c>
      <c r="D409" s="127" t="s">
        <v>58</v>
      </c>
      <c r="E409" s="127" t="s">
        <v>88</v>
      </c>
      <c r="F409" s="44" t="s">
        <v>877</v>
      </c>
      <c r="G409" s="127" t="s">
        <v>185</v>
      </c>
      <c r="H409" s="119">
        <v>8716.2000000000007</v>
      </c>
      <c r="I409" s="127">
        <v>1</v>
      </c>
      <c r="J409" s="119">
        <v>8716.2000000000007</v>
      </c>
      <c r="K409" s="119">
        <v>8716.2000000000007</v>
      </c>
      <c r="L409" s="127">
        <v>1</v>
      </c>
      <c r="M409" s="119">
        <v>8716.2000000000007</v>
      </c>
      <c r="N409" s="6" t="s">
        <v>879</v>
      </c>
      <c r="O409" s="128">
        <v>45329</v>
      </c>
      <c r="P409" s="33" t="str">
        <f>HYPERLINK("https://my.zakupivli.pro/remote/dispatcher/state_purchase_view/49012404", "UA-2024-02-07-011182-a")</f>
        <v>UA-2024-02-07-011182-a</v>
      </c>
      <c r="Q409" s="127">
        <v>5792.5637399999996</v>
      </c>
      <c r="R409" s="127">
        <v>1</v>
      </c>
      <c r="S409" s="154">
        <v>5792.5637399999996</v>
      </c>
      <c r="T409" s="128">
        <v>45350</v>
      </c>
      <c r="U409" s="127"/>
      <c r="V409" s="127"/>
    </row>
    <row r="410" spans="1:22" ht="78" x14ac:dyDescent="0.3">
      <c r="A410" s="129">
        <v>407</v>
      </c>
      <c r="B410" s="129" t="s">
        <v>40</v>
      </c>
      <c r="C410" s="44" t="s">
        <v>885</v>
      </c>
      <c r="D410" s="129"/>
      <c r="E410" s="129" t="s">
        <v>88</v>
      </c>
      <c r="F410" s="44" t="s">
        <v>880</v>
      </c>
      <c r="G410" s="129" t="s">
        <v>40</v>
      </c>
      <c r="H410" s="129">
        <v>327.6798</v>
      </c>
      <c r="I410" s="129">
        <v>1</v>
      </c>
      <c r="J410" s="129">
        <v>327.6798</v>
      </c>
      <c r="K410" s="129">
        <v>327.6798</v>
      </c>
      <c r="L410" s="129">
        <v>1</v>
      </c>
      <c r="M410" s="129">
        <v>327.6798</v>
      </c>
      <c r="N410" s="6" t="s">
        <v>886</v>
      </c>
      <c r="O410" s="130">
        <v>45330</v>
      </c>
      <c r="P410" s="33" t="str">
        <f>HYPERLINK("https://my.zakupivli.pro/remote/dispatcher/state_purchase_view/49027603", "UA-2024-02-08-002419-a")</f>
        <v>UA-2024-02-08-002419-a</v>
      </c>
      <c r="Q410" s="129">
        <v>327.6798</v>
      </c>
      <c r="R410" s="129">
        <v>1</v>
      </c>
      <c r="S410" s="129">
        <v>327.6798</v>
      </c>
      <c r="T410" s="130">
        <v>45330</v>
      </c>
      <c r="U410" s="129"/>
      <c r="V410" s="129" t="s">
        <v>59</v>
      </c>
    </row>
    <row r="411" spans="1:22" ht="78" x14ac:dyDescent="0.3">
      <c r="A411" s="129">
        <v>408</v>
      </c>
      <c r="B411" s="129" t="s">
        <v>40</v>
      </c>
      <c r="C411" s="44" t="s">
        <v>885</v>
      </c>
      <c r="D411" s="129"/>
      <c r="E411" s="129" t="s">
        <v>88</v>
      </c>
      <c r="F411" s="44" t="s">
        <v>881</v>
      </c>
      <c r="G411" s="129" t="s">
        <v>40</v>
      </c>
      <c r="H411" s="129">
        <v>466.44868000000002</v>
      </c>
      <c r="I411" s="129">
        <v>1</v>
      </c>
      <c r="J411" s="129">
        <v>466.44868000000002</v>
      </c>
      <c r="K411" s="129">
        <v>466.44868000000002</v>
      </c>
      <c r="L411" s="129">
        <v>1</v>
      </c>
      <c r="M411" s="129">
        <v>466.44868000000002</v>
      </c>
      <c r="N411" s="6" t="s">
        <v>887</v>
      </c>
      <c r="O411" s="130">
        <v>45330</v>
      </c>
      <c r="P411" s="33" t="str">
        <f>HYPERLINK("https://my.zakupivli.pro/remote/dispatcher/state_purchase_view/49027323", "UA-2024-02-08-002241-a")</f>
        <v>UA-2024-02-08-002241-a</v>
      </c>
      <c r="Q411" s="129">
        <v>466.44868000000002</v>
      </c>
      <c r="R411" s="129">
        <v>1</v>
      </c>
      <c r="S411" s="129">
        <v>466.44868000000002</v>
      </c>
      <c r="T411" s="130">
        <v>45330</v>
      </c>
      <c r="U411" s="129"/>
      <c r="V411" s="129" t="s">
        <v>59</v>
      </c>
    </row>
    <row r="412" spans="1:22" ht="78" x14ac:dyDescent="0.3">
      <c r="A412" s="129">
        <v>409</v>
      </c>
      <c r="B412" s="129" t="s">
        <v>40</v>
      </c>
      <c r="C412" s="44" t="s">
        <v>885</v>
      </c>
      <c r="D412" s="129"/>
      <c r="E412" s="129" t="s">
        <v>88</v>
      </c>
      <c r="F412" s="44" t="s">
        <v>882</v>
      </c>
      <c r="G412" s="129" t="s">
        <v>40</v>
      </c>
      <c r="H412" s="129">
        <v>384.70436999999998</v>
      </c>
      <c r="I412" s="129">
        <v>1</v>
      </c>
      <c r="J412" s="129">
        <v>384.70436999999998</v>
      </c>
      <c r="K412" s="129">
        <v>384.70436999999998</v>
      </c>
      <c r="L412" s="129">
        <v>1</v>
      </c>
      <c r="M412" s="129">
        <v>384.70436999999998</v>
      </c>
      <c r="N412" s="6" t="s">
        <v>888</v>
      </c>
      <c r="O412" s="130">
        <v>45330</v>
      </c>
      <c r="P412" s="33" t="str">
        <f>HYPERLINK("https://my.zakupivli.pro/remote/dispatcher/state_purchase_view/49026827", "UA-2024-02-08-002073-a")</f>
        <v>UA-2024-02-08-002073-a</v>
      </c>
      <c r="Q412" s="129">
        <v>384.70436999999998</v>
      </c>
      <c r="R412" s="129">
        <v>1</v>
      </c>
      <c r="S412" s="129">
        <v>384.70436999999998</v>
      </c>
      <c r="T412" s="130">
        <v>45330</v>
      </c>
      <c r="U412" s="129"/>
      <c r="V412" s="129" t="s">
        <v>59</v>
      </c>
    </row>
    <row r="413" spans="1:22" ht="62.4" x14ac:dyDescent="0.3">
      <c r="A413" s="129">
        <v>410</v>
      </c>
      <c r="B413" s="129" t="s">
        <v>40</v>
      </c>
      <c r="C413" s="44" t="s">
        <v>885</v>
      </c>
      <c r="D413" s="129"/>
      <c r="E413" s="129" t="s">
        <v>88</v>
      </c>
      <c r="F413" s="44" t="s">
        <v>883</v>
      </c>
      <c r="G413" s="129" t="s">
        <v>40</v>
      </c>
      <c r="H413" s="129">
        <v>308.60937000000001</v>
      </c>
      <c r="I413" s="129">
        <v>1</v>
      </c>
      <c r="J413" s="129">
        <v>308.60937000000001</v>
      </c>
      <c r="K413" s="129">
        <v>308.60937000000001</v>
      </c>
      <c r="L413" s="129">
        <v>1</v>
      </c>
      <c r="M413" s="129">
        <v>308.60937000000001</v>
      </c>
      <c r="N413" s="6" t="s">
        <v>889</v>
      </c>
      <c r="O413" s="130">
        <v>45330</v>
      </c>
      <c r="P413" s="33" t="str">
        <f>HYPERLINK("https://my.zakupivli.pro/remote/dispatcher/state_purchase_view/49026308", "UA-2024-02-08-001861-a")</f>
        <v>UA-2024-02-08-001861-a</v>
      </c>
      <c r="Q413" s="129">
        <v>308.60937000000001</v>
      </c>
      <c r="R413" s="129">
        <v>1</v>
      </c>
      <c r="S413" s="129">
        <v>308.60937000000001</v>
      </c>
      <c r="T413" s="130">
        <v>45330</v>
      </c>
      <c r="U413" s="129"/>
      <c r="V413" s="129" t="s">
        <v>59</v>
      </c>
    </row>
    <row r="414" spans="1:22" ht="62.4" x14ac:dyDescent="0.3">
      <c r="A414" s="129">
        <v>411</v>
      </c>
      <c r="B414" s="129" t="s">
        <v>40</v>
      </c>
      <c r="C414" s="44" t="s">
        <v>885</v>
      </c>
      <c r="D414" s="129"/>
      <c r="E414" s="129" t="s">
        <v>88</v>
      </c>
      <c r="F414" s="44" t="s">
        <v>884</v>
      </c>
      <c r="G414" s="129" t="s">
        <v>40</v>
      </c>
      <c r="H414" s="129">
        <v>338.75234999999998</v>
      </c>
      <c r="I414" s="129">
        <v>1</v>
      </c>
      <c r="J414" s="129">
        <v>338.75234999999998</v>
      </c>
      <c r="K414" s="129">
        <v>338.75234999999998</v>
      </c>
      <c r="L414" s="129">
        <v>1</v>
      </c>
      <c r="M414" s="129">
        <v>338.75234999999998</v>
      </c>
      <c r="N414" s="6" t="s">
        <v>890</v>
      </c>
      <c r="O414" s="130">
        <v>45330</v>
      </c>
      <c r="P414" s="33" t="str">
        <f>HYPERLINK("https://my.zakupivli.pro/remote/dispatcher/state_purchase_view/49025987", "UA-2024-02-08-001670-a")</f>
        <v>UA-2024-02-08-001670-a</v>
      </c>
      <c r="Q414" s="129">
        <v>338.75234999999998</v>
      </c>
      <c r="R414" s="129">
        <v>1</v>
      </c>
      <c r="S414" s="129">
        <v>338.75234999999998</v>
      </c>
      <c r="T414" s="130">
        <v>45330</v>
      </c>
      <c r="U414" s="129"/>
      <c r="V414" s="129" t="s">
        <v>59</v>
      </c>
    </row>
    <row r="415" spans="1:22" ht="46.8" x14ac:dyDescent="0.3">
      <c r="A415" s="129">
        <v>412</v>
      </c>
      <c r="B415" s="129" t="s">
        <v>21</v>
      </c>
      <c r="C415" s="44" t="s">
        <v>170</v>
      </c>
      <c r="D415" s="129" t="s">
        <v>58</v>
      </c>
      <c r="E415" s="129" t="s">
        <v>88</v>
      </c>
      <c r="F415" s="44" t="s">
        <v>891</v>
      </c>
      <c r="G415" s="129" t="s">
        <v>185</v>
      </c>
      <c r="H415" s="129"/>
      <c r="I415" s="129">
        <v>36</v>
      </c>
      <c r="J415" s="129">
        <v>189.28800000000001</v>
      </c>
      <c r="K415" s="129"/>
      <c r="L415" s="129">
        <v>36</v>
      </c>
      <c r="M415" s="129">
        <v>189.28800000000001</v>
      </c>
      <c r="N415" s="6" t="s">
        <v>896</v>
      </c>
      <c r="O415" s="130">
        <v>45330</v>
      </c>
      <c r="P415" s="33" t="str">
        <f>HYPERLINK("https://my.zakupivli.pro/remote/dispatcher/state_purchase_view/49051879", "UA-2024-02-08-012979-a")</f>
        <v>UA-2024-02-08-012979-a</v>
      </c>
      <c r="Q415" s="129"/>
      <c r="R415" s="129">
        <v>36</v>
      </c>
      <c r="S415" s="119">
        <v>189.27</v>
      </c>
      <c r="T415" s="130">
        <v>45344</v>
      </c>
      <c r="U415" s="129"/>
      <c r="V415" s="129"/>
    </row>
    <row r="416" spans="1:22" ht="78" x14ac:dyDescent="0.3">
      <c r="A416" s="129">
        <v>413</v>
      </c>
      <c r="B416" s="129" t="s">
        <v>21</v>
      </c>
      <c r="C416" s="44" t="s">
        <v>894</v>
      </c>
      <c r="D416" s="129" t="s">
        <v>58</v>
      </c>
      <c r="E416" s="129" t="s">
        <v>88</v>
      </c>
      <c r="F416" s="44" t="s">
        <v>892</v>
      </c>
      <c r="G416" s="129" t="s">
        <v>185</v>
      </c>
      <c r="H416" s="129"/>
      <c r="I416" s="129">
        <v>70</v>
      </c>
      <c r="J416" s="119">
        <v>2250</v>
      </c>
      <c r="K416" s="129"/>
      <c r="L416" s="129">
        <v>70</v>
      </c>
      <c r="M416" s="119">
        <v>2250</v>
      </c>
      <c r="N416" s="6" t="s">
        <v>897</v>
      </c>
      <c r="O416" s="130">
        <v>45330</v>
      </c>
      <c r="P416" s="33" t="str">
        <f>HYPERLINK("https://my.zakupivli.pro/remote/dispatcher/state_purchase_view/49051488", "UA-2024-02-08-012868-a")</f>
        <v>UA-2024-02-08-012868-a</v>
      </c>
      <c r="Q416" s="129"/>
      <c r="R416" s="129">
        <v>70</v>
      </c>
      <c r="S416" s="157">
        <v>2160.1999999999998</v>
      </c>
      <c r="T416" s="130">
        <v>45350</v>
      </c>
      <c r="U416" s="129"/>
      <c r="V416" s="129"/>
    </row>
    <row r="417" spans="1:22" ht="62.4" x14ac:dyDescent="0.3">
      <c r="A417" s="129">
        <v>414</v>
      </c>
      <c r="B417" s="129" t="s">
        <v>21</v>
      </c>
      <c r="C417" s="44" t="s">
        <v>895</v>
      </c>
      <c r="D417" s="129" t="s">
        <v>58</v>
      </c>
      <c r="E417" s="129" t="s">
        <v>88</v>
      </c>
      <c r="F417" s="44" t="s">
        <v>893</v>
      </c>
      <c r="G417" s="129" t="s">
        <v>186</v>
      </c>
      <c r="H417" s="129"/>
      <c r="I417" s="129">
        <v>16</v>
      </c>
      <c r="J417" s="119">
        <v>216.47</v>
      </c>
      <c r="K417" s="129"/>
      <c r="L417" s="129">
        <v>16</v>
      </c>
      <c r="M417" s="119">
        <v>216.47</v>
      </c>
      <c r="N417" s="6" t="s">
        <v>898</v>
      </c>
      <c r="O417" s="130">
        <v>45330</v>
      </c>
      <c r="P417" s="33" t="str">
        <f>HYPERLINK("https://my.zakupivli.pro/remote/dispatcher/state_purchase_view/49049714", "UA-2024-02-08-012050-a")</f>
        <v>UA-2024-02-08-012050-a</v>
      </c>
      <c r="Q417" s="129"/>
      <c r="R417" s="129">
        <v>16</v>
      </c>
      <c r="S417" s="129">
        <v>211.97399999999999</v>
      </c>
      <c r="T417" s="130">
        <v>45352</v>
      </c>
      <c r="U417" s="129"/>
      <c r="V417" s="129"/>
    </row>
    <row r="418" spans="1:22" ht="140.4" x14ac:dyDescent="0.3">
      <c r="A418" s="129">
        <v>415</v>
      </c>
      <c r="B418" s="129" t="s">
        <v>21</v>
      </c>
      <c r="C418" s="44" t="s">
        <v>173</v>
      </c>
      <c r="D418" s="129" t="s">
        <v>58</v>
      </c>
      <c r="E418" s="129" t="s">
        <v>88</v>
      </c>
      <c r="F418" s="44" t="s">
        <v>899</v>
      </c>
      <c r="G418" s="129" t="s">
        <v>185</v>
      </c>
      <c r="H418" s="129"/>
      <c r="I418" s="129">
        <v>23</v>
      </c>
      <c r="J418" s="119">
        <v>2507</v>
      </c>
      <c r="K418" s="129"/>
      <c r="L418" s="129">
        <v>23</v>
      </c>
      <c r="M418" s="119">
        <v>2507</v>
      </c>
      <c r="N418" s="6" t="s">
        <v>900</v>
      </c>
      <c r="O418" s="130">
        <v>45330</v>
      </c>
      <c r="P418" s="33" t="str">
        <f>HYPERLINK("https://my.zakupivli.pro/remote/dispatcher/state_purchase_view/49052400", "UA-2024-02-08-013211-a")</f>
        <v>UA-2024-02-08-013211-a</v>
      </c>
      <c r="Q418" s="129"/>
      <c r="R418" s="129">
        <v>23</v>
      </c>
      <c r="S418" s="119">
        <v>2507</v>
      </c>
      <c r="T418" s="165">
        <v>45352</v>
      </c>
      <c r="U418" s="129"/>
      <c r="V418" s="129"/>
    </row>
    <row r="419" spans="1:22" ht="62.4" x14ac:dyDescent="0.3">
      <c r="A419" s="132">
        <v>416</v>
      </c>
      <c r="B419" s="132" t="s">
        <v>40</v>
      </c>
      <c r="C419" s="44" t="s">
        <v>885</v>
      </c>
      <c r="D419" s="132"/>
      <c r="E419" s="132" t="s">
        <v>88</v>
      </c>
      <c r="F419" s="44" t="s">
        <v>901</v>
      </c>
      <c r="G419" s="132" t="s">
        <v>184</v>
      </c>
      <c r="H419" s="132">
        <v>462.97890000000001</v>
      </c>
      <c r="I419" s="132">
        <v>1</v>
      </c>
      <c r="J419" s="132">
        <v>462.97890000000001</v>
      </c>
      <c r="K419" s="132">
        <v>462.97890000000001</v>
      </c>
      <c r="L419" s="132">
        <v>1</v>
      </c>
      <c r="M419" s="132">
        <v>462.97890000000001</v>
      </c>
      <c r="N419" s="6" t="s">
        <v>905</v>
      </c>
      <c r="O419" s="133">
        <v>45336</v>
      </c>
      <c r="P419" s="33" t="str">
        <f>HYPERLINK("https://my.zakupivli.pro/remote/dispatcher/state_purchase_view/49159801", "UA-2024-02-14-000570-a")</f>
        <v>UA-2024-02-14-000570-a</v>
      </c>
      <c r="Q419" s="132">
        <v>462.97890000000001</v>
      </c>
      <c r="R419" s="132">
        <v>1</v>
      </c>
      <c r="S419" s="132">
        <v>462.97890000000001</v>
      </c>
      <c r="T419" s="151">
        <v>45336</v>
      </c>
      <c r="U419" s="132"/>
      <c r="V419" s="132" t="s">
        <v>59</v>
      </c>
    </row>
    <row r="420" spans="1:22" ht="62.4" x14ac:dyDescent="0.3">
      <c r="A420" s="132">
        <v>417</v>
      </c>
      <c r="B420" s="132" t="s">
        <v>40</v>
      </c>
      <c r="C420" s="44" t="s">
        <v>885</v>
      </c>
      <c r="D420" s="132"/>
      <c r="E420" s="132" t="s">
        <v>88</v>
      </c>
      <c r="F420" s="44" t="s">
        <v>902</v>
      </c>
      <c r="G420" s="132" t="s">
        <v>184</v>
      </c>
      <c r="H420" s="132">
        <v>487.69560999999999</v>
      </c>
      <c r="I420" s="132">
        <v>1</v>
      </c>
      <c r="J420" s="132">
        <v>487.69560999999999</v>
      </c>
      <c r="K420" s="132">
        <v>487.69560999999999</v>
      </c>
      <c r="L420" s="132">
        <v>1</v>
      </c>
      <c r="M420" s="132">
        <v>487.69560999999999</v>
      </c>
      <c r="N420" s="6" t="s">
        <v>906</v>
      </c>
      <c r="O420" s="133">
        <v>45336</v>
      </c>
      <c r="P420" s="33" t="str">
        <f>HYPERLINK("https://my.zakupivli.pro/remote/dispatcher/state_purchase_view/49159395", "UA-2024-02-14-000440-a")</f>
        <v>UA-2024-02-14-000440-a</v>
      </c>
      <c r="Q420" s="132">
        <v>487.69560999999999</v>
      </c>
      <c r="R420" s="132">
        <v>1</v>
      </c>
      <c r="S420" s="132">
        <v>487.69560999999999</v>
      </c>
      <c r="T420" s="151">
        <v>45336</v>
      </c>
      <c r="U420" s="132"/>
      <c r="V420" s="132" t="s">
        <v>59</v>
      </c>
    </row>
    <row r="421" spans="1:22" ht="62.4" x14ac:dyDescent="0.3">
      <c r="A421" s="132">
        <v>418</v>
      </c>
      <c r="B421" s="132" t="s">
        <v>40</v>
      </c>
      <c r="C421" s="44" t="s">
        <v>885</v>
      </c>
      <c r="D421" s="132"/>
      <c r="E421" s="132" t="s">
        <v>88</v>
      </c>
      <c r="F421" s="44" t="s">
        <v>903</v>
      </c>
      <c r="G421" s="132" t="s">
        <v>184</v>
      </c>
      <c r="H421" s="132">
        <v>369.64204999999998</v>
      </c>
      <c r="I421" s="132">
        <v>1</v>
      </c>
      <c r="J421" s="132">
        <v>369.64204999999998</v>
      </c>
      <c r="K421" s="132">
        <v>369.64204999999998</v>
      </c>
      <c r="L421" s="132">
        <v>1</v>
      </c>
      <c r="M421" s="132">
        <v>369.64204999999998</v>
      </c>
      <c r="N421" s="6" t="s">
        <v>907</v>
      </c>
      <c r="O421" s="133">
        <v>45336</v>
      </c>
      <c r="P421" s="33" t="str">
        <f>HYPERLINK("https://my.zakupivli.pro/remote/dispatcher/state_purchase_view/49159293", "UA-2024-02-14-000408-a")</f>
        <v>UA-2024-02-14-000408-a</v>
      </c>
      <c r="Q421" s="132">
        <v>369.64204999999998</v>
      </c>
      <c r="R421" s="132">
        <v>1</v>
      </c>
      <c r="S421" s="132">
        <v>369.64204999999998</v>
      </c>
      <c r="T421" s="151">
        <v>45336</v>
      </c>
      <c r="U421" s="132"/>
      <c r="V421" s="132" t="s">
        <v>59</v>
      </c>
    </row>
    <row r="422" spans="1:22" ht="62.4" x14ac:dyDescent="0.3">
      <c r="A422" s="132">
        <v>419</v>
      </c>
      <c r="B422" s="132" t="s">
        <v>40</v>
      </c>
      <c r="C422" s="44" t="s">
        <v>885</v>
      </c>
      <c r="D422" s="132"/>
      <c r="E422" s="132" t="s">
        <v>88</v>
      </c>
      <c r="F422" s="44" t="s">
        <v>904</v>
      </c>
      <c r="G422" s="132" t="s">
        <v>184</v>
      </c>
      <c r="H422" s="132">
        <v>415.62329</v>
      </c>
      <c r="I422" s="132">
        <v>1</v>
      </c>
      <c r="J422" s="132">
        <v>415.62329</v>
      </c>
      <c r="K422" s="132">
        <v>415.62329</v>
      </c>
      <c r="L422" s="132">
        <v>1</v>
      </c>
      <c r="M422" s="132">
        <v>415.62329</v>
      </c>
      <c r="N422" s="6" t="s">
        <v>908</v>
      </c>
      <c r="O422" s="133">
        <v>45336</v>
      </c>
      <c r="P422" s="33" t="str">
        <f>HYPERLINK("https://my.zakupivli.pro/remote/dispatcher/state_purchase_view/49158931", "UA-2024-02-14-000270-a")</f>
        <v>UA-2024-02-14-000270-a</v>
      </c>
      <c r="Q422" s="132">
        <v>415.62329</v>
      </c>
      <c r="R422" s="132">
        <v>1</v>
      </c>
      <c r="S422" s="132">
        <v>415.62329</v>
      </c>
      <c r="T422" s="151">
        <v>45336</v>
      </c>
      <c r="U422" s="132"/>
      <c r="V422" s="132" t="s">
        <v>59</v>
      </c>
    </row>
    <row r="423" spans="1:22" ht="78" x14ac:dyDescent="0.3">
      <c r="A423" s="132">
        <v>420</v>
      </c>
      <c r="B423" s="134" t="s">
        <v>21</v>
      </c>
      <c r="C423" s="44" t="s">
        <v>174</v>
      </c>
      <c r="D423" s="134" t="s">
        <v>58</v>
      </c>
      <c r="E423" s="134" t="s">
        <v>88</v>
      </c>
      <c r="F423" s="44" t="s">
        <v>911</v>
      </c>
      <c r="G423" s="132" t="s">
        <v>187</v>
      </c>
      <c r="H423" s="132"/>
      <c r="I423" s="132">
        <v>2</v>
      </c>
      <c r="J423" s="119">
        <v>141</v>
      </c>
      <c r="K423" s="132"/>
      <c r="L423" s="134">
        <v>2</v>
      </c>
      <c r="M423" s="119">
        <v>141</v>
      </c>
      <c r="N423" s="6" t="s">
        <v>912</v>
      </c>
      <c r="O423" s="133">
        <v>45337</v>
      </c>
      <c r="P423" s="33" t="str">
        <f>HYPERLINK("https://my.zakupivli.pro/remote/dispatcher/state_purchase_view/49215079", "UA-2024-02-15-012214-a")</f>
        <v>UA-2024-02-15-012214-a</v>
      </c>
      <c r="Q423" s="132"/>
      <c r="R423" s="216">
        <v>2</v>
      </c>
      <c r="S423" s="119">
        <v>141</v>
      </c>
      <c r="T423" s="133">
        <v>45373</v>
      </c>
      <c r="U423" s="132"/>
      <c r="V423" s="132"/>
    </row>
    <row r="424" spans="1:22" ht="93.6" x14ac:dyDescent="0.3">
      <c r="A424" s="132">
        <v>421</v>
      </c>
      <c r="B424" s="134" t="s">
        <v>21</v>
      </c>
      <c r="C424" s="44" t="s">
        <v>174</v>
      </c>
      <c r="D424" s="134" t="s">
        <v>58</v>
      </c>
      <c r="E424" s="134" t="s">
        <v>88</v>
      </c>
      <c r="F424" s="44" t="s">
        <v>910</v>
      </c>
      <c r="G424" s="132" t="s">
        <v>187</v>
      </c>
      <c r="H424" s="132"/>
      <c r="I424" s="132">
        <v>33</v>
      </c>
      <c r="J424" s="132">
        <v>804.54</v>
      </c>
      <c r="K424" s="132"/>
      <c r="L424" s="134">
        <v>33</v>
      </c>
      <c r="M424" s="134">
        <v>804.54</v>
      </c>
      <c r="N424" s="6" t="s">
        <v>913</v>
      </c>
      <c r="O424" s="135">
        <v>45337</v>
      </c>
      <c r="P424" s="33" t="str">
        <f>HYPERLINK("https://my.zakupivli.pro/remote/dispatcher/state_purchase_view/49215079", "UA-2024-02-15-012214-a")</f>
        <v>UA-2024-02-15-012214-a</v>
      </c>
      <c r="Q424" s="132"/>
      <c r="R424" s="132"/>
      <c r="S424" s="132"/>
      <c r="T424" s="133"/>
      <c r="U424" s="216" t="s">
        <v>556</v>
      </c>
      <c r="V424" s="132"/>
    </row>
    <row r="425" spans="1:22" ht="62.4" x14ac:dyDescent="0.3">
      <c r="A425" s="132">
        <v>422</v>
      </c>
      <c r="B425" s="134" t="s">
        <v>21</v>
      </c>
      <c r="C425" s="44" t="s">
        <v>30</v>
      </c>
      <c r="D425" s="132"/>
      <c r="E425" s="134" t="s">
        <v>75</v>
      </c>
      <c r="F425" s="44" t="s">
        <v>909</v>
      </c>
      <c r="G425" s="132" t="s">
        <v>186</v>
      </c>
      <c r="H425" s="132"/>
      <c r="I425" s="132">
        <v>4</v>
      </c>
      <c r="J425" s="132">
        <v>81.664599999999993</v>
      </c>
      <c r="K425" s="132"/>
      <c r="L425" s="134">
        <v>4</v>
      </c>
      <c r="M425" s="134">
        <v>81.664599999999993</v>
      </c>
      <c r="N425" s="6" t="s">
        <v>914</v>
      </c>
      <c r="O425" s="135">
        <v>45337</v>
      </c>
      <c r="P425" s="33" t="str">
        <f>HYPERLINK("https://my.zakupivli.pro/remote/dispatcher/state_purchase_view/49193482", "UA-2024-02-15-002556-a")</f>
        <v>UA-2024-02-15-002556-a</v>
      </c>
      <c r="Q425" s="132"/>
      <c r="R425" s="134">
        <v>4</v>
      </c>
      <c r="S425" s="134">
        <v>81.664599999999993</v>
      </c>
      <c r="T425" s="133"/>
      <c r="U425" s="132"/>
      <c r="V425" s="134" t="s">
        <v>59</v>
      </c>
    </row>
    <row r="426" spans="1:22" ht="93.6" x14ac:dyDescent="0.3">
      <c r="A426" s="132">
        <v>423</v>
      </c>
      <c r="B426" s="137" t="s">
        <v>40</v>
      </c>
      <c r="C426" s="44" t="s">
        <v>518</v>
      </c>
      <c r="D426" s="132"/>
      <c r="E426" s="137" t="s">
        <v>75</v>
      </c>
      <c r="F426" s="44" t="s">
        <v>915</v>
      </c>
      <c r="G426" s="132" t="s">
        <v>184</v>
      </c>
      <c r="H426" s="137">
        <v>150.31800000000001</v>
      </c>
      <c r="I426" s="132">
        <v>1</v>
      </c>
      <c r="J426" s="132">
        <v>150.31800000000001</v>
      </c>
      <c r="K426" s="137">
        <v>150.31800000000001</v>
      </c>
      <c r="L426" s="137">
        <v>1</v>
      </c>
      <c r="M426" s="137">
        <v>150.31800000000001</v>
      </c>
      <c r="N426" s="6" t="s">
        <v>916</v>
      </c>
      <c r="O426" s="133">
        <v>45341</v>
      </c>
      <c r="P426" s="33" t="str">
        <f>HYPERLINK("https://my.zakupivli.pro/remote/dispatcher/state_purchase_view/49262531", "UA-2024-02-19-006735-a")</f>
        <v>UA-2024-02-19-006735-a</v>
      </c>
      <c r="Q426" s="137">
        <v>150.31800000000001</v>
      </c>
      <c r="R426" s="137">
        <v>1</v>
      </c>
      <c r="S426" s="137">
        <v>150.31800000000001</v>
      </c>
      <c r="T426" s="133"/>
      <c r="U426" s="132"/>
      <c r="V426" s="137" t="s">
        <v>59</v>
      </c>
    </row>
    <row r="427" spans="1:22" ht="62.4" x14ac:dyDescent="0.3">
      <c r="A427" s="132">
        <v>424</v>
      </c>
      <c r="B427" s="138" t="s">
        <v>40</v>
      </c>
      <c r="C427" s="44" t="s">
        <v>41</v>
      </c>
      <c r="D427" s="132"/>
      <c r="E427" s="138" t="s">
        <v>88</v>
      </c>
      <c r="F427" s="44" t="s">
        <v>917</v>
      </c>
      <c r="G427" s="138" t="s">
        <v>184</v>
      </c>
      <c r="H427" s="132">
        <v>634.35749999999996</v>
      </c>
      <c r="I427" s="132">
        <v>1</v>
      </c>
      <c r="J427" s="138">
        <v>634.35749999999996</v>
      </c>
      <c r="K427" s="138">
        <v>634.35749999999996</v>
      </c>
      <c r="L427" s="138">
        <v>1</v>
      </c>
      <c r="M427" s="138">
        <v>634.35749999999996</v>
      </c>
      <c r="N427" s="6" t="s">
        <v>933</v>
      </c>
      <c r="O427" s="133">
        <v>45342</v>
      </c>
      <c r="P427" s="33" t="str">
        <f>HYPERLINK("https://my.zakupivli.pro/remote/dispatcher/state_purchase_view/49305636", "UA-2024-02-20-011652-a")</f>
        <v>UA-2024-02-20-011652-a</v>
      </c>
      <c r="Q427" s="138">
        <v>634.35749999999996</v>
      </c>
      <c r="R427" s="138">
        <v>1</v>
      </c>
      <c r="S427" s="138">
        <v>634.35749999999996</v>
      </c>
      <c r="T427" s="139">
        <v>45342</v>
      </c>
      <c r="U427" s="132"/>
      <c r="V427" s="138" t="s">
        <v>59</v>
      </c>
    </row>
    <row r="428" spans="1:22" ht="62.4" x14ac:dyDescent="0.3">
      <c r="A428" s="132">
        <v>425</v>
      </c>
      <c r="B428" s="138" t="s">
        <v>40</v>
      </c>
      <c r="C428" s="44" t="s">
        <v>41</v>
      </c>
      <c r="D428" s="132"/>
      <c r="E428" s="138" t="s">
        <v>88</v>
      </c>
      <c r="F428" s="44" t="s">
        <v>918</v>
      </c>
      <c r="G428" s="138" t="s">
        <v>184</v>
      </c>
      <c r="H428" s="132">
        <v>496.01035000000002</v>
      </c>
      <c r="I428" s="132">
        <v>1</v>
      </c>
      <c r="J428" s="138">
        <v>496.01035000000002</v>
      </c>
      <c r="K428" s="138">
        <v>496.01035000000002</v>
      </c>
      <c r="L428" s="138">
        <v>1</v>
      </c>
      <c r="M428" s="138">
        <v>496.01035000000002</v>
      </c>
      <c r="N428" s="6" t="s">
        <v>934</v>
      </c>
      <c r="O428" s="139">
        <v>45342</v>
      </c>
      <c r="P428" s="33" t="str">
        <f>HYPERLINK("https://my.zakupivli.pro/remote/dispatcher/state_purchase_view/49305242", "UA-2024-02-20-011455-a")</f>
        <v>UA-2024-02-20-011455-a</v>
      </c>
      <c r="Q428" s="138">
        <v>496.01035000000002</v>
      </c>
      <c r="R428" s="138">
        <v>1</v>
      </c>
      <c r="S428" s="138">
        <v>496.01035000000002</v>
      </c>
      <c r="T428" s="139">
        <v>45342</v>
      </c>
      <c r="U428" s="132"/>
      <c r="V428" s="138" t="s">
        <v>59</v>
      </c>
    </row>
    <row r="429" spans="1:22" ht="78" x14ac:dyDescent="0.3">
      <c r="A429" s="132">
        <v>426</v>
      </c>
      <c r="B429" s="138" t="s">
        <v>40</v>
      </c>
      <c r="C429" s="44" t="s">
        <v>41</v>
      </c>
      <c r="D429" s="132"/>
      <c r="E429" s="138" t="s">
        <v>88</v>
      </c>
      <c r="F429" s="44" t="s">
        <v>919</v>
      </c>
      <c r="G429" s="138" t="s">
        <v>184</v>
      </c>
      <c r="H429" s="132">
        <v>286.69382000000002</v>
      </c>
      <c r="I429" s="132">
        <v>1</v>
      </c>
      <c r="J429" s="138">
        <v>286.69382000000002</v>
      </c>
      <c r="K429" s="138">
        <v>286.69382000000002</v>
      </c>
      <c r="L429" s="138">
        <v>1</v>
      </c>
      <c r="M429" s="138">
        <v>286.69382000000002</v>
      </c>
      <c r="N429" s="6" t="s">
        <v>935</v>
      </c>
      <c r="O429" s="139">
        <v>45342</v>
      </c>
      <c r="P429" s="33" t="str">
        <f>HYPERLINK("https://my.zakupivli.pro/remote/dispatcher/state_purchase_view/49304806", "UA-2024-02-20-011273-a")</f>
        <v>UA-2024-02-20-011273-a</v>
      </c>
      <c r="Q429" s="138">
        <v>286.69382000000002</v>
      </c>
      <c r="R429" s="138">
        <v>1</v>
      </c>
      <c r="S429" s="138">
        <v>286.69382000000002</v>
      </c>
      <c r="T429" s="139">
        <v>45342</v>
      </c>
      <c r="U429" s="132"/>
      <c r="V429" s="138" t="s">
        <v>59</v>
      </c>
    </row>
    <row r="430" spans="1:22" ht="62.4" x14ac:dyDescent="0.3">
      <c r="A430" s="132">
        <v>427</v>
      </c>
      <c r="B430" s="138" t="s">
        <v>40</v>
      </c>
      <c r="C430" s="44" t="s">
        <v>73</v>
      </c>
      <c r="D430" s="132"/>
      <c r="E430" s="138" t="s">
        <v>75</v>
      </c>
      <c r="F430" s="44" t="s">
        <v>920</v>
      </c>
      <c r="G430" s="138" t="s">
        <v>184</v>
      </c>
      <c r="H430" s="132">
        <v>1249.1666700000001</v>
      </c>
      <c r="I430" s="132">
        <v>1</v>
      </c>
      <c r="J430" s="138">
        <v>1249.1666700000001</v>
      </c>
      <c r="K430" s="138">
        <v>1249.1666700000001</v>
      </c>
      <c r="L430" s="138">
        <v>1</v>
      </c>
      <c r="M430" s="138">
        <v>1249.1666700000001</v>
      </c>
      <c r="N430" s="6" t="s">
        <v>936</v>
      </c>
      <c r="O430" s="139">
        <v>45342</v>
      </c>
      <c r="P430" s="33" t="str">
        <f>HYPERLINK("https://my.zakupivli.pro/remote/dispatcher/state_purchase_view/49304261", "UA-2024-02-20-011051-a")</f>
        <v>UA-2024-02-20-011051-a</v>
      </c>
      <c r="Q430" s="138">
        <v>1249.1666700000001</v>
      </c>
      <c r="R430" s="138">
        <v>1</v>
      </c>
      <c r="S430" s="138">
        <v>1249.1666700000001</v>
      </c>
      <c r="T430" s="139">
        <v>45342</v>
      </c>
      <c r="U430" s="132"/>
      <c r="V430" s="138" t="s">
        <v>59</v>
      </c>
    </row>
    <row r="431" spans="1:22" ht="78" x14ac:dyDescent="0.3">
      <c r="A431" s="132">
        <v>428</v>
      </c>
      <c r="B431" s="138" t="s">
        <v>40</v>
      </c>
      <c r="C431" s="44" t="s">
        <v>41</v>
      </c>
      <c r="D431" s="132"/>
      <c r="E431" s="138" t="s">
        <v>88</v>
      </c>
      <c r="F431" s="44" t="s">
        <v>921</v>
      </c>
      <c r="G431" s="138" t="s">
        <v>184</v>
      </c>
      <c r="H431" s="132">
        <v>175.18467000000001</v>
      </c>
      <c r="I431" s="132">
        <v>1</v>
      </c>
      <c r="J431" s="138">
        <v>175.18467000000001</v>
      </c>
      <c r="K431" s="138">
        <v>175.18467000000001</v>
      </c>
      <c r="L431" s="138">
        <v>1</v>
      </c>
      <c r="M431" s="138">
        <v>175.18467000000001</v>
      </c>
      <c r="N431" s="6" t="s">
        <v>937</v>
      </c>
      <c r="O431" s="139">
        <v>45342</v>
      </c>
      <c r="P431" s="33" t="str">
        <f>HYPERLINK("https://my.zakupivli.pro/remote/dispatcher/state_purchase_view/49303437", "UA-2024-02-20-010626-a")</f>
        <v>UA-2024-02-20-010626-a</v>
      </c>
      <c r="Q431" s="138">
        <v>175.18467000000001</v>
      </c>
      <c r="R431" s="138">
        <v>1</v>
      </c>
      <c r="S431" s="138">
        <v>175.18467000000001</v>
      </c>
      <c r="T431" s="139">
        <v>45342</v>
      </c>
      <c r="U431" s="132"/>
      <c r="V431" s="138" t="s">
        <v>59</v>
      </c>
    </row>
    <row r="432" spans="1:22" ht="62.4" x14ac:dyDescent="0.3">
      <c r="A432" s="132">
        <v>429</v>
      </c>
      <c r="B432" s="138" t="s">
        <v>40</v>
      </c>
      <c r="C432" s="44" t="s">
        <v>73</v>
      </c>
      <c r="D432" s="132"/>
      <c r="E432" s="138" t="s">
        <v>75</v>
      </c>
      <c r="F432" s="44" t="s">
        <v>922</v>
      </c>
      <c r="G432" s="138" t="s">
        <v>184</v>
      </c>
      <c r="H432" s="132">
        <v>1249.1666600000001</v>
      </c>
      <c r="I432" s="132">
        <v>1</v>
      </c>
      <c r="J432" s="138">
        <v>1249.1666600000001</v>
      </c>
      <c r="K432" s="138">
        <v>1249.1666600000001</v>
      </c>
      <c r="L432" s="138">
        <v>1</v>
      </c>
      <c r="M432" s="138">
        <v>1249.1666600000001</v>
      </c>
      <c r="N432" s="6" t="s">
        <v>938</v>
      </c>
      <c r="O432" s="139">
        <v>45342</v>
      </c>
      <c r="P432" s="33" t="str">
        <f>HYPERLINK("https://my.zakupivli.pro/remote/dispatcher/state_purchase_view/49303427", "UA-2024-02-20-010616-a")</f>
        <v>UA-2024-02-20-010616-a</v>
      </c>
      <c r="Q432" s="138">
        <v>1249.1666600000001</v>
      </c>
      <c r="R432" s="138">
        <v>1</v>
      </c>
      <c r="S432" s="138">
        <v>1249.1666600000001</v>
      </c>
      <c r="T432" s="139">
        <v>45342</v>
      </c>
      <c r="U432" s="132"/>
      <c r="V432" s="138" t="s">
        <v>59</v>
      </c>
    </row>
    <row r="433" spans="1:22" ht="78" x14ac:dyDescent="0.3">
      <c r="A433" s="132">
        <v>430</v>
      </c>
      <c r="B433" s="138" t="s">
        <v>40</v>
      </c>
      <c r="C433" s="44" t="s">
        <v>41</v>
      </c>
      <c r="D433" s="132"/>
      <c r="E433" s="138" t="s">
        <v>88</v>
      </c>
      <c r="F433" s="44" t="s">
        <v>923</v>
      </c>
      <c r="G433" s="138" t="s">
        <v>184</v>
      </c>
      <c r="H433" s="132">
        <v>95.543689999999998</v>
      </c>
      <c r="I433" s="132">
        <v>1</v>
      </c>
      <c r="J433" s="138">
        <v>95.543689999999998</v>
      </c>
      <c r="K433" s="138">
        <v>95.543689999999998</v>
      </c>
      <c r="L433" s="138">
        <v>1</v>
      </c>
      <c r="M433" s="138">
        <v>95.543689999999998</v>
      </c>
      <c r="N433" s="6" t="s">
        <v>939</v>
      </c>
      <c r="O433" s="139">
        <v>45342</v>
      </c>
      <c r="P433" s="33" t="str">
        <f>HYPERLINK("https://my.zakupivli.pro/remote/dispatcher/state_purchase_view/49302519", "UA-2024-02-20-010187-a")</f>
        <v>UA-2024-02-20-010187-a</v>
      </c>
      <c r="Q433" s="138">
        <v>95.543689999999998</v>
      </c>
      <c r="R433" s="138">
        <v>1</v>
      </c>
      <c r="S433" s="138">
        <v>95.543689999999998</v>
      </c>
      <c r="T433" s="139">
        <v>45342</v>
      </c>
      <c r="U433" s="132"/>
      <c r="V433" s="138" t="s">
        <v>59</v>
      </c>
    </row>
    <row r="434" spans="1:22" ht="78" x14ac:dyDescent="0.3">
      <c r="A434" s="132">
        <v>431</v>
      </c>
      <c r="B434" s="138" t="s">
        <v>40</v>
      </c>
      <c r="C434" s="44" t="s">
        <v>41</v>
      </c>
      <c r="D434" s="132"/>
      <c r="E434" s="138" t="s">
        <v>88</v>
      </c>
      <c r="F434" s="44" t="s">
        <v>924</v>
      </c>
      <c r="G434" s="138" t="s">
        <v>184</v>
      </c>
      <c r="H434" s="132">
        <v>43.800289999999997</v>
      </c>
      <c r="I434" s="132">
        <v>1</v>
      </c>
      <c r="J434" s="138">
        <v>43.800289999999997</v>
      </c>
      <c r="K434" s="138">
        <v>43.800289999999997</v>
      </c>
      <c r="L434" s="138">
        <v>1</v>
      </c>
      <c r="M434" s="138">
        <v>43.800289999999997</v>
      </c>
      <c r="N434" s="6" t="s">
        <v>940</v>
      </c>
      <c r="O434" s="139">
        <v>45342</v>
      </c>
      <c r="P434" s="33" t="str">
        <f>HYPERLINK("https://my.zakupivli.pro/remote/dispatcher/state_purchase_view/49302173", "UA-2024-02-20-010113-a")</f>
        <v>UA-2024-02-20-010113-a</v>
      </c>
      <c r="Q434" s="138">
        <v>43.800289999999997</v>
      </c>
      <c r="R434" s="138">
        <v>1</v>
      </c>
      <c r="S434" s="138">
        <v>43.800289999999997</v>
      </c>
      <c r="T434" s="139">
        <v>45342</v>
      </c>
      <c r="U434" s="132"/>
      <c r="V434" s="138" t="s">
        <v>59</v>
      </c>
    </row>
    <row r="435" spans="1:22" ht="78" x14ac:dyDescent="0.3">
      <c r="A435" s="132">
        <v>432</v>
      </c>
      <c r="B435" s="138" t="s">
        <v>40</v>
      </c>
      <c r="C435" s="44" t="s">
        <v>41</v>
      </c>
      <c r="D435" s="132"/>
      <c r="E435" s="138" t="s">
        <v>88</v>
      </c>
      <c r="F435" s="44" t="s">
        <v>925</v>
      </c>
      <c r="G435" s="138" t="s">
        <v>184</v>
      </c>
      <c r="H435" s="132">
        <v>402.14404999999999</v>
      </c>
      <c r="I435" s="132">
        <v>1</v>
      </c>
      <c r="J435" s="138">
        <v>402.14404999999999</v>
      </c>
      <c r="K435" s="138">
        <v>402.14404999999999</v>
      </c>
      <c r="L435" s="138">
        <v>1</v>
      </c>
      <c r="M435" s="138">
        <v>402.14404999999999</v>
      </c>
      <c r="N435" s="6" t="s">
        <v>941</v>
      </c>
      <c r="O435" s="139">
        <v>45342</v>
      </c>
      <c r="P435" s="33" t="str">
        <f>HYPERLINK("https://my.zakupivli.pro/remote/dispatcher/state_purchase_view/49301958", "UA-2024-02-20-010042-a")</f>
        <v>UA-2024-02-20-010042-a</v>
      </c>
      <c r="Q435" s="138">
        <v>402.14404999999999</v>
      </c>
      <c r="R435" s="138">
        <v>1</v>
      </c>
      <c r="S435" s="138">
        <v>402.14404999999999</v>
      </c>
      <c r="T435" s="139">
        <v>45342</v>
      </c>
      <c r="U435" s="132"/>
      <c r="V435" s="138" t="s">
        <v>59</v>
      </c>
    </row>
    <row r="436" spans="1:22" ht="78" x14ac:dyDescent="0.3">
      <c r="A436" s="132">
        <v>433</v>
      </c>
      <c r="B436" s="138" t="s">
        <v>40</v>
      </c>
      <c r="C436" s="44" t="s">
        <v>41</v>
      </c>
      <c r="D436" s="132"/>
      <c r="E436" s="138" t="s">
        <v>88</v>
      </c>
      <c r="F436" s="44" t="s">
        <v>926</v>
      </c>
      <c r="G436" s="138" t="s">
        <v>184</v>
      </c>
      <c r="H436" s="132">
        <v>218.98410000000001</v>
      </c>
      <c r="I436" s="132">
        <v>1</v>
      </c>
      <c r="J436" s="138">
        <v>218.98410000000001</v>
      </c>
      <c r="K436" s="138">
        <v>218.98410000000001</v>
      </c>
      <c r="L436" s="138">
        <v>1</v>
      </c>
      <c r="M436" s="138">
        <v>218.98410000000001</v>
      </c>
      <c r="N436" s="6" t="s">
        <v>942</v>
      </c>
      <c r="O436" s="139">
        <v>45342</v>
      </c>
      <c r="P436" s="33" t="str">
        <f>HYPERLINK("https://my.zakupivli.pro/remote/dispatcher/state_purchase_view/49301487", "UA-2024-02-20-009792-a")</f>
        <v>UA-2024-02-20-009792-a</v>
      </c>
      <c r="Q436" s="138">
        <v>218.98410000000001</v>
      </c>
      <c r="R436" s="138">
        <v>1</v>
      </c>
      <c r="S436" s="138">
        <v>218.98410000000001</v>
      </c>
      <c r="T436" s="139">
        <v>45342</v>
      </c>
      <c r="U436" s="132"/>
      <c r="V436" s="138" t="s">
        <v>59</v>
      </c>
    </row>
    <row r="437" spans="1:22" ht="78" x14ac:dyDescent="0.3">
      <c r="A437" s="132">
        <v>434</v>
      </c>
      <c r="B437" s="138" t="s">
        <v>40</v>
      </c>
      <c r="C437" s="44" t="s">
        <v>41</v>
      </c>
      <c r="D437" s="132"/>
      <c r="E437" s="138" t="s">
        <v>88</v>
      </c>
      <c r="F437" s="44" t="s">
        <v>927</v>
      </c>
      <c r="G437" s="138" t="s">
        <v>184</v>
      </c>
      <c r="H437" s="132">
        <v>676.91264000000001</v>
      </c>
      <c r="I437" s="132">
        <v>1</v>
      </c>
      <c r="J437" s="138">
        <v>676.91264000000001</v>
      </c>
      <c r="K437" s="138">
        <v>676.91264000000001</v>
      </c>
      <c r="L437" s="138">
        <v>1</v>
      </c>
      <c r="M437" s="138">
        <v>676.91264000000001</v>
      </c>
      <c r="N437" s="6" t="s">
        <v>943</v>
      </c>
      <c r="O437" s="139">
        <v>45342</v>
      </c>
      <c r="P437" s="33" t="str">
        <f>HYPERLINK("https://my.zakupivli.pro/remote/dispatcher/state_purchase_view/49300786", "UA-2024-02-20-009499-a")</f>
        <v>UA-2024-02-20-009499-a</v>
      </c>
      <c r="Q437" s="138">
        <v>676.91264000000001</v>
      </c>
      <c r="R437" s="138">
        <v>1</v>
      </c>
      <c r="S437" s="138">
        <v>676.91264000000001</v>
      </c>
      <c r="T437" s="139">
        <v>45342</v>
      </c>
      <c r="U437" s="132"/>
      <c r="V437" s="138" t="s">
        <v>59</v>
      </c>
    </row>
    <row r="438" spans="1:22" ht="78" x14ac:dyDescent="0.3">
      <c r="A438" s="132">
        <v>435</v>
      </c>
      <c r="B438" s="138" t="s">
        <v>40</v>
      </c>
      <c r="C438" s="44" t="s">
        <v>41</v>
      </c>
      <c r="D438" s="132"/>
      <c r="E438" s="138" t="s">
        <v>88</v>
      </c>
      <c r="F438" s="44" t="s">
        <v>928</v>
      </c>
      <c r="G438" s="138" t="s">
        <v>184</v>
      </c>
      <c r="H438" s="132">
        <v>48.8902</v>
      </c>
      <c r="I438" s="132">
        <v>1</v>
      </c>
      <c r="J438" s="138">
        <v>48.8902</v>
      </c>
      <c r="K438" s="138">
        <v>48.8902</v>
      </c>
      <c r="L438" s="138">
        <v>1</v>
      </c>
      <c r="M438" s="138">
        <v>48.8902</v>
      </c>
      <c r="N438" s="6" t="s">
        <v>944</v>
      </c>
      <c r="O438" s="139">
        <v>45342</v>
      </c>
      <c r="P438" s="33" t="str">
        <f>HYPERLINK("https://my.zakupivli.pro/remote/dispatcher/state_purchase_view/49300201", "UA-2024-02-20-009222-a")</f>
        <v>UA-2024-02-20-009222-a</v>
      </c>
      <c r="Q438" s="138">
        <v>48.8902</v>
      </c>
      <c r="R438" s="138">
        <v>1</v>
      </c>
      <c r="S438" s="138">
        <v>48.8902</v>
      </c>
      <c r="T438" s="139">
        <v>45342</v>
      </c>
      <c r="U438" s="132"/>
      <c r="V438" s="138" t="s">
        <v>59</v>
      </c>
    </row>
    <row r="439" spans="1:22" ht="78" x14ac:dyDescent="0.3">
      <c r="A439" s="132">
        <v>436</v>
      </c>
      <c r="B439" s="138" t="s">
        <v>40</v>
      </c>
      <c r="C439" s="44" t="s">
        <v>41</v>
      </c>
      <c r="D439" s="132"/>
      <c r="E439" s="138" t="s">
        <v>88</v>
      </c>
      <c r="F439" s="44" t="s">
        <v>929</v>
      </c>
      <c r="G439" s="138" t="s">
        <v>184</v>
      </c>
      <c r="H439" s="132">
        <v>87.01397</v>
      </c>
      <c r="I439" s="132">
        <v>1</v>
      </c>
      <c r="J439" s="138">
        <v>87.01397</v>
      </c>
      <c r="K439" s="138">
        <v>87.01397</v>
      </c>
      <c r="L439" s="138">
        <v>1</v>
      </c>
      <c r="M439" s="138">
        <v>87.01397</v>
      </c>
      <c r="N439" s="6" t="s">
        <v>945</v>
      </c>
      <c r="O439" s="139">
        <v>45342</v>
      </c>
      <c r="P439" s="33" t="str">
        <f>HYPERLINK("https://my.zakupivli.pro/remote/dispatcher/state_purchase_view/49299714", "UA-2024-02-20-008982-a")</f>
        <v>UA-2024-02-20-008982-a</v>
      </c>
      <c r="Q439" s="138">
        <v>87.01397</v>
      </c>
      <c r="R439" s="138">
        <v>1</v>
      </c>
      <c r="S439" s="138">
        <v>87.01397</v>
      </c>
      <c r="T439" s="139">
        <v>45342</v>
      </c>
      <c r="U439" s="132"/>
      <c r="V439" s="138" t="s">
        <v>59</v>
      </c>
    </row>
    <row r="440" spans="1:22" ht="78" x14ac:dyDescent="0.3">
      <c r="A440" s="132">
        <v>437</v>
      </c>
      <c r="B440" s="138" t="s">
        <v>40</v>
      </c>
      <c r="C440" s="44" t="s">
        <v>41</v>
      </c>
      <c r="D440" s="132"/>
      <c r="E440" s="138" t="s">
        <v>88</v>
      </c>
      <c r="F440" s="44" t="s">
        <v>930</v>
      </c>
      <c r="G440" s="138" t="s">
        <v>184</v>
      </c>
      <c r="H440" s="132">
        <v>81.598889999999997</v>
      </c>
      <c r="I440" s="132">
        <v>1</v>
      </c>
      <c r="J440" s="138">
        <v>81.598889999999997</v>
      </c>
      <c r="K440" s="138">
        <v>81.598889999999997</v>
      </c>
      <c r="L440" s="138">
        <v>1</v>
      </c>
      <c r="M440" s="138">
        <v>81.598889999999997</v>
      </c>
      <c r="N440" s="6" t="s">
        <v>946</v>
      </c>
      <c r="O440" s="139">
        <v>45342</v>
      </c>
      <c r="P440" s="33" t="str">
        <f>HYPERLINK("https://my.zakupivli.pro/remote/dispatcher/state_purchase_view/49299258", "UA-2024-02-20-008891-a")</f>
        <v>UA-2024-02-20-008891-a</v>
      </c>
      <c r="Q440" s="138">
        <v>81.598889999999997</v>
      </c>
      <c r="R440" s="138">
        <v>1</v>
      </c>
      <c r="S440" s="138">
        <v>81.598889999999997</v>
      </c>
      <c r="T440" s="139">
        <v>45342</v>
      </c>
      <c r="U440" s="132"/>
      <c r="V440" s="138" t="s">
        <v>59</v>
      </c>
    </row>
    <row r="441" spans="1:22" ht="78" x14ac:dyDescent="0.3">
      <c r="A441" s="132">
        <v>438</v>
      </c>
      <c r="B441" s="138" t="s">
        <v>40</v>
      </c>
      <c r="C441" s="44" t="s">
        <v>41</v>
      </c>
      <c r="D441" s="132"/>
      <c r="E441" s="138" t="s">
        <v>88</v>
      </c>
      <c r="F441" s="44" t="s">
        <v>931</v>
      </c>
      <c r="G441" s="138" t="s">
        <v>184</v>
      </c>
      <c r="H441" s="132">
        <v>141.41246000000001</v>
      </c>
      <c r="I441" s="132">
        <v>1</v>
      </c>
      <c r="J441" s="138">
        <v>141.41246000000001</v>
      </c>
      <c r="K441" s="138">
        <v>141.41246000000001</v>
      </c>
      <c r="L441" s="138">
        <v>1</v>
      </c>
      <c r="M441" s="138">
        <v>141.41246000000001</v>
      </c>
      <c r="N441" s="6" t="s">
        <v>947</v>
      </c>
      <c r="O441" s="139">
        <v>45342</v>
      </c>
      <c r="P441" s="33" t="str">
        <f>HYPERLINK("https://my.zakupivli.pro/remote/dispatcher/state_purchase_view/49298239", "UA-2024-02-20-008382-a")</f>
        <v>UA-2024-02-20-008382-a</v>
      </c>
      <c r="Q441" s="138">
        <v>141.41246000000001</v>
      </c>
      <c r="R441" s="138">
        <v>1</v>
      </c>
      <c r="S441" s="138">
        <v>141.41246000000001</v>
      </c>
      <c r="T441" s="139">
        <v>45342</v>
      </c>
      <c r="U441" s="132"/>
      <c r="V441" s="138" t="s">
        <v>59</v>
      </c>
    </row>
    <row r="442" spans="1:22" ht="46.8" x14ac:dyDescent="0.3">
      <c r="A442" s="132">
        <v>439</v>
      </c>
      <c r="B442" s="138" t="s">
        <v>21</v>
      </c>
      <c r="C442" s="44" t="s">
        <v>36</v>
      </c>
      <c r="D442" s="138" t="s">
        <v>58</v>
      </c>
      <c r="E442" s="138" t="s">
        <v>75</v>
      </c>
      <c r="F442" s="44" t="s">
        <v>932</v>
      </c>
      <c r="G442" s="132" t="s">
        <v>185</v>
      </c>
      <c r="H442" s="132"/>
      <c r="I442" s="132">
        <v>12</v>
      </c>
      <c r="J442" s="132">
        <v>1343.433</v>
      </c>
      <c r="K442" s="132"/>
      <c r="L442" s="138">
        <v>12</v>
      </c>
      <c r="M442" s="138">
        <v>1343.433</v>
      </c>
      <c r="N442" s="6" t="s">
        <v>948</v>
      </c>
      <c r="O442" s="139">
        <v>45342</v>
      </c>
      <c r="P442" s="33" t="str">
        <f>HYPERLINK("https://my.zakupivli.pro/remote/dispatcher/state_purchase_view/49296397", "UA-2024-02-20-007571-a")</f>
        <v>UA-2024-02-20-007571-a</v>
      </c>
      <c r="Q442" s="132"/>
      <c r="R442" s="138">
        <v>12</v>
      </c>
      <c r="S442" s="138">
        <v>1303.8366699999999</v>
      </c>
      <c r="T442" s="133">
        <v>45362</v>
      </c>
      <c r="U442" s="132"/>
      <c r="V442" s="132"/>
    </row>
    <row r="443" spans="1:22" ht="62.4" x14ac:dyDescent="0.3">
      <c r="A443" s="132">
        <v>440</v>
      </c>
      <c r="B443" s="140" t="s">
        <v>40</v>
      </c>
      <c r="C443" s="44" t="s">
        <v>41</v>
      </c>
      <c r="D443" s="132"/>
      <c r="E443" s="132" t="s">
        <v>373</v>
      </c>
      <c r="F443" s="44" t="s">
        <v>949</v>
      </c>
      <c r="G443" s="132" t="s">
        <v>184</v>
      </c>
      <c r="H443" s="132">
        <v>58.664209999999997</v>
      </c>
      <c r="I443" s="132">
        <v>1</v>
      </c>
      <c r="J443" s="140">
        <v>58.664209999999997</v>
      </c>
      <c r="K443" s="140">
        <v>58.664209999999997</v>
      </c>
      <c r="L443" s="140">
        <v>1</v>
      </c>
      <c r="M443" s="140">
        <v>58.664209999999997</v>
      </c>
      <c r="N443" s="6" t="s">
        <v>952</v>
      </c>
      <c r="O443" s="133">
        <v>45343</v>
      </c>
      <c r="P443" s="33" t="str">
        <f>HYPERLINK("https://my.zakupivli.pro/remote/dispatcher/state_purchase_view/49312970", "UA-2024-02-21-000550-a")</f>
        <v>UA-2024-02-21-000550-a</v>
      </c>
      <c r="Q443" s="140">
        <v>58.664209999999997</v>
      </c>
      <c r="R443" s="140">
        <v>1</v>
      </c>
      <c r="S443" s="140">
        <v>58.664209999999997</v>
      </c>
      <c r="T443" s="141">
        <v>45343</v>
      </c>
      <c r="U443" s="132"/>
      <c r="V443" s="140" t="s">
        <v>59</v>
      </c>
    </row>
    <row r="444" spans="1:22" ht="62.4" x14ac:dyDescent="0.3">
      <c r="A444" s="132">
        <v>441</v>
      </c>
      <c r="B444" s="140" t="s">
        <v>40</v>
      </c>
      <c r="C444" s="44" t="s">
        <v>41</v>
      </c>
      <c r="D444" s="132"/>
      <c r="E444" s="132" t="s">
        <v>373</v>
      </c>
      <c r="F444" s="44" t="s">
        <v>950</v>
      </c>
      <c r="G444" s="132" t="s">
        <v>184</v>
      </c>
      <c r="H444" s="132">
        <v>248.74084999999999</v>
      </c>
      <c r="I444" s="132">
        <v>1</v>
      </c>
      <c r="J444" s="140">
        <v>248.74084999999999</v>
      </c>
      <c r="K444" s="140">
        <v>248.74084999999999</v>
      </c>
      <c r="L444" s="140">
        <v>1</v>
      </c>
      <c r="M444" s="140">
        <v>248.74084999999999</v>
      </c>
      <c r="N444" s="6" t="s">
        <v>953</v>
      </c>
      <c r="O444" s="141">
        <v>45343</v>
      </c>
      <c r="P444" s="33" t="str">
        <f>HYPERLINK("https://my.zakupivli.pro/remote/dispatcher/state_purchase_view/49312594", "UA-2024-02-21-000366-a")</f>
        <v>UA-2024-02-21-000366-a</v>
      </c>
      <c r="Q444" s="140">
        <v>248.74084999999999</v>
      </c>
      <c r="R444" s="140">
        <v>1</v>
      </c>
      <c r="S444" s="140">
        <v>248.74084999999999</v>
      </c>
      <c r="T444" s="141">
        <v>45343</v>
      </c>
      <c r="U444" s="132"/>
      <c r="V444" s="140" t="s">
        <v>59</v>
      </c>
    </row>
    <row r="445" spans="1:22" ht="62.4" x14ac:dyDescent="0.3">
      <c r="A445" s="132">
        <v>442</v>
      </c>
      <c r="B445" s="140" t="s">
        <v>40</v>
      </c>
      <c r="C445" s="44" t="s">
        <v>41</v>
      </c>
      <c r="D445" s="132"/>
      <c r="E445" s="132" t="s">
        <v>373</v>
      </c>
      <c r="F445" s="44" t="s">
        <v>951</v>
      </c>
      <c r="G445" s="132" t="s">
        <v>184</v>
      </c>
      <c r="H445" s="132">
        <v>614.07236999999998</v>
      </c>
      <c r="I445" s="132">
        <v>1</v>
      </c>
      <c r="J445" s="140">
        <v>614.07236999999998</v>
      </c>
      <c r="K445" s="140">
        <v>614.07236999999998</v>
      </c>
      <c r="L445" s="140">
        <v>1</v>
      </c>
      <c r="M445" s="140">
        <v>614.07236999999998</v>
      </c>
      <c r="N445" s="6" t="s">
        <v>954</v>
      </c>
      <c r="O445" s="141">
        <v>45343</v>
      </c>
      <c r="P445" s="33" t="str">
        <f>HYPERLINK("https://my.zakupivli.pro/remote/dispatcher/state_purchase_view/49312342", "UA-2024-02-21-000270-a")</f>
        <v>UA-2024-02-21-000270-a</v>
      </c>
      <c r="Q445" s="140">
        <v>614.07236999999998</v>
      </c>
      <c r="R445" s="140">
        <v>1</v>
      </c>
      <c r="S445" s="140">
        <v>614.07236999999998</v>
      </c>
      <c r="T445" s="141">
        <v>45343</v>
      </c>
      <c r="U445" s="132"/>
      <c r="V445" s="140" t="s">
        <v>59</v>
      </c>
    </row>
    <row r="446" spans="1:22" ht="62.4" x14ac:dyDescent="0.3">
      <c r="A446" s="132">
        <v>443</v>
      </c>
      <c r="B446" s="142" t="s">
        <v>40</v>
      </c>
      <c r="C446" s="44" t="s">
        <v>41</v>
      </c>
      <c r="D446" s="132"/>
      <c r="E446" s="142" t="s">
        <v>373</v>
      </c>
      <c r="F446" s="44" t="s">
        <v>955</v>
      </c>
      <c r="G446" s="142" t="s">
        <v>184</v>
      </c>
      <c r="H446" s="132">
        <v>381.84183000000002</v>
      </c>
      <c r="I446" s="142">
        <v>1</v>
      </c>
      <c r="J446" s="142">
        <v>381.84183000000002</v>
      </c>
      <c r="K446" s="142">
        <v>381.84183000000002</v>
      </c>
      <c r="L446" s="142">
        <v>1</v>
      </c>
      <c r="M446" s="142">
        <v>381.84183000000002</v>
      </c>
      <c r="N446" s="6" t="s">
        <v>960</v>
      </c>
      <c r="O446" s="133">
        <v>45344</v>
      </c>
      <c r="P446" s="33" t="str">
        <f>HYPERLINK("https://my.zakupivli.pro/remote/dispatcher/state_purchase_view/49350980", "UA-2024-02-22-002895-a")</f>
        <v>UA-2024-02-22-002895-a</v>
      </c>
      <c r="Q446" s="142">
        <v>381.84183000000002</v>
      </c>
      <c r="R446" s="142">
        <v>1</v>
      </c>
      <c r="S446" s="142">
        <v>381.84183000000002</v>
      </c>
      <c r="T446" s="143">
        <v>45344</v>
      </c>
      <c r="U446" s="132"/>
      <c r="V446" s="142" t="s">
        <v>59</v>
      </c>
    </row>
    <row r="447" spans="1:22" ht="62.4" x14ac:dyDescent="0.3">
      <c r="A447" s="132">
        <v>444</v>
      </c>
      <c r="B447" s="142" t="s">
        <v>40</v>
      </c>
      <c r="C447" s="44" t="s">
        <v>41</v>
      </c>
      <c r="D447" s="132"/>
      <c r="E447" s="142" t="s">
        <v>373</v>
      </c>
      <c r="F447" s="44" t="s">
        <v>956</v>
      </c>
      <c r="G447" s="142" t="s">
        <v>184</v>
      </c>
      <c r="H447" s="132">
        <v>238.40684999999999</v>
      </c>
      <c r="I447" s="142">
        <v>1</v>
      </c>
      <c r="J447" s="142">
        <v>238.40684999999999</v>
      </c>
      <c r="K447" s="142">
        <v>238.40684999999999</v>
      </c>
      <c r="L447" s="142">
        <v>1</v>
      </c>
      <c r="M447" s="142">
        <v>238.40684999999999</v>
      </c>
      <c r="N447" s="6" t="s">
        <v>961</v>
      </c>
      <c r="O447" s="143">
        <v>45344</v>
      </c>
      <c r="P447" s="33" t="str">
        <f>HYPERLINK("https://my.zakupivli.pro/remote/dispatcher/state_purchase_view/49348727", "UA-2024-02-22-001885-a")</f>
        <v>UA-2024-02-22-001885-a</v>
      </c>
      <c r="Q447" s="142">
        <v>238.40684999999999</v>
      </c>
      <c r="R447" s="142">
        <v>1</v>
      </c>
      <c r="S447" s="142">
        <v>238.40684999999999</v>
      </c>
      <c r="T447" s="143">
        <v>45344</v>
      </c>
      <c r="U447" s="132"/>
      <c r="V447" s="142" t="s">
        <v>59</v>
      </c>
    </row>
    <row r="448" spans="1:22" ht="62.4" x14ac:dyDescent="0.3">
      <c r="A448" s="132">
        <v>445</v>
      </c>
      <c r="B448" s="142" t="s">
        <v>40</v>
      </c>
      <c r="C448" s="44" t="s">
        <v>41</v>
      </c>
      <c r="D448" s="132"/>
      <c r="E448" s="142" t="s">
        <v>373</v>
      </c>
      <c r="F448" s="44" t="s">
        <v>957</v>
      </c>
      <c r="G448" s="142" t="s">
        <v>184</v>
      </c>
      <c r="H448" s="132">
        <v>288.66127</v>
      </c>
      <c r="I448" s="142">
        <v>1</v>
      </c>
      <c r="J448" s="142">
        <v>288.66127</v>
      </c>
      <c r="K448" s="142">
        <v>288.66127</v>
      </c>
      <c r="L448" s="142">
        <v>1</v>
      </c>
      <c r="M448" s="142">
        <v>288.66127</v>
      </c>
      <c r="N448" s="6" t="s">
        <v>962</v>
      </c>
      <c r="O448" s="143">
        <v>45344</v>
      </c>
      <c r="P448" s="33" t="str">
        <f>HYPERLINK("https://my.zakupivli.pro/remote/dispatcher/state_purchase_view/49347008", "UA-2024-02-22-001148-a")</f>
        <v>UA-2024-02-22-001148-a</v>
      </c>
      <c r="Q448" s="142">
        <v>288.66127</v>
      </c>
      <c r="R448" s="142">
        <v>1</v>
      </c>
      <c r="S448" s="142">
        <v>288.66127</v>
      </c>
      <c r="T448" s="143">
        <v>45344</v>
      </c>
      <c r="U448" s="132"/>
      <c r="V448" s="142" t="s">
        <v>59</v>
      </c>
    </row>
    <row r="449" spans="1:22" ht="62.4" x14ac:dyDescent="0.3">
      <c r="A449" s="132">
        <v>446</v>
      </c>
      <c r="B449" s="142" t="s">
        <v>40</v>
      </c>
      <c r="C449" s="44" t="s">
        <v>73</v>
      </c>
      <c r="D449" s="132"/>
      <c r="E449" s="142" t="s">
        <v>75</v>
      </c>
      <c r="F449" s="44" t="s">
        <v>958</v>
      </c>
      <c r="G449" s="142" t="s">
        <v>184</v>
      </c>
      <c r="H449" s="132">
        <v>409.11955999999998</v>
      </c>
      <c r="I449" s="142">
        <v>1</v>
      </c>
      <c r="J449" s="142">
        <v>409.11955999999998</v>
      </c>
      <c r="K449" s="142">
        <v>409.11955999999998</v>
      </c>
      <c r="L449" s="142">
        <v>1</v>
      </c>
      <c r="M449" s="142">
        <v>409.11955999999998</v>
      </c>
      <c r="N449" s="6" t="s">
        <v>963</v>
      </c>
      <c r="O449" s="143">
        <v>45344</v>
      </c>
      <c r="P449" s="33" t="str">
        <f>HYPERLINK("https://my.zakupivli.pro/remote/dispatcher/state_purchase_view/49345061", "UA-2024-02-22-000344-a")</f>
        <v>UA-2024-02-22-000344-a</v>
      </c>
      <c r="Q449" s="142">
        <v>409.11955999999998</v>
      </c>
      <c r="R449" s="142">
        <v>1</v>
      </c>
      <c r="S449" s="142">
        <v>409.11955999999998</v>
      </c>
      <c r="T449" s="143">
        <v>45344</v>
      </c>
      <c r="U449" s="132"/>
      <c r="V449" s="142" t="s">
        <v>59</v>
      </c>
    </row>
    <row r="450" spans="1:22" ht="62.4" x14ac:dyDescent="0.3">
      <c r="A450" s="132">
        <v>447</v>
      </c>
      <c r="B450" s="142" t="s">
        <v>40</v>
      </c>
      <c r="C450" s="44" t="s">
        <v>73</v>
      </c>
      <c r="D450" s="132"/>
      <c r="E450" s="142" t="s">
        <v>75</v>
      </c>
      <c r="F450" s="44" t="s">
        <v>959</v>
      </c>
      <c r="G450" s="142" t="s">
        <v>184</v>
      </c>
      <c r="H450" s="132">
        <v>817.76594999999998</v>
      </c>
      <c r="I450" s="142">
        <v>1</v>
      </c>
      <c r="J450" s="142">
        <v>817.76594999999998</v>
      </c>
      <c r="K450" s="142">
        <v>817.76594999999998</v>
      </c>
      <c r="L450" s="142">
        <v>1</v>
      </c>
      <c r="M450" s="142">
        <v>817.76594999999998</v>
      </c>
      <c r="N450" s="6" t="s">
        <v>964</v>
      </c>
      <c r="O450" s="143">
        <v>45344</v>
      </c>
      <c r="P450" s="33" t="str">
        <f>HYPERLINK("https://my.zakupivli.pro/remote/dispatcher/state_purchase_view/49344568", "UA-2024-02-22-000149-a")</f>
        <v>UA-2024-02-22-000149-a</v>
      </c>
      <c r="Q450" s="142">
        <v>817.76594999999998</v>
      </c>
      <c r="R450" s="142">
        <v>1</v>
      </c>
      <c r="S450" s="142">
        <v>817.76594999999998</v>
      </c>
      <c r="T450" s="143">
        <v>45344</v>
      </c>
      <c r="U450" s="132"/>
      <c r="V450" s="142" t="s">
        <v>59</v>
      </c>
    </row>
    <row r="451" spans="1:22" ht="62.4" x14ac:dyDescent="0.3">
      <c r="A451" s="132">
        <v>448</v>
      </c>
      <c r="B451" s="142" t="s">
        <v>40</v>
      </c>
      <c r="C451" s="44" t="s">
        <v>41</v>
      </c>
      <c r="D451" s="132"/>
      <c r="E451" s="142" t="s">
        <v>373</v>
      </c>
      <c r="F451" s="44" t="s">
        <v>965</v>
      </c>
      <c r="G451" s="142" t="s">
        <v>184</v>
      </c>
      <c r="H451" s="132">
        <v>454.31464</v>
      </c>
      <c r="I451" s="132">
        <v>1</v>
      </c>
      <c r="J451" s="142">
        <v>454.31464</v>
      </c>
      <c r="K451" s="142">
        <v>454.31464</v>
      </c>
      <c r="L451" s="142">
        <v>1</v>
      </c>
      <c r="M451" s="142">
        <v>454.31464</v>
      </c>
      <c r="N451" s="6" t="s">
        <v>967</v>
      </c>
      <c r="O451" s="143">
        <v>45344</v>
      </c>
      <c r="P451" s="33" t="str">
        <f>HYPERLINK("https://my.zakupivli.pro/remote/dispatcher/state_purchase_view/49369718", "UA-2024-02-22-011155-a")</f>
        <v>UA-2024-02-22-011155-a</v>
      </c>
      <c r="Q451" s="142">
        <v>454.31464</v>
      </c>
      <c r="R451" s="142">
        <v>1</v>
      </c>
      <c r="S451" s="142">
        <v>454.31464</v>
      </c>
      <c r="T451" s="143">
        <v>45344</v>
      </c>
      <c r="U451" s="132"/>
      <c r="V451" s="142" t="s">
        <v>59</v>
      </c>
    </row>
    <row r="452" spans="1:22" ht="62.4" x14ac:dyDescent="0.3">
      <c r="A452" s="132">
        <v>449</v>
      </c>
      <c r="B452" s="142" t="s">
        <v>40</v>
      </c>
      <c r="C452" s="44" t="s">
        <v>41</v>
      </c>
      <c r="D452" s="132"/>
      <c r="E452" s="142" t="s">
        <v>373</v>
      </c>
      <c r="F452" s="44" t="s">
        <v>966</v>
      </c>
      <c r="G452" s="142" t="s">
        <v>184</v>
      </c>
      <c r="H452" s="132">
        <v>82.526830000000004</v>
      </c>
      <c r="I452" s="132">
        <v>1</v>
      </c>
      <c r="J452" s="142">
        <v>82.526830000000004</v>
      </c>
      <c r="K452" s="142">
        <v>82.526830000000004</v>
      </c>
      <c r="L452" s="142">
        <v>1</v>
      </c>
      <c r="M452" s="142">
        <v>82.526830000000004</v>
      </c>
      <c r="N452" s="6" t="s">
        <v>968</v>
      </c>
      <c r="O452" s="143">
        <v>45344</v>
      </c>
      <c r="P452" s="33" t="str">
        <f>HYPERLINK("https://my.zakupivli.pro/remote/dispatcher/state_purchase_view/49369192", "UA-2024-02-22-011040-a")</f>
        <v>UA-2024-02-22-011040-a</v>
      </c>
      <c r="Q452" s="142">
        <v>82.526830000000004</v>
      </c>
      <c r="R452" s="142">
        <v>1</v>
      </c>
      <c r="S452" s="142">
        <v>82.526830000000004</v>
      </c>
      <c r="T452" s="143">
        <v>45344</v>
      </c>
      <c r="U452" s="132"/>
      <c r="V452" s="142" t="s">
        <v>59</v>
      </c>
    </row>
    <row r="453" spans="1:22" ht="46.8" x14ac:dyDescent="0.3">
      <c r="A453" s="132">
        <v>450</v>
      </c>
      <c r="B453" s="132" t="s">
        <v>21</v>
      </c>
      <c r="C453" s="44" t="s">
        <v>970</v>
      </c>
      <c r="D453" s="132"/>
      <c r="E453" s="144" t="s">
        <v>75</v>
      </c>
      <c r="F453" s="44" t="s">
        <v>969</v>
      </c>
      <c r="G453" s="132" t="s">
        <v>186</v>
      </c>
      <c r="H453" s="132"/>
      <c r="I453" s="132">
        <v>39</v>
      </c>
      <c r="J453" s="132">
        <v>162.77915999999999</v>
      </c>
      <c r="K453" s="132"/>
      <c r="L453" s="144">
        <v>39</v>
      </c>
      <c r="M453" s="144">
        <v>162.77915999999999</v>
      </c>
      <c r="N453" s="6" t="s">
        <v>971</v>
      </c>
      <c r="O453" s="145">
        <v>45344</v>
      </c>
      <c r="P453" s="33" t="str">
        <f>HYPERLINK("https://my.zakupivli.pro/remote/dispatcher/state_purchase_view/49362827", "UA-2024-02-22-008123-a")</f>
        <v>UA-2024-02-22-008123-a</v>
      </c>
      <c r="Q453" s="132"/>
      <c r="R453" s="132">
        <v>39</v>
      </c>
      <c r="S453" s="132">
        <v>162.73124000000001</v>
      </c>
      <c r="T453" s="133">
        <v>45364</v>
      </c>
      <c r="U453" s="132"/>
      <c r="V453" s="132"/>
    </row>
    <row r="454" spans="1:22" ht="62.4" x14ac:dyDescent="0.3">
      <c r="A454" s="132">
        <v>451</v>
      </c>
      <c r="B454" s="146" t="s">
        <v>40</v>
      </c>
      <c r="C454" s="44" t="s">
        <v>885</v>
      </c>
      <c r="D454" s="132"/>
      <c r="E454" s="146" t="s">
        <v>88</v>
      </c>
      <c r="F454" s="44" t="s">
        <v>973</v>
      </c>
      <c r="G454" s="132" t="s">
        <v>184</v>
      </c>
      <c r="H454" s="132">
        <v>524.18587000000002</v>
      </c>
      <c r="I454" s="132">
        <v>1</v>
      </c>
      <c r="J454" s="146">
        <v>524.18587000000002</v>
      </c>
      <c r="K454" s="146">
        <v>524.18587000000002</v>
      </c>
      <c r="L454" s="146">
        <v>1</v>
      </c>
      <c r="M454" s="146">
        <v>524.18587000000002</v>
      </c>
      <c r="N454" s="6" t="s">
        <v>974</v>
      </c>
      <c r="O454" s="133">
        <v>45345</v>
      </c>
      <c r="P454" s="33" t="str">
        <f>HYPERLINK("https://my.zakupivli.pro/remote/dispatcher/state_purchase_view/49381942", "UA-2024-02-23-002262-a")</f>
        <v>UA-2024-02-23-002262-a</v>
      </c>
      <c r="Q454" s="146">
        <v>524.18587000000002</v>
      </c>
      <c r="R454" s="146">
        <v>1</v>
      </c>
      <c r="S454" s="146">
        <v>524.18587000000002</v>
      </c>
      <c r="T454" s="147">
        <v>45345</v>
      </c>
      <c r="U454" s="132"/>
      <c r="V454" s="146" t="s">
        <v>59</v>
      </c>
    </row>
    <row r="455" spans="1:22" ht="62.4" x14ac:dyDescent="0.3">
      <c r="A455" s="132">
        <v>452</v>
      </c>
      <c r="B455" s="146" t="s">
        <v>40</v>
      </c>
      <c r="C455" s="44" t="s">
        <v>885</v>
      </c>
      <c r="D455" s="132"/>
      <c r="E455" s="146" t="s">
        <v>88</v>
      </c>
      <c r="F455" s="44" t="s">
        <v>972</v>
      </c>
      <c r="G455" s="132" t="s">
        <v>184</v>
      </c>
      <c r="H455" s="132">
        <v>433.81254999999999</v>
      </c>
      <c r="I455" s="132">
        <v>1</v>
      </c>
      <c r="J455" s="146">
        <v>433.81254999999999</v>
      </c>
      <c r="K455" s="146">
        <v>433.81254999999999</v>
      </c>
      <c r="L455" s="146">
        <v>1</v>
      </c>
      <c r="M455" s="146">
        <v>433.81254999999999</v>
      </c>
      <c r="N455" s="6" t="s">
        <v>975</v>
      </c>
      <c r="O455" s="147">
        <v>45345</v>
      </c>
      <c r="P455" s="33" t="str">
        <f>HYPERLINK("https://my.zakupivli.pro/remote/dispatcher/state_purchase_view/49380309", "UA-2024-02-23-001573-a")</f>
        <v>UA-2024-02-23-001573-a</v>
      </c>
      <c r="Q455" s="146">
        <v>433.81254999999999</v>
      </c>
      <c r="R455" s="146">
        <v>1</v>
      </c>
      <c r="S455" s="146">
        <v>433.81254999999999</v>
      </c>
      <c r="T455" s="147">
        <v>45345</v>
      </c>
      <c r="U455" s="132"/>
      <c r="V455" s="146" t="s">
        <v>59</v>
      </c>
    </row>
    <row r="456" spans="1:22" ht="62.4" x14ac:dyDescent="0.3">
      <c r="A456" s="132">
        <v>453</v>
      </c>
      <c r="B456" s="149" t="s">
        <v>40</v>
      </c>
      <c r="C456" s="44" t="s">
        <v>41</v>
      </c>
      <c r="D456" s="132"/>
      <c r="E456" s="149" t="s">
        <v>75</v>
      </c>
      <c r="F456" s="44" t="s">
        <v>976</v>
      </c>
      <c r="G456" s="149" t="s">
        <v>184</v>
      </c>
      <c r="H456" s="132">
        <v>295.57825000000003</v>
      </c>
      <c r="I456" s="132">
        <v>1</v>
      </c>
      <c r="J456" s="149">
        <v>295.57825000000003</v>
      </c>
      <c r="K456" s="149">
        <v>295.57825000000003</v>
      </c>
      <c r="L456" s="149">
        <v>1</v>
      </c>
      <c r="M456" s="149">
        <v>295.57825000000003</v>
      </c>
      <c r="N456" s="6" t="s">
        <v>978</v>
      </c>
      <c r="O456" s="133">
        <v>45348</v>
      </c>
      <c r="P456" s="33" t="str">
        <f>HYPERLINK("https://my.zakupivli.pro/remote/dispatcher/state_purchase_view/49407849", "UA-2024-02-26-000121-a")</f>
        <v>UA-2024-02-26-000121-a</v>
      </c>
      <c r="Q456" s="149">
        <v>295.57825000000003</v>
      </c>
      <c r="R456" s="149">
        <v>1</v>
      </c>
      <c r="S456" s="149">
        <v>295.57825000000003</v>
      </c>
      <c r="T456" s="148">
        <v>45348</v>
      </c>
      <c r="U456" s="132"/>
      <c r="V456" s="149" t="s">
        <v>59</v>
      </c>
    </row>
    <row r="457" spans="1:22" ht="62.4" x14ac:dyDescent="0.3">
      <c r="A457" s="132">
        <v>454</v>
      </c>
      <c r="B457" s="149" t="s">
        <v>40</v>
      </c>
      <c r="C457" s="44" t="s">
        <v>518</v>
      </c>
      <c r="D457" s="132"/>
      <c r="E457" s="149" t="s">
        <v>75</v>
      </c>
      <c r="F457" s="44" t="s">
        <v>977</v>
      </c>
      <c r="G457" s="149" t="s">
        <v>184</v>
      </c>
      <c r="H457" s="132">
        <v>75.334800000000001</v>
      </c>
      <c r="I457" s="132">
        <v>1</v>
      </c>
      <c r="J457" s="149">
        <v>75.334800000000001</v>
      </c>
      <c r="K457" s="149">
        <v>75.334800000000001</v>
      </c>
      <c r="L457" s="149">
        <v>1</v>
      </c>
      <c r="M457" s="149">
        <v>75.334800000000001</v>
      </c>
      <c r="N457" s="6" t="s">
        <v>979</v>
      </c>
      <c r="O457" s="148">
        <v>45348</v>
      </c>
      <c r="P457" s="42" t="str">
        <f>HYPERLINK("https://my.zakupivli.pro/remote/dispatcher/state_purchase_view/49407682", "UA-2024-02-26-000066-a")</f>
        <v>UA-2024-02-26-000066-a</v>
      </c>
      <c r="Q457" s="149">
        <v>75.334800000000001</v>
      </c>
      <c r="R457" s="149">
        <v>1</v>
      </c>
      <c r="S457" s="149">
        <v>75.334800000000001</v>
      </c>
      <c r="T457" s="148">
        <v>45348</v>
      </c>
      <c r="U457" s="132"/>
      <c r="V457" s="149" t="s">
        <v>59</v>
      </c>
    </row>
    <row r="458" spans="1:22" ht="46.8" x14ac:dyDescent="0.3">
      <c r="A458" s="132">
        <v>455</v>
      </c>
      <c r="B458" s="150" t="s">
        <v>21</v>
      </c>
      <c r="C458" s="41" t="s">
        <v>180</v>
      </c>
      <c r="D458" s="150" t="s">
        <v>58</v>
      </c>
      <c r="E458" s="150" t="s">
        <v>75</v>
      </c>
      <c r="F458" s="41" t="s">
        <v>980</v>
      </c>
      <c r="G458" s="132" t="s">
        <v>186</v>
      </c>
      <c r="H458" s="132"/>
      <c r="I458" s="132">
        <v>5</v>
      </c>
      <c r="J458" s="132">
        <v>372.96</v>
      </c>
      <c r="K458" s="132"/>
      <c r="L458" s="150">
        <v>5</v>
      </c>
      <c r="M458" s="150">
        <v>372.96</v>
      </c>
      <c r="N458" s="6" t="s">
        <v>981</v>
      </c>
      <c r="O458" s="133">
        <v>45349</v>
      </c>
      <c r="P458" s="33" t="str">
        <f>HYPERLINK("https://my.zakupivli.pro/remote/dispatcher/state_purchase_view/49447825", "UA-2024-02-27-004245-a")</f>
        <v>UA-2024-02-27-004245-a</v>
      </c>
      <c r="Q458" s="132"/>
      <c r="R458" s="132">
        <v>5</v>
      </c>
      <c r="S458" s="132">
        <v>332.6234</v>
      </c>
      <c r="T458" s="133">
        <v>45364</v>
      </c>
      <c r="U458" s="132"/>
      <c r="V458" s="132"/>
    </row>
    <row r="459" spans="1:22" ht="43.2" x14ac:dyDescent="0.3">
      <c r="A459" s="132">
        <v>456</v>
      </c>
      <c r="B459" s="152" t="s">
        <v>21</v>
      </c>
      <c r="C459" s="156" t="s">
        <v>32</v>
      </c>
      <c r="D459" s="152" t="s">
        <v>58</v>
      </c>
      <c r="E459" s="152" t="s">
        <v>75</v>
      </c>
      <c r="F459" s="156" t="s">
        <v>982</v>
      </c>
      <c r="G459" s="132" t="s">
        <v>186</v>
      </c>
      <c r="H459" s="132"/>
      <c r="I459" s="132">
        <v>3</v>
      </c>
      <c r="J459" s="119">
        <v>367.5</v>
      </c>
      <c r="K459" s="132"/>
      <c r="L459" s="152">
        <v>3</v>
      </c>
      <c r="M459" s="119">
        <v>367.5</v>
      </c>
      <c r="N459" s="6" t="s">
        <v>986</v>
      </c>
      <c r="O459" s="133">
        <v>45350</v>
      </c>
      <c r="P459" s="33" t="str">
        <f>HYPERLINK("https://my.zakupivli.pro/remote/dispatcher/state_purchase_view/49472296", "UA-2024-02-28-002778-a")</f>
        <v>UA-2024-02-28-002778-a</v>
      </c>
      <c r="Q459" s="132"/>
      <c r="R459" s="132">
        <v>3</v>
      </c>
      <c r="S459" s="119">
        <v>285</v>
      </c>
      <c r="T459" s="133">
        <v>45392</v>
      </c>
      <c r="U459" s="132"/>
      <c r="V459" s="132"/>
    </row>
    <row r="460" spans="1:22" ht="43.2" x14ac:dyDescent="0.3">
      <c r="A460" s="132">
        <v>457</v>
      </c>
      <c r="B460" s="152" t="s">
        <v>21</v>
      </c>
      <c r="C460" s="156" t="s">
        <v>32</v>
      </c>
      <c r="D460" s="152" t="s">
        <v>58</v>
      </c>
      <c r="E460" s="152" t="s">
        <v>75</v>
      </c>
      <c r="F460" s="156" t="s">
        <v>983</v>
      </c>
      <c r="G460" s="132" t="s">
        <v>186</v>
      </c>
      <c r="H460" s="132"/>
      <c r="I460" s="132">
        <v>2</v>
      </c>
      <c r="J460" s="119">
        <v>440.1</v>
      </c>
      <c r="K460" s="132"/>
      <c r="L460" s="152">
        <v>2</v>
      </c>
      <c r="M460" s="119">
        <v>440.1</v>
      </c>
      <c r="N460" s="6" t="s">
        <v>987</v>
      </c>
      <c r="O460" s="153">
        <v>45350</v>
      </c>
      <c r="P460" s="33" t="str">
        <f>HYPERLINK("https://my.zakupivli.pro/remote/dispatcher/state_purchase_view/49472296", "UA-2024-02-28-002778-a")</f>
        <v>UA-2024-02-28-002778-a</v>
      </c>
      <c r="Q460" s="132"/>
      <c r="R460" s="132">
        <v>2</v>
      </c>
      <c r="S460" s="119">
        <v>264.89999999999998</v>
      </c>
      <c r="T460" s="133">
        <v>45394</v>
      </c>
      <c r="U460" s="132"/>
      <c r="V460" s="132"/>
    </row>
    <row r="461" spans="1:22" ht="43.2" x14ac:dyDescent="0.3">
      <c r="A461" s="132">
        <v>458</v>
      </c>
      <c r="B461" s="152" t="s">
        <v>21</v>
      </c>
      <c r="C461" s="156" t="s">
        <v>32</v>
      </c>
      <c r="D461" s="152" t="s">
        <v>58</v>
      </c>
      <c r="E461" s="152" t="s">
        <v>75</v>
      </c>
      <c r="F461" s="156" t="s">
        <v>984</v>
      </c>
      <c r="G461" s="132" t="s">
        <v>186</v>
      </c>
      <c r="H461" s="132"/>
      <c r="I461" s="132">
        <v>7</v>
      </c>
      <c r="J461" s="132">
        <v>136.666</v>
      </c>
      <c r="K461" s="132"/>
      <c r="L461" s="152">
        <v>7</v>
      </c>
      <c r="M461" s="152">
        <v>136.666</v>
      </c>
      <c r="N461" s="6" t="s">
        <v>988</v>
      </c>
      <c r="O461" s="153">
        <v>45350</v>
      </c>
      <c r="P461" s="33" t="str">
        <f>HYPERLINK("https://my.zakupivli.pro/remote/dispatcher/state_purchase_view/49472296", "UA-2024-02-28-002778-a")</f>
        <v>UA-2024-02-28-002778-a</v>
      </c>
      <c r="Q461" s="132"/>
      <c r="R461" s="132">
        <v>7</v>
      </c>
      <c r="S461" s="89">
        <v>100.26</v>
      </c>
      <c r="T461" s="133">
        <v>45392</v>
      </c>
      <c r="U461" s="132"/>
      <c r="V461" s="132"/>
    </row>
    <row r="462" spans="1:22" ht="43.2" x14ac:dyDescent="0.3">
      <c r="A462" s="132">
        <v>459</v>
      </c>
      <c r="B462" s="152" t="s">
        <v>21</v>
      </c>
      <c r="C462" s="156" t="s">
        <v>32</v>
      </c>
      <c r="D462" s="152" t="s">
        <v>58</v>
      </c>
      <c r="E462" s="152" t="s">
        <v>75</v>
      </c>
      <c r="F462" s="156" t="s">
        <v>985</v>
      </c>
      <c r="G462" s="132" t="s">
        <v>186</v>
      </c>
      <c r="H462" s="132"/>
      <c r="I462" s="132">
        <v>1</v>
      </c>
      <c r="J462" s="119">
        <v>450</v>
      </c>
      <c r="K462" s="132"/>
      <c r="L462" s="152">
        <v>1</v>
      </c>
      <c r="M462" s="119">
        <v>450</v>
      </c>
      <c r="N462" s="6" t="s">
        <v>989</v>
      </c>
      <c r="O462" s="153">
        <v>45350</v>
      </c>
      <c r="P462" s="33" t="str">
        <f>HYPERLINK("https://my.zakupivli.pro/remote/dispatcher/state_purchase_view/49472296", "UA-2024-02-28-002778-a")</f>
        <v>UA-2024-02-28-002778-a</v>
      </c>
      <c r="Q462" s="132"/>
      <c r="R462" s="132">
        <v>1</v>
      </c>
      <c r="S462" s="119">
        <v>174.58</v>
      </c>
      <c r="T462" s="133">
        <v>45392</v>
      </c>
      <c r="U462" s="132"/>
      <c r="V462" s="132"/>
    </row>
    <row r="463" spans="1:22" ht="46.8" x14ac:dyDescent="0.3">
      <c r="A463" s="132">
        <v>460</v>
      </c>
      <c r="B463" s="154" t="s">
        <v>21</v>
      </c>
      <c r="C463" s="44" t="s">
        <v>992</v>
      </c>
      <c r="D463" s="154" t="s">
        <v>58</v>
      </c>
      <c r="E463" s="154" t="s">
        <v>75</v>
      </c>
      <c r="F463" s="44" t="s">
        <v>990</v>
      </c>
      <c r="G463" s="132" t="s">
        <v>185</v>
      </c>
      <c r="H463" s="119">
        <v>9.4499999999999993</v>
      </c>
      <c r="I463" s="132">
        <v>67</v>
      </c>
      <c r="J463" s="119">
        <v>633.15</v>
      </c>
      <c r="K463" s="119">
        <v>9.4499999999999993</v>
      </c>
      <c r="L463" s="154">
        <v>67</v>
      </c>
      <c r="M463" s="119">
        <v>633.15</v>
      </c>
      <c r="N463" s="6" t="s">
        <v>991</v>
      </c>
      <c r="O463" s="133">
        <v>45351</v>
      </c>
      <c r="P463" s="33" t="str">
        <f>HYPERLINK("https://my.zakupivli.pro/remote/dispatcher/state_purchase_view/49508019", "UA-2024-02-29-006630-a")</f>
        <v>UA-2024-02-29-006630-a</v>
      </c>
      <c r="Q463" s="132">
        <v>9.1880000000000006</v>
      </c>
      <c r="R463" s="132">
        <v>67</v>
      </c>
      <c r="S463" s="132">
        <v>615.596</v>
      </c>
      <c r="T463" s="133">
        <v>45366</v>
      </c>
      <c r="U463" s="132"/>
      <c r="V463" s="132"/>
    </row>
    <row r="464" spans="1:22" ht="202.8" x14ac:dyDescent="0.3">
      <c r="A464" s="132">
        <v>461</v>
      </c>
      <c r="B464" s="158" t="s">
        <v>40</v>
      </c>
      <c r="C464" s="44" t="s">
        <v>41</v>
      </c>
      <c r="D464" s="158" t="s">
        <v>58</v>
      </c>
      <c r="E464" s="158" t="s">
        <v>88</v>
      </c>
      <c r="F464" s="44" t="s">
        <v>993</v>
      </c>
      <c r="G464" s="132" t="s">
        <v>184</v>
      </c>
      <c r="H464" s="132">
        <v>8349.8189399999992</v>
      </c>
      <c r="I464" s="132">
        <v>1</v>
      </c>
      <c r="J464" s="158">
        <v>8349.8189399999992</v>
      </c>
      <c r="K464" s="158">
        <v>8349.8189399999992</v>
      </c>
      <c r="L464" s="158">
        <v>1</v>
      </c>
      <c r="M464" s="158">
        <v>8349.8189399999992</v>
      </c>
      <c r="N464" s="6" t="s">
        <v>995</v>
      </c>
      <c r="O464" s="133">
        <v>45352</v>
      </c>
      <c r="P464" s="33" t="str">
        <f>HYPERLINK("https://my.zakupivli.pro/remote/dispatcher/state_purchase_view/49535400", "UA-2024-03-01-007913-a")</f>
        <v>UA-2024-03-01-007913-a</v>
      </c>
      <c r="Q464" s="132"/>
      <c r="R464" s="132"/>
      <c r="S464" s="132"/>
      <c r="T464" s="133"/>
      <c r="U464" s="168" t="s">
        <v>93</v>
      </c>
      <c r="V464" s="132"/>
    </row>
    <row r="465" spans="1:22" ht="218.4" x14ac:dyDescent="0.3">
      <c r="A465" s="132">
        <v>462</v>
      </c>
      <c r="B465" s="158" t="s">
        <v>40</v>
      </c>
      <c r="C465" s="44" t="s">
        <v>41</v>
      </c>
      <c r="D465" s="158" t="s">
        <v>58</v>
      </c>
      <c r="E465" s="158" t="s">
        <v>88</v>
      </c>
      <c r="F465" s="44" t="s">
        <v>994</v>
      </c>
      <c r="G465" s="132" t="s">
        <v>184</v>
      </c>
      <c r="H465" s="132">
        <v>6432.3817900000004</v>
      </c>
      <c r="I465" s="132">
        <v>1</v>
      </c>
      <c r="J465" s="158">
        <v>6432.3817900000004</v>
      </c>
      <c r="K465" s="158">
        <v>6432.3817900000004</v>
      </c>
      <c r="L465" s="158">
        <v>1</v>
      </c>
      <c r="M465" s="158">
        <v>6432.3817900000004</v>
      </c>
      <c r="N465" s="6" t="s">
        <v>996</v>
      </c>
      <c r="O465" s="159">
        <v>45352</v>
      </c>
      <c r="P465" s="33" t="str">
        <f>HYPERLINK("https://my.zakupivli.pro/remote/dispatcher/state_purchase_view/49535400", "UA-2024-03-01-007913-a")</f>
        <v>UA-2024-03-01-007913-a</v>
      </c>
      <c r="Q465" s="132"/>
      <c r="R465" s="132"/>
      <c r="S465" s="132"/>
      <c r="T465" s="133"/>
      <c r="U465" s="168" t="s">
        <v>93</v>
      </c>
      <c r="V465" s="132"/>
    </row>
    <row r="466" spans="1:22" ht="140.4" x14ac:dyDescent="0.3">
      <c r="A466" s="132">
        <v>463</v>
      </c>
      <c r="B466" s="160" t="s">
        <v>21</v>
      </c>
      <c r="C466" s="44" t="s">
        <v>805</v>
      </c>
      <c r="D466" s="132"/>
      <c r="E466" s="160" t="s">
        <v>75</v>
      </c>
      <c r="F466" s="44" t="s">
        <v>997</v>
      </c>
      <c r="G466" s="132" t="s">
        <v>186</v>
      </c>
      <c r="H466" s="132"/>
      <c r="I466" s="132">
        <v>9</v>
      </c>
      <c r="J466" s="132">
        <v>111.223</v>
      </c>
      <c r="K466" s="132"/>
      <c r="L466" s="160">
        <v>9</v>
      </c>
      <c r="M466" s="160">
        <v>111.223</v>
      </c>
      <c r="N466" s="6" t="s">
        <v>1004</v>
      </c>
      <c r="O466" s="133">
        <v>45355</v>
      </c>
      <c r="P466" s="33" t="str">
        <f>HYPERLINK("https://my.zakupivli.pro/remote/dispatcher/state_purchase_view/49571696", "UA-2024-03-04-011178-a")</f>
        <v>UA-2024-03-04-011178-a</v>
      </c>
      <c r="Q466" s="132"/>
      <c r="R466" s="160">
        <v>9</v>
      </c>
      <c r="S466" s="160">
        <v>111.223</v>
      </c>
      <c r="T466" s="133">
        <v>45355</v>
      </c>
      <c r="U466" s="132"/>
      <c r="V466" s="160" t="s">
        <v>59</v>
      </c>
    </row>
    <row r="467" spans="1:22" ht="171.6" x14ac:dyDescent="0.3">
      <c r="A467" s="132">
        <v>464</v>
      </c>
      <c r="B467" s="160" t="s">
        <v>40</v>
      </c>
      <c r="C467" s="44" t="s">
        <v>41</v>
      </c>
      <c r="D467" s="160" t="s">
        <v>58</v>
      </c>
      <c r="E467" s="160" t="s">
        <v>88</v>
      </c>
      <c r="F467" s="44" t="s">
        <v>998</v>
      </c>
      <c r="G467" s="132" t="s">
        <v>184</v>
      </c>
      <c r="H467" s="119">
        <v>1050.5</v>
      </c>
      <c r="I467" s="132">
        <v>1</v>
      </c>
      <c r="J467" s="119">
        <v>1050.5</v>
      </c>
      <c r="K467" s="119">
        <v>1050.5</v>
      </c>
      <c r="L467" s="160">
        <v>1</v>
      </c>
      <c r="M467" s="119">
        <v>1050.5</v>
      </c>
      <c r="N467" s="6" t="s">
        <v>1005</v>
      </c>
      <c r="O467" s="161">
        <v>45355</v>
      </c>
      <c r="P467" s="33" t="str">
        <f>HYPERLINK("https://my.zakupivli.pro/remote/dispatcher/state_purchase_view/49571405", "UA-2024-03-04-011096-a")</f>
        <v>UA-2024-03-04-011096-a</v>
      </c>
      <c r="Q467" s="132">
        <v>1041.8113599999999</v>
      </c>
      <c r="R467" s="132">
        <v>1</v>
      </c>
      <c r="S467" s="185">
        <v>1041.8113599999999</v>
      </c>
      <c r="T467" s="133">
        <v>45380</v>
      </c>
      <c r="U467" s="132"/>
      <c r="V467" s="132"/>
    </row>
    <row r="468" spans="1:22" ht="171.6" x14ac:dyDescent="0.3">
      <c r="A468" s="132">
        <v>465</v>
      </c>
      <c r="B468" s="160" t="s">
        <v>40</v>
      </c>
      <c r="C468" s="44" t="s">
        <v>41</v>
      </c>
      <c r="D468" s="160" t="s">
        <v>58</v>
      </c>
      <c r="E468" s="160" t="s">
        <v>88</v>
      </c>
      <c r="F468" s="44" t="s">
        <v>999</v>
      </c>
      <c r="G468" s="132" t="s">
        <v>184</v>
      </c>
      <c r="H468" s="132">
        <v>806.16314</v>
      </c>
      <c r="I468" s="132">
        <v>1</v>
      </c>
      <c r="J468" s="160">
        <v>806.16314</v>
      </c>
      <c r="K468" s="160">
        <v>806.16314</v>
      </c>
      <c r="L468" s="160">
        <v>1</v>
      </c>
      <c r="M468" s="160">
        <v>806.16314</v>
      </c>
      <c r="N468" s="6" t="s">
        <v>1006</v>
      </c>
      <c r="O468" s="161">
        <v>45355</v>
      </c>
      <c r="P468" s="33" t="str">
        <f>HYPERLINK("https://my.zakupivli.pro/remote/dispatcher/state_purchase_view/49571405", "UA-2024-03-04-011096-a")</f>
        <v>UA-2024-03-04-011096-a</v>
      </c>
      <c r="Q468" s="132"/>
      <c r="R468" s="132"/>
      <c r="S468" s="132"/>
      <c r="T468" s="133"/>
      <c r="U468" s="177" t="s">
        <v>93</v>
      </c>
      <c r="V468" s="132"/>
    </row>
    <row r="469" spans="1:22" ht="171.6" x14ac:dyDescent="0.3">
      <c r="A469" s="132">
        <v>466</v>
      </c>
      <c r="B469" s="160" t="s">
        <v>40</v>
      </c>
      <c r="C469" s="44" t="s">
        <v>41</v>
      </c>
      <c r="D469" s="160" t="s">
        <v>58</v>
      </c>
      <c r="E469" s="160" t="s">
        <v>88</v>
      </c>
      <c r="F469" s="44" t="s">
        <v>1000</v>
      </c>
      <c r="G469" s="132" t="s">
        <v>184</v>
      </c>
      <c r="H469" s="132">
        <v>840.49570000000006</v>
      </c>
      <c r="I469" s="132">
        <v>1</v>
      </c>
      <c r="J469" s="160">
        <v>840.49570000000006</v>
      </c>
      <c r="K469" s="160">
        <v>840.49570000000006</v>
      </c>
      <c r="L469" s="160">
        <v>1</v>
      </c>
      <c r="M469" s="160">
        <v>840.49570000000006</v>
      </c>
      <c r="N469" s="6" t="s">
        <v>1007</v>
      </c>
      <c r="O469" s="161">
        <v>45355</v>
      </c>
      <c r="P469" s="33" t="str">
        <f>HYPERLINK("https://my.zakupivli.pro/remote/dispatcher/state_purchase_view/49571405", "UA-2024-03-04-011096-a")</f>
        <v>UA-2024-03-04-011096-a</v>
      </c>
      <c r="Q469" s="132"/>
      <c r="R469" s="132"/>
      <c r="S469" s="132"/>
      <c r="T469" s="133"/>
      <c r="U469" s="177" t="s">
        <v>93</v>
      </c>
      <c r="V469" s="132"/>
    </row>
    <row r="470" spans="1:22" ht="62.4" x14ac:dyDescent="0.3">
      <c r="A470" s="132">
        <v>467</v>
      </c>
      <c r="B470" s="160" t="s">
        <v>40</v>
      </c>
      <c r="C470" s="44" t="s">
        <v>73</v>
      </c>
      <c r="D470" s="132"/>
      <c r="E470" s="160" t="s">
        <v>75</v>
      </c>
      <c r="F470" s="44" t="s">
        <v>1001</v>
      </c>
      <c r="G470" s="132" t="s">
        <v>184</v>
      </c>
      <c r="H470" s="132">
        <v>90.677120000000002</v>
      </c>
      <c r="I470" s="132">
        <v>1</v>
      </c>
      <c r="J470" s="160">
        <v>90.677120000000002</v>
      </c>
      <c r="K470" s="160">
        <v>90.677120000000002</v>
      </c>
      <c r="L470" s="160">
        <v>1</v>
      </c>
      <c r="M470" s="160">
        <v>90.677120000000002</v>
      </c>
      <c r="N470" s="6" t="s">
        <v>1008</v>
      </c>
      <c r="O470" s="161">
        <v>45355</v>
      </c>
      <c r="P470" s="33" t="str">
        <f>HYPERLINK("https://my.zakupivli.pro/remote/dispatcher/state_purchase_view/49563835", "UA-2024-03-04-007678-a")</f>
        <v>UA-2024-03-04-007678-a</v>
      </c>
      <c r="Q470" s="160">
        <v>90.677120000000002</v>
      </c>
      <c r="R470" s="160">
        <v>1</v>
      </c>
      <c r="S470" s="160">
        <v>90.677120000000002</v>
      </c>
      <c r="T470" s="161">
        <v>45355</v>
      </c>
      <c r="U470" s="132"/>
      <c r="V470" s="160" t="s">
        <v>59</v>
      </c>
    </row>
    <row r="471" spans="1:22" ht="62.4" x14ac:dyDescent="0.3">
      <c r="A471" s="132">
        <v>468</v>
      </c>
      <c r="B471" s="132" t="s">
        <v>21</v>
      </c>
      <c r="C471" s="44" t="s">
        <v>895</v>
      </c>
      <c r="D471" s="132"/>
      <c r="E471" s="160" t="s">
        <v>75</v>
      </c>
      <c r="F471" s="44" t="s">
        <v>1002</v>
      </c>
      <c r="G471" s="132" t="s">
        <v>186</v>
      </c>
      <c r="H471" s="132"/>
      <c r="I471" s="132">
        <v>5</v>
      </c>
      <c r="J471" s="119">
        <v>68.75</v>
      </c>
      <c r="K471" s="132"/>
      <c r="L471" s="160">
        <v>5</v>
      </c>
      <c r="M471" s="119">
        <v>68.75</v>
      </c>
      <c r="N471" s="6" t="s">
        <v>1009</v>
      </c>
      <c r="O471" s="161">
        <v>45355</v>
      </c>
      <c r="P471" s="33" t="str">
        <f>HYPERLINK("https://my.zakupivli.pro/remote/dispatcher/state_purchase_view/49553110", "UA-2024-03-04-003068-a")</f>
        <v>UA-2024-03-04-003068-a</v>
      </c>
      <c r="Q471" s="132"/>
      <c r="R471" s="160">
        <v>5</v>
      </c>
      <c r="S471" s="119">
        <v>68.75</v>
      </c>
      <c r="T471" s="161">
        <v>45355</v>
      </c>
      <c r="U471" s="132"/>
      <c r="V471" s="160" t="s">
        <v>59</v>
      </c>
    </row>
    <row r="472" spans="1:22" ht="62.4" x14ac:dyDescent="0.3">
      <c r="A472" s="132">
        <v>469</v>
      </c>
      <c r="B472" s="160" t="s">
        <v>40</v>
      </c>
      <c r="C472" s="44" t="s">
        <v>41</v>
      </c>
      <c r="D472" s="132"/>
      <c r="E472" s="160" t="s">
        <v>75</v>
      </c>
      <c r="F472" s="44" t="s">
        <v>1003</v>
      </c>
      <c r="G472" s="132" t="s">
        <v>184</v>
      </c>
      <c r="H472" s="132">
        <v>272.93687499999999</v>
      </c>
      <c r="I472" s="132">
        <v>1</v>
      </c>
      <c r="J472" s="160">
        <v>272.93687499999999</v>
      </c>
      <c r="K472" s="160">
        <v>272.93687499999999</v>
      </c>
      <c r="L472" s="160">
        <v>1</v>
      </c>
      <c r="M472" s="160">
        <v>272.93687499999999</v>
      </c>
      <c r="N472" s="6" t="s">
        <v>1010</v>
      </c>
      <c r="O472" s="161">
        <v>45355</v>
      </c>
      <c r="P472" s="33" t="str">
        <f>HYPERLINK("https://my.zakupivli.pro/remote/dispatcher/state_purchase_view/49550686", "UA-2024-03-04-002146-a")</f>
        <v>UA-2024-03-04-002146-a</v>
      </c>
      <c r="Q472" s="160">
        <v>272.93687499999999</v>
      </c>
      <c r="R472" s="160">
        <v>1</v>
      </c>
      <c r="S472" s="160">
        <v>272.93687499999999</v>
      </c>
      <c r="T472" s="161">
        <v>45355</v>
      </c>
      <c r="U472" s="132"/>
      <c r="V472" s="160" t="s">
        <v>59</v>
      </c>
    </row>
    <row r="473" spans="1:22" ht="78" x14ac:dyDescent="0.3">
      <c r="A473" s="132">
        <v>467</v>
      </c>
      <c r="B473" s="162" t="s">
        <v>40</v>
      </c>
      <c r="C473" s="44" t="s">
        <v>41</v>
      </c>
      <c r="D473" s="132"/>
      <c r="E473" s="162" t="s">
        <v>373</v>
      </c>
      <c r="F473" s="44" t="s">
        <v>1011</v>
      </c>
      <c r="G473" s="162" t="s">
        <v>184</v>
      </c>
      <c r="H473" s="132">
        <v>217.82105999999999</v>
      </c>
      <c r="I473" s="132">
        <v>1</v>
      </c>
      <c r="J473" s="162">
        <v>217.82105999999999</v>
      </c>
      <c r="K473" s="162">
        <v>217.82105999999999</v>
      </c>
      <c r="L473" s="162">
        <v>1</v>
      </c>
      <c r="M473" s="162">
        <v>217.82105999999999</v>
      </c>
      <c r="N473" s="6" t="s">
        <v>1014</v>
      </c>
      <c r="O473" s="133">
        <v>45356</v>
      </c>
      <c r="P473" s="33" t="str">
        <f>HYPERLINK("https://my.zakupivli.pro/remote/dispatcher/state_purchase_view/49603204", "UA-2024-03-05-012187-a")</f>
        <v>UA-2024-03-05-012187-a</v>
      </c>
      <c r="Q473" s="162">
        <v>217.82105999999999</v>
      </c>
      <c r="R473" s="162">
        <v>1</v>
      </c>
      <c r="S473" s="162">
        <v>217.82105999999999</v>
      </c>
      <c r="T473" s="163">
        <v>45356</v>
      </c>
      <c r="U473" s="132"/>
      <c r="V473" s="162" t="s">
        <v>59</v>
      </c>
    </row>
    <row r="474" spans="1:22" ht="62.4" x14ac:dyDescent="0.3">
      <c r="A474" s="132">
        <v>468</v>
      </c>
      <c r="B474" s="162" t="s">
        <v>40</v>
      </c>
      <c r="C474" s="44" t="s">
        <v>41</v>
      </c>
      <c r="D474" s="132"/>
      <c r="E474" s="162" t="s">
        <v>373</v>
      </c>
      <c r="F474" s="44" t="s">
        <v>1012</v>
      </c>
      <c r="G474" s="162" t="s">
        <v>184</v>
      </c>
      <c r="H474" s="132">
        <v>87.995450000000005</v>
      </c>
      <c r="I474" s="132">
        <v>1</v>
      </c>
      <c r="J474" s="162">
        <v>87.995450000000005</v>
      </c>
      <c r="K474" s="162">
        <v>87.995450000000005</v>
      </c>
      <c r="L474" s="162">
        <v>1</v>
      </c>
      <c r="M474" s="162">
        <v>87.995450000000005</v>
      </c>
      <c r="N474" s="6" t="s">
        <v>1015</v>
      </c>
      <c r="O474" s="163">
        <v>45356</v>
      </c>
      <c r="P474" s="33" t="str">
        <f>HYPERLINK("https://my.zakupivli.pro/remote/dispatcher/state_purchase_view/49602717", "UA-2024-03-05-011904-a")</f>
        <v>UA-2024-03-05-011904-a</v>
      </c>
      <c r="Q474" s="162">
        <v>87.995450000000005</v>
      </c>
      <c r="R474" s="162">
        <v>1</v>
      </c>
      <c r="S474" s="162">
        <v>87.995450000000005</v>
      </c>
      <c r="T474" s="163">
        <v>45356</v>
      </c>
      <c r="U474" s="132"/>
      <c r="V474" s="162" t="s">
        <v>59</v>
      </c>
    </row>
    <row r="475" spans="1:22" ht="62.4" x14ac:dyDescent="0.3">
      <c r="A475" s="132">
        <v>469</v>
      </c>
      <c r="B475" s="162" t="s">
        <v>40</v>
      </c>
      <c r="C475" s="44" t="s">
        <v>41</v>
      </c>
      <c r="D475" s="132"/>
      <c r="E475" s="162" t="s">
        <v>373</v>
      </c>
      <c r="F475" s="44" t="s">
        <v>1013</v>
      </c>
      <c r="G475" s="162" t="s">
        <v>184</v>
      </c>
      <c r="H475" s="162">
        <v>285.24131999999997</v>
      </c>
      <c r="I475" s="132">
        <v>1</v>
      </c>
      <c r="J475" s="132">
        <v>285.24131999999997</v>
      </c>
      <c r="K475" s="162">
        <v>285.24131999999997</v>
      </c>
      <c r="L475" s="162">
        <v>1</v>
      </c>
      <c r="M475" s="162">
        <v>285.24131999999997</v>
      </c>
      <c r="N475" s="6" t="s">
        <v>1016</v>
      </c>
      <c r="O475" s="163">
        <v>45356</v>
      </c>
      <c r="P475" s="33" t="str">
        <f>HYPERLINK("https://my.zakupivli.pro/remote/dispatcher/state_purchase_view/49581286", "UA-2024-03-05-002444-a")</f>
        <v>UA-2024-03-05-002444-a</v>
      </c>
      <c r="Q475" s="162">
        <v>285.24131999999997</v>
      </c>
      <c r="R475" s="162">
        <v>1</v>
      </c>
      <c r="S475" s="162">
        <v>285.24131999999997</v>
      </c>
      <c r="T475" s="163">
        <v>45356</v>
      </c>
      <c r="U475" s="132"/>
      <c r="V475" s="162" t="s">
        <v>59</v>
      </c>
    </row>
    <row r="476" spans="1:22" ht="171.6" x14ac:dyDescent="0.3">
      <c r="A476" s="132">
        <v>470</v>
      </c>
      <c r="B476" s="164" t="s">
        <v>40</v>
      </c>
      <c r="C476" s="44" t="s">
        <v>41</v>
      </c>
      <c r="D476" s="132"/>
      <c r="E476" s="164" t="s">
        <v>88</v>
      </c>
      <c r="F476" s="44" t="s">
        <v>1017</v>
      </c>
      <c r="G476" s="164" t="s">
        <v>184</v>
      </c>
      <c r="H476" s="132">
        <v>1517.33807</v>
      </c>
      <c r="I476" s="132">
        <v>1</v>
      </c>
      <c r="J476" s="164">
        <v>1517.33807</v>
      </c>
      <c r="K476" s="164">
        <v>1517.33807</v>
      </c>
      <c r="L476" s="164">
        <v>1</v>
      </c>
      <c r="M476" s="164">
        <v>1517.33807</v>
      </c>
      <c r="N476" s="6" t="s">
        <v>1019</v>
      </c>
      <c r="O476" s="133">
        <v>45357</v>
      </c>
      <c r="P476" s="33" t="str">
        <f>HYPERLINK("https://my.zakupivli.pro/remote/dispatcher/state_purchase_view/49613449", "UA-2024-03-06-001796-a")</f>
        <v>UA-2024-03-06-001796-a</v>
      </c>
      <c r="Q476" s="164">
        <v>1517.33807</v>
      </c>
      <c r="R476" s="164">
        <v>1</v>
      </c>
      <c r="S476" s="164">
        <v>1517.33807</v>
      </c>
      <c r="T476" s="165">
        <v>45357</v>
      </c>
      <c r="U476" s="132"/>
      <c r="V476" s="164" t="s">
        <v>59</v>
      </c>
    </row>
    <row r="477" spans="1:22" ht="171.6" x14ac:dyDescent="0.3">
      <c r="A477" s="132">
        <v>471</v>
      </c>
      <c r="B477" s="164" t="s">
        <v>40</v>
      </c>
      <c r="C477" s="44" t="s">
        <v>41</v>
      </c>
      <c r="D477" s="132"/>
      <c r="E477" s="164" t="s">
        <v>88</v>
      </c>
      <c r="F477" s="44" t="s">
        <v>1018</v>
      </c>
      <c r="G477" s="164" t="s">
        <v>184</v>
      </c>
      <c r="H477" s="132">
        <v>2673.0005700000002</v>
      </c>
      <c r="I477" s="132">
        <v>1</v>
      </c>
      <c r="J477" s="164">
        <v>2673.0005700000002</v>
      </c>
      <c r="K477" s="164">
        <v>2673.0005700000002</v>
      </c>
      <c r="L477" s="164">
        <v>1</v>
      </c>
      <c r="M477" s="164">
        <v>2673.0005700000002</v>
      </c>
      <c r="N477" s="6" t="s">
        <v>1020</v>
      </c>
      <c r="O477" s="165">
        <v>45357</v>
      </c>
      <c r="P477" s="33" t="str">
        <f>HYPERLINK("https://my.zakupivli.pro/remote/dispatcher/state_purchase_view/49612800", "UA-2024-03-06-001512-a")</f>
        <v>UA-2024-03-06-001512-a</v>
      </c>
      <c r="Q477" s="164">
        <v>2673.0005700000002</v>
      </c>
      <c r="R477" s="164">
        <v>1</v>
      </c>
      <c r="S477" s="164">
        <v>2673.0005700000002</v>
      </c>
      <c r="T477" s="165">
        <v>45357</v>
      </c>
      <c r="U477" s="132"/>
      <c r="V477" s="164" t="s">
        <v>59</v>
      </c>
    </row>
    <row r="478" spans="1:22" ht="62.4" x14ac:dyDescent="0.3">
      <c r="A478" s="132">
        <v>472</v>
      </c>
      <c r="B478" s="132" t="s">
        <v>40</v>
      </c>
      <c r="C478" s="44" t="s">
        <v>73</v>
      </c>
      <c r="D478" s="132"/>
      <c r="E478" s="166" t="s">
        <v>75</v>
      </c>
      <c r="F478" s="44" t="s">
        <v>1021</v>
      </c>
      <c r="G478" s="132" t="s">
        <v>184</v>
      </c>
      <c r="H478" s="132">
        <v>132.31666999999999</v>
      </c>
      <c r="I478" s="132">
        <v>1</v>
      </c>
      <c r="J478" s="166">
        <v>132.31666999999999</v>
      </c>
      <c r="K478" s="166">
        <v>132.31666999999999</v>
      </c>
      <c r="L478" s="166">
        <v>1</v>
      </c>
      <c r="M478" s="166">
        <v>132.31666999999999</v>
      </c>
      <c r="N478" s="6" t="s">
        <v>1023</v>
      </c>
      <c r="O478" s="167">
        <v>45358</v>
      </c>
      <c r="P478" s="33" t="str">
        <f>HYPERLINK("https://my.zakupivli.pro/remote/dispatcher/state_purchase_view/49656895", "UA-2024-03-07-006789-a")</f>
        <v>UA-2024-03-07-006789-a</v>
      </c>
      <c r="Q478" s="166">
        <v>132.31666999999999</v>
      </c>
      <c r="R478" s="166">
        <v>1</v>
      </c>
      <c r="S478" s="166">
        <v>132.31666999999999</v>
      </c>
      <c r="T478" s="133">
        <v>45358</v>
      </c>
      <c r="U478" s="132"/>
      <c r="V478" s="166" t="s">
        <v>59</v>
      </c>
    </row>
    <row r="479" spans="1:22" ht="62.4" x14ac:dyDescent="0.3">
      <c r="A479" s="132">
        <v>473</v>
      </c>
      <c r="B479" s="132" t="s">
        <v>21</v>
      </c>
      <c r="C479" s="44" t="s">
        <v>516</v>
      </c>
      <c r="D479" s="166" t="s">
        <v>58</v>
      </c>
      <c r="E479" s="166" t="s">
        <v>88</v>
      </c>
      <c r="F479" s="44" t="s">
        <v>1022</v>
      </c>
      <c r="G479" s="132" t="s">
        <v>185</v>
      </c>
      <c r="H479" s="132"/>
      <c r="I479" s="132">
        <v>2</v>
      </c>
      <c r="J479" s="119">
        <v>1232</v>
      </c>
      <c r="K479" s="132"/>
      <c r="L479" s="166">
        <v>2</v>
      </c>
      <c r="M479" s="119">
        <v>1232</v>
      </c>
      <c r="N479" s="6" t="s">
        <v>1024</v>
      </c>
      <c r="O479" s="167">
        <v>45358</v>
      </c>
      <c r="P479" s="33" t="str">
        <f>HYPERLINK("https://my.zakupivli.pro/remote/dispatcher/state_purchase_view/49647930", "UA-2024-03-07-003046-a")</f>
        <v>UA-2024-03-07-003046-a</v>
      </c>
      <c r="Q479" s="132"/>
      <c r="R479" s="166">
        <v>2</v>
      </c>
      <c r="S479" s="119">
        <v>1226.25</v>
      </c>
      <c r="T479" s="133">
        <v>45376</v>
      </c>
      <c r="U479" s="132"/>
      <c r="V479" s="132"/>
    </row>
    <row r="480" spans="1:22" ht="62.4" x14ac:dyDescent="0.3">
      <c r="A480" s="132">
        <v>474</v>
      </c>
      <c r="B480" s="168" t="s">
        <v>40</v>
      </c>
      <c r="C480" s="44" t="s">
        <v>885</v>
      </c>
      <c r="D480" s="132"/>
      <c r="E480" s="168" t="s">
        <v>88</v>
      </c>
      <c r="F480" s="44" t="s">
        <v>1027</v>
      </c>
      <c r="G480" s="168" t="s">
        <v>184</v>
      </c>
      <c r="H480" s="132">
        <v>1006.16373</v>
      </c>
      <c r="I480" s="132">
        <v>1</v>
      </c>
      <c r="J480" s="168">
        <v>1006.16373</v>
      </c>
      <c r="K480" s="168">
        <v>1006.16373</v>
      </c>
      <c r="L480" s="168">
        <v>1</v>
      </c>
      <c r="M480" s="168">
        <v>1006.16373</v>
      </c>
      <c r="N480" s="6" t="s">
        <v>1025</v>
      </c>
      <c r="O480" s="133">
        <v>45362</v>
      </c>
      <c r="P480" s="33" t="str">
        <f>HYPERLINK("https://my.zakupivli.pro/remote/dispatcher/state_purchase_view/49691053", "UA-2024-03-11-000863-a")</f>
        <v>UA-2024-03-11-000863-a</v>
      </c>
      <c r="Q480" s="168">
        <v>1006.16373</v>
      </c>
      <c r="R480" s="168">
        <v>1</v>
      </c>
      <c r="S480" s="168">
        <v>1006.16373</v>
      </c>
      <c r="T480" s="169">
        <v>45358</v>
      </c>
      <c r="U480" s="132"/>
      <c r="V480" s="168" t="s">
        <v>59</v>
      </c>
    </row>
    <row r="481" spans="1:22" ht="62.4" x14ac:dyDescent="0.3">
      <c r="A481" s="132">
        <v>475</v>
      </c>
      <c r="B481" s="168" t="s">
        <v>40</v>
      </c>
      <c r="C481" s="44" t="s">
        <v>885</v>
      </c>
      <c r="D481" s="132"/>
      <c r="E481" s="168" t="s">
        <v>88</v>
      </c>
      <c r="F481" s="44" t="s">
        <v>1028</v>
      </c>
      <c r="G481" s="168" t="s">
        <v>184</v>
      </c>
      <c r="H481" s="132">
        <v>509.66741999999999</v>
      </c>
      <c r="I481" s="132">
        <v>1</v>
      </c>
      <c r="J481" s="168">
        <v>509.66741999999999</v>
      </c>
      <c r="K481" s="168">
        <v>509.66741999999999</v>
      </c>
      <c r="L481" s="168">
        <v>1</v>
      </c>
      <c r="M481" s="168">
        <v>509.66741999999999</v>
      </c>
      <c r="N481" s="6" t="s">
        <v>1026</v>
      </c>
      <c r="O481" s="169">
        <v>45362</v>
      </c>
      <c r="P481" s="33" t="str">
        <f>HYPERLINK("https://my.zakupivli.pro/remote/dispatcher/state_purchase_view/49690092", "UA-2024-03-11-000483-a")</f>
        <v>UA-2024-03-11-000483-a</v>
      </c>
      <c r="Q481" s="168">
        <v>509.66741999999999</v>
      </c>
      <c r="R481" s="168">
        <v>1</v>
      </c>
      <c r="S481" s="168">
        <v>509.66741999999999</v>
      </c>
      <c r="T481" s="169">
        <v>45358</v>
      </c>
      <c r="U481" s="132"/>
      <c r="V481" s="168" t="s">
        <v>59</v>
      </c>
    </row>
    <row r="482" spans="1:22" ht="93.6" x14ac:dyDescent="0.3">
      <c r="A482" s="132">
        <v>476</v>
      </c>
      <c r="B482" s="168" t="s">
        <v>40</v>
      </c>
      <c r="C482" s="44" t="s">
        <v>885</v>
      </c>
      <c r="D482" s="132"/>
      <c r="E482" s="168" t="s">
        <v>88</v>
      </c>
      <c r="F482" s="44" t="s">
        <v>1030</v>
      </c>
      <c r="G482" s="168" t="s">
        <v>184</v>
      </c>
      <c r="H482" s="119">
        <v>604.14</v>
      </c>
      <c r="I482" s="132">
        <v>1</v>
      </c>
      <c r="J482" s="119">
        <v>604.14</v>
      </c>
      <c r="K482" s="119">
        <v>604.14</v>
      </c>
      <c r="L482" s="168">
        <v>1</v>
      </c>
      <c r="M482" s="119">
        <v>604.14</v>
      </c>
      <c r="N482" s="6" t="s">
        <v>1029</v>
      </c>
      <c r="O482" s="169">
        <v>45362</v>
      </c>
      <c r="P482" s="33" t="str">
        <f>HYPERLINK("https://my.zakupivli.pro/remote/dispatcher/state_purchase_view/49689165", "UA-2024-03-11-000147-a")</f>
        <v>UA-2024-03-11-000147-a</v>
      </c>
      <c r="Q482" s="119">
        <v>604.14</v>
      </c>
      <c r="R482" s="168">
        <v>1</v>
      </c>
      <c r="S482" s="119">
        <v>604.14</v>
      </c>
      <c r="T482" s="169">
        <v>45358</v>
      </c>
      <c r="U482" s="132"/>
      <c r="V482" s="168" t="s">
        <v>59</v>
      </c>
    </row>
    <row r="483" spans="1:22" ht="62.4" x14ac:dyDescent="0.3">
      <c r="A483" s="132">
        <v>477</v>
      </c>
      <c r="B483" s="168" t="s">
        <v>40</v>
      </c>
      <c r="C483" s="44" t="s">
        <v>885</v>
      </c>
      <c r="D483" s="132"/>
      <c r="E483" s="168" t="s">
        <v>88</v>
      </c>
      <c r="F483" s="44" t="s">
        <v>1032</v>
      </c>
      <c r="G483" s="168" t="s">
        <v>184</v>
      </c>
      <c r="H483" s="132">
        <v>949.34464000000003</v>
      </c>
      <c r="I483" s="132">
        <v>1</v>
      </c>
      <c r="J483" s="168">
        <v>949.34464000000003</v>
      </c>
      <c r="K483" s="168">
        <v>949.34464000000003</v>
      </c>
      <c r="L483" s="168">
        <v>1</v>
      </c>
      <c r="M483" s="168">
        <v>949.34464000000003</v>
      </c>
      <c r="N483" s="6" t="s">
        <v>1031</v>
      </c>
      <c r="O483" s="169">
        <v>45362</v>
      </c>
      <c r="P483" s="33" t="str">
        <f>HYPERLINK("https://my.zakupivli.pro/remote/dispatcher/state_purchase_view/49688999", "UA-2024-03-11-000098-a")</f>
        <v>UA-2024-03-11-000098-a</v>
      </c>
      <c r="Q483" s="168">
        <v>949.34464000000003</v>
      </c>
      <c r="R483" s="168">
        <v>1</v>
      </c>
      <c r="S483" s="168">
        <v>949.34464000000003</v>
      </c>
      <c r="T483" s="169">
        <v>45358</v>
      </c>
      <c r="U483" s="132"/>
      <c r="V483" s="168" t="s">
        <v>59</v>
      </c>
    </row>
    <row r="484" spans="1:22" ht="202.8" x14ac:dyDescent="0.3">
      <c r="A484" s="132">
        <v>478</v>
      </c>
      <c r="B484" s="171" t="s">
        <v>40</v>
      </c>
      <c r="C484" s="44" t="s">
        <v>41</v>
      </c>
      <c r="D484" s="132"/>
      <c r="E484" s="171" t="s">
        <v>88</v>
      </c>
      <c r="F484" s="44" t="s">
        <v>1033</v>
      </c>
      <c r="G484" s="171" t="s">
        <v>184</v>
      </c>
      <c r="H484" s="171">
        <v>8349.8189399999992</v>
      </c>
      <c r="I484" s="171">
        <v>1</v>
      </c>
      <c r="J484" s="171">
        <v>8349.8189399999992</v>
      </c>
      <c r="K484" s="171">
        <v>8349.8189399999992</v>
      </c>
      <c r="L484" s="171">
        <v>1</v>
      </c>
      <c r="M484" s="171">
        <v>8349.8189399999992</v>
      </c>
      <c r="N484" s="6" t="s">
        <v>1039</v>
      </c>
      <c r="O484" s="133">
        <v>45363</v>
      </c>
      <c r="P484" s="33" t="str">
        <f>HYPERLINK("https://my.zakupivli.pro/remote/dispatcher/state_purchase_view/49743496", "UA-2024-03-12-011359-a")</f>
        <v>UA-2024-03-12-011359-a</v>
      </c>
      <c r="Q484" s="132"/>
      <c r="R484" s="132"/>
      <c r="S484" s="132"/>
      <c r="T484" s="133"/>
      <c r="U484" s="179" t="s">
        <v>93</v>
      </c>
      <c r="V484" s="132"/>
    </row>
    <row r="485" spans="1:22" ht="202.8" x14ac:dyDescent="0.3">
      <c r="A485" s="132">
        <v>479</v>
      </c>
      <c r="B485" s="171" t="s">
        <v>40</v>
      </c>
      <c r="C485" s="44" t="s">
        <v>41</v>
      </c>
      <c r="D485" s="132"/>
      <c r="E485" s="171" t="s">
        <v>88</v>
      </c>
      <c r="F485" s="44" t="s">
        <v>1034</v>
      </c>
      <c r="G485" s="171" t="s">
        <v>184</v>
      </c>
      <c r="H485" s="171">
        <v>6432.3817900000004</v>
      </c>
      <c r="I485" s="171">
        <v>1</v>
      </c>
      <c r="J485" s="171">
        <v>6432.3817900000004</v>
      </c>
      <c r="K485" s="171">
        <v>6432.3817900000004</v>
      </c>
      <c r="L485" s="171">
        <v>1</v>
      </c>
      <c r="M485" s="171">
        <v>6432.3817900000004</v>
      </c>
      <c r="N485" s="6" t="s">
        <v>1039</v>
      </c>
      <c r="O485" s="170">
        <v>45363</v>
      </c>
      <c r="P485" s="33" t="str">
        <f>HYPERLINK("https://my.zakupivli.pro/remote/dispatcher/state_purchase_view/49743496", "UA-2024-03-12-011359-a")</f>
        <v>UA-2024-03-12-011359-a</v>
      </c>
      <c r="Q485" s="132"/>
      <c r="R485" s="132"/>
      <c r="S485" s="132"/>
      <c r="T485" s="133"/>
      <c r="U485" s="179" t="s">
        <v>93</v>
      </c>
      <c r="V485" s="132"/>
    </row>
    <row r="486" spans="1:22" ht="62.4" x14ac:dyDescent="0.3">
      <c r="A486" s="132">
        <v>480</v>
      </c>
      <c r="B486" s="171" t="s">
        <v>40</v>
      </c>
      <c r="C486" s="44" t="s">
        <v>885</v>
      </c>
      <c r="D486" s="132"/>
      <c r="E486" s="171" t="s">
        <v>88</v>
      </c>
      <c r="F486" s="44" t="s">
        <v>1035</v>
      </c>
      <c r="G486" s="171" t="s">
        <v>184</v>
      </c>
      <c r="H486" s="132">
        <v>580.86604999999997</v>
      </c>
      <c r="I486" s="132">
        <v>1</v>
      </c>
      <c r="J486" s="171">
        <v>580.86604999999997</v>
      </c>
      <c r="K486" s="171">
        <v>580.86604999999997</v>
      </c>
      <c r="L486" s="171">
        <v>1</v>
      </c>
      <c r="M486" s="171">
        <v>580.86604999999997</v>
      </c>
      <c r="N486" s="6" t="s">
        <v>1040</v>
      </c>
      <c r="O486" s="170">
        <v>45363</v>
      </c>
      <c r="P486" s="33" t="str">
        <f>HYPERLINK("https://my.zakupivli.pro/remote/dispatcher/state_purchase_view/49737240", "UA-2024-03-12-008558-a")</f>
        <v>UA-2024-03-12-008558-a</v>
      </c>
      <c r="Q486" s="171">
        <v>580.86604999999997</v>
      </c>
      <c r="R486" s="171">
        <v>1</v>
      </c>
      <c r="S486" s="171">
        <v>580.86604999999997</v>
      </c>
      <c r="T486" s="133">
        <v>45362</v>
      </c>
      <c r="U486" s="132"/>
      <c r="V486" s="171" t="s">
        <v>59</v>
      </c>
    </row>
    <row r="487" spans="1:22" ht="62.4" x14ac:dyDescent="0.3">
      <c r="A487" s="132">
        <v>481</v>
      </c>
      <c r="B487" s="171" t="s">
        <v>40</v>
      </c>
      <c r="C487" s="44" t="s">
        <v>885</v>
      </c>
      <c r="D487" s="132"/>
      <c r="E487" s="171" t="s">
        <v>88</v>
      </c>
      <c r="F487" s="44" t="s">
        <v>1036</v>
      </c>
      <c r="G487" s="171" t="s">
        <v>184</v>
      </c>
      <c r="H487" s="132">
        <v>124.41112</v>
      </c>
      <c r="I487" s="132">
        <v>1</v>
      </c>
      <c r="J487" s="171">
        <v>124.41112</v>
      </c>
      <c r="K487" s="171">
        <v>124.41112</v>
      </c>
      <c r="L487" s="171">
        <v>1</v>
      </c>
      <c r="M487" s="171">
        <v>124.41112</v>
      </c>
      <c r="N487" s="6" t="s">
        <v>1041</v>
      </c>
      <c r="O487" s="170">
        <v>45363</v>
      </c>
      <c r="P487" s="33" t="str">
        <f>HYPERLINK("https://my.zakupivli.pro/remote/dispatcher/state_purchase_view/49736995", "UA-2024-03-12-008416-a")</f>
        <v>UA-2024-03-12-008416-a</v>
      </c>
      <c r="Q487" s="171">
        <v>124.41112</v>
      </c>
      <c r="R487" s="171">
        <v>1</v>
      </c>
      <c r="S487" s="171">
        <v>124.41112</v>
      </c>
      <c r="T487" s="170">
        <v>45362</v>
      </c>
      <c r="U487" s="132"/>
      <c r="V487" s="171" t="s">
        <v>59</v>
      </c>
    </row>
    <row r="488" spans="1:22" ht="62.4" x14ac:dyDescent="0.3">
      <c r="A488" s="132">
        <v>482</v>
      </c>
      <c r="B488" s="171" t="s">
        <v>40</v>
      </c>
      <c r="C488" s="44" t="s">
        <v>885</v>
      </c>
      <c r="D488" s="132"/>
      <c r="E488" s="171" t="s">
        <v>88</v>
      </c>
      <c r="F488" s="44" t="s">
        <v>1037</v>
      </c>
      <c r="G488" s="171" t="s">
        <v>184</v>
      </c>
      <c r="H488" s="132">
        <v>359.96701000000002</v>
      </c>
      <c r="I488" s="132">
        <v>1</v>
      </c>
      <c r="J488" s="171">
        <v>359.96701000000002</v>
      </c>
      <c r="K488" s="171">
        <v>359.96701000000002</v>
      </c>
      <c r="L488" s="171">
        <v>1</v>
      </c>
      <c r="M488" s="171">
        <v>359.96701000000002</v>
      </c>
      <c r="N488" s="6" t="s">
        <v>1042</v>
      </c>
      <c r="O488" s="170">
        <v>45363</v>
      </c>
      <c r="P488" s="33" t="str">
        <f>HYPERLINK("https://my.zakupivli.pro/remote/dispatcher/state_purchase_view/49736304", "UA-2024-03-12-008106-a")</f>
        <v>UA-2024-03-12-008106-a</v>
      </c>
      <c r="Q488" s="171">
        <v>359.96701000000002</v>
      </c>
      <c r="R488" s="171">
        <v>1</v>
      </c>
      <c r="S488" s="171">
        <v>359.96701000000002</v>
      </c>
      <c r="T488" s="170">
        <v>45362</v>
      </c>
      <c r="U488" s="132"/>
      <c r="V488" s="171" t="s">
        <v>59</v>
      </c>
    </row>
    <row r="489" spans="1:22" ht="62.4" x14ac:dyDescent="0.3">
      <c r="A489" s="132">
        <v>483</v>
      </c>
      <c r="B489" s="171" t="s">
        <v>40</v>
      </c>
      <c r="C489" s="44" t="s">
        <v>885</v>
      </c>
      <c r="D489" s="132"/>
      <c r="E489" s="171" t="s">
        <v>88</v>
      </c>
      <c r="F489" s="44" t="s">
        <v>1038</v>
      </c>
      <c r="G489" s="171" t="s">
        <v>184</v>
      </c>
      <c r="H489" s="132">
        <v>596.19745</v>
      </c>
      <c r="I489" s="132">
        <v>1</v>
      </c>
      <c r="J489" s="171">
        <v>596.19745</v>
      </c>
      <c r="K489" s="171">
        <v>596.19745</v>
      </c>
      <c r="L489" s="171">
        <v>1</v>
      </c>
      <c r="M489" s="171">
        <v>596.19745</v>
      </c>
      <c r="N489" s="6" t="s">
        <v>1043</v>
      </c>
      <c r="O489" s="170">
        <v>45363</v>
      </c>
      <c r="P489" s="33" t="str">
        <f>HYPERLINK("https://my.zakupivli.pro/remote/dispatcher/state_purchase_view/49735637", "UA-2024-03-12-007781-a")</f>
        <v>UA-2024-03-12-007781-a</v>
      </c>
      <c r="Q489" s="171">
        <v>596.19745</v>
      </c>
      <c r="R489" s="171">
        <v>1</v>
      </c>
      <c r="S489" s="171">
        <v>596.19745</v>
      </c>
      <c r="T489" s="170">
        <v>45362</v>
      </c>
      <c r="U489" s="132"/>
      <c r="V489" s="171" t="s">
        <v>59</v>
      </c>
    </row>
    <row r="490" spans="1:22" ht="62.4" x14ac:dyDescent="0.3">
      <c r="A490" s="132">
        <v>484</v>
      </c>
      <c r="B490" s="171" t="s">
        <v>21</v>
      </c>
      <c r="C490" s="44" t="s">
        <v>30</v>
      </c>
      <c r="D490" s="132"/>
      <c r="E490" s="171" t="s">
        <v>75</v>
      </c>
      <c r="F490" s="44" t="s">
        <v>909</v>
      </c>
      <c r="G490" s="132" t="s">
        <v>21</v>
      </c>
      <c r="H490" s="132"/>
      <c r="I490" s="132">
        <v>15</v>
      </c>
      <c r="J490" s="132">
        <v>76.08</v>
      </c>
      <c r="K490" s="132"/>
      <c r="L490" s="171">
        <v>15</v>
      </c>
      <c r="M490" s="171">
        <v>76.08</v>
      </c>
      <c r="N490" s="6" t="s">
        <v>1044</v>
      </c>
      <c r="O490" s="170">
        <v>45363</v>
      </c>
      <c r="P490" s="33" t="str">
        <f>HYPERLINK("https://my.zakupivli.pro/remote/dispatcher/state_purchase_view/49733918", "UA-2024-03-12-007076-a")</f>
        <v>UA-2024-03-12-007076-a</v>
      </c>
      <c r="Q490" s="132"/>
      <c r="R490" s="171">
        <v>15</v>
      </c>
      <c r="S490" s="171">
        <v>76.08</v>
      </c>
      <c r="T490" s="133">
        <v>45363</v>
      </c>
      <c r="U490" s="132"/>
      <c r="V490" s="171" t="s">
        <v>59</v>
      </c>
    </row>
    <row r="491" spans="1:22" ht="124.8" x14ac:dyDescent="0.3">
      <c r="A491" s="132">
        <v>485</v>
      </c>
      <c r="B491" s="172" t="s">
        <v>40</v>
      </c>
      <c r="C491" s="44" t="s">
        <v>41</v>
      </c>
      <c r="D491" s="132"/>
      <c r="E491" s="172" t="s">
        <v>88</v>
      </c>
      <c r="F491" s="156" t="s">
        <v>854</v>
      </c>
      <c r="G491" s="132" t="s">
        <v>184</v>
      </c>
      <c r="H491" s="132">
        <v>46627.971120000002</v>
      </c>
      <c r="I491" s="132">
        <v>1</v>
      </c>
      <c r="J491" s="172">
        <v>46627.971120000002</v>
      </c>
      <c r="K491" s="172">
        <v>46627.971120000002</v>
      </c>
      <c r="L491" s="172">
        <v>1</v>
      </c>
      <c r="M491" s="172">
        <v>46627.971120000002</v>
      </c>
      <c r="N491" s="6" t="s">
        <v>1045</v>
      </c>
      <c r="O491" s="133">
        <v>45364</v>
      </c>
      <c r="P491" s="33" t="str">
        <f>HYPERLINK("https://my.zakupivli.pro/remote/dispatcher/state_purchase_view/49754998", "UA-2024-03-13-002658-a")</f>
        <v>UA-2024-03-13-002658-a</v>
      </c>
      <c r="Q491" s="132"/>
      <c r="R491" s="132"/>
      <c r="S491" s="132"/>
      <c r="T491" s="133"/>
      <c r="U491" s="185" t="s">
        <v>93</v>
      </c>
      <c r="V491" s="132"/>
    </row>
    <row r="492" spans="1:22" ht="62.4" x14ac:dyDescent="0.3">
      <c r="A492" s="132">
        <v>486</v>
      </c>
      <c r="B492" s="173" t="s">
        <v>21</v>
      </c>
      <c r="C492" s="44" t="s">
        <v>177</v>
      </c>
      <c r="D492" s="132"/>
      <c r="E492" s="173" t="s">
        <v>75</v>
      </c>
      <c r="F492" s="44" t="s">
        <v>1046</v>
      </c>
      <c r="G492" s="173" t="s">
        <v>185</v>
      </c>
      <c r="H492" s="132"/>
      <c r="I492" s="132">
        <v>25</v>
      </c>
      <c r="J492" s="132">
        <v>62.424999999999997</v>
      </c>
      <c r="K492" s="132"/>
      <c r="L492" s="173">
        <v>25</v>
      </c>
      <c r="M492" s="173">
        <v>62.424999999999997</v>
      </c>
      <c r="N492" s="6" t="s">
        <v>1050</v>
      </c>
      <c r="O492" s="133">
        <v>45365</v>
      </c>
      <c r="P492" s="33" t="str">
        <f>HYPERLINK("https://my.zakupivli.pro/remote/dispatcher/state_purchase_view/49800155", "UA-2024-03-14-009075-a")</f>
        <v>UA-2024-03-14-009075-a</v>
      </c>
      <c r="Q492" s="132"/>
      <c r="R492" s="173">
        <v>25</v>
      </c>
      <c r="S492" s="173">
        <v>62.424999999999997</v>
      </c>
      <c r="T492" s="174">
        <v>45365</v>
      </c>
      <c r="U492" s="132"/>
      <c r="V492" s="173" t="s">
        <v>59</v>
      </c>
    </row>
    <row r="493" spans="1:22" ht="62.4" x14ac:dyDescent="0.3">
      <c r="A493" s="132">
        <v>487</v>
      </c>
      <c r="B493" s="173" t="s">
        <v>21</v>
      </c>
      <c r="C493" s="44" t="s">
        <v>734</v>
      </c>
      <c r="D493" s="132"/>
      <c r="E493" s="173" t="s">
        <v>75</v>
      </c>
      <c r="F493" s="44" t="s">
        <v>1047</v>
      </c>
      <c r="G493" s="173" t="s">
        <v>186</v>
      </c>
      <c r="H493" s="132"/>
      <c r="I493" s="132">
        <v>37</v>
      </c>
      <c r="J493" s="119">
        <v>567.5</v>
      </c>
      <c r="K493" s="132"/>
      <c r="L493" s="173">
        <v>37</v>
      </c>
      <c r="M493" s="119">
        <v>567.5</v>
      </c>
      <c r="N493" s="6" t="s">
        <v>1051</v>
      </c>
      <c r="O493" s="174">
        <v>45365</v>
      </c>
      <c r="P493" s="33" t="str">
        <f>HYPERLINK("https://my.zakupivli.pro/remote/dispatcher/state_purchase_view/49788870", "UA-2024-03-14-004029-a")</f>
        <v>UA-2024-03-14-004029-a</v>
      </c>
      <c r="Q493" s="132"/>
      <c r="R493" s="173">
        <v>37</v>
      </c>
      <c r="S493" s="119">
        <v>567.5</v>
      </c>
      <c r="T493" s="174">
        <v>45365</v>
      </c>
      <c r="U493" s="132"/>
      <c r="V493" s="173" t="s">
        <v>59</v>
      </c>
    </row>
    <row r="494" spans="1:22" ht="62.4" x14ac:dyDescent="0.3">
      <c r="A494" s="132">
        <v>488</v>
      </c>
      <c r="B494" s="173" t="s">
        <v>21</v>
      </c>
      <c r="C494" s="44" t="s">
        <v>36</v>
      </c>
      <c r="D494" s="132"/>
      <c r="E494" s="173" t="s">
        <v>75</v>
      </c>
      <c r="F494" s="44" t="s">
        <v>1048</v>
      </c>
      <c r="G494" s="173" t="s">
        <v>186</v>
      </c>
      <c r="H494" s="132"/>
      <c r="I494" s="132">
        <v>6</v>
      </c>
      <c r="J494" s="132">
        <v>917.08334000000002</v>
      </c>
      <c r="K494" s="132"/>
      <c r="L494" s="173">
        <v>6</v>
      </c>
      <c r="M494" s="173">
        <v>917.08334000000002</v>
      </c>
      <c r="N494" s="6" t="s">
        <v>1052</v>
      </c>
      <c r="O494" s="174">
        <v>45365</v>
      </c>
      <c r="P494" s="33" t="str">
        <f>HYPERLINK("https://my.zakupivli.pro/remote/dispatcher/state_purchase_view/49783236", "UA-2024-03-14-001638-a")</f>
        <v>UA-2024-03-14-001638-a</v>
      </c>
      <c r="Q494" s="132"/>
      <c r="R494" s="173">
        <v>6</v>
      </c>
      <c r="S494" s="173">
        <v>917.08334000000002</v>
      </c>
      <c r="T494" s="174">
        <v>45365</v>
      </c>
      <c r="U494" s="132"/>
      <c r="V494" s="173" t="s">
        <v>59</v>
      </c>
    </row>
    <row r="495" spans="1:22" ht="62.4" x14ac:dyDescent="0.3">
      <c r="A495" s="132">
        <v>489</v>
      </c>
      <c r="B495" s="173" t="s">
        <v>21</v>
      </c>
      <c r="C495" s="44" t="s">
        <v>36</v>
      </c>
      <c r="D495" s="132"/>
      <c r="E495" s="173" t="s">
        <v>75</v>
      </c>
      <c r="F495" s="44" t="s">
        <v>1049</v>
      </c>
      <c r="G495" s="173" t="s">
        <v>186</v>
      </c>
      <c r="H495" s="132"/>
      <c r="I495" s="132">
        <v>8</v>
      </c>
      <c r="J495" s="132">
        <v>804.06665999999996</v>
      </c>
      <c r="K495" s="132"/>
      <c r="L495" s="173">
        <v>8</v>
      </c>
      <c r="M495" s="173">
        <v>804.06665999999996</v>
      </c>
      <c r="N495" s="6" t="s">
        <v>1053</v>
      </c>
      <c r="O495" s="174">
        <v>45365</v>
      </c>
      <c r="P495" s="33" t="str">
        <f>HYPERLINK("https://my.zakupivli.pro/remote/dispatcher/state_purchase_view/49783236", "UA-2024-03-14-001638-a")</f>
        <v>UA-2024-03-14-001638-a</v>
      </c>
      <c r="Q495" s="132"/>
      <c r="R495" s="173">
        <v>8</v>
      </c>
      <c r="S495" s="173">
        <v>804.06665999999996</v>
      </c>
      <c r="T495" s="174">
        <v>45365</v>
      </c>
      <c r="U495" s="132"/>
      <c r="V495" s="173" t="s">
        <v>59</v>
      </c>
    </row>
    <row r="496" spans="1:22" ht="124.8" x14ac:dyDescent="0.3">
      <c r="A496" s="132">
        <v>490</v>
      </c>
      <c r="B496" s="175" t="s">
        <v>40</v>
      </c>
      <c r="C496" s="44" t="s">
        <v>41</v>
      </c>
      <c r="D496" s="132"/>
      <c r="E496" s="175" t="s">
        <v>88</v>
      </c>
      <c r="F496" s="44" t="s">
        <v>1054</v>
      </c>
      <c r="G496" s="132" t="s">
        <v>184</v>
      </c>
      <c r="H496" s="132">
        <v>806.16314</v>
      </c>
      <c r="I496" s="132">
        <v>1</v>
      </c>
      <c r="J496" s="175">
        <v>806.16314</v>
      </c>
      <c r="K496" s="175">
        <v>806.16314</v>
      </c>
      <c r="L496" s="175">
        <v>1</v>
      </c>
      <c r="M496" s="175">
        <v>806.16314</v>
      </c>
      <c r="N496" s="6" t="s">
        <v>1057</v>
      </c>
      <c r="O496" s="133">
        <v>45366</v>
      </c>
      <c r="P496" s="33" t="str">
        <f>HYPERLINK("https://my.zakupivli.pro/remote/dispatcher/state_purchase_view/49830616", "UA-2024-03-15-009363-a")</f>
        <v>UA-2024-03-15-009363-a</v>
      </c>
      <c r="Q496" s="175"/>
      <c r="R496" s="175"/>
      <c r="S496" s="175"/>
      <c r="T496" s="133"/>
      <c r="U496" s="185" t="s">
        <v>93</v>
      </c>
      <c r="V496" s="132"/>
    </row>
    <row r="497" spans="1:22" ht="124.8" x14ac:dyDescent="0.3">
      <c r="A497" s="132">
        <v>491</v>
      </c>
      <c r="B497" s="175" t="s">
        <v>40</v>
      </c>
      <c r="C497" s="44" t="s">
        <v>41</v>
      </c>
      <c r="D497" s="132"/>
      <c r="E497" s="175" t="s">
        <v>88</v>
      </c>
      <c r="F497" s="44" t="s">
        <v>1055</v>
      </c>
      <c r="G497" s="132" t="s">
        <v>184</v>
      </c>
      <c r="H497" s="132">
        <v>840.49570000000006</v>
      </c>
      <c r="I497" s="132">
        <v>1</v>
      </c>
      <c r="J497" s="175">
        <v>840.49570000000006</v>
      </c>
      <c r="K497" s="175">
        <v>840.49570000000006</v>
      </c>
      <c r="L497" s="175">
        <v>1</v>
      </c>
      <c r="M497" s="175">
        <v>840.49570000000006</v>
      </c>
      <c r="N497" s="6" t="s">
        <v>1058</v>
      </c>
      <c r="O497" s="176">
        <v>45366</v>
      </c>
      <c r="P497" s="33" t="str">
        <f>HYPERLINK("https://my.zakupivli.pro/remote/dispatcher/state_purchase_view/49830616", "UA-2024-03-15-009363-a")</f>
        <v>UA-2024-03-15-009363-a</v>
      </c>
      <c r="Q497" s="132"/>
      <c r="R497" s="132"/>
      <c r="S497" s="132"/>
      <c r="T497" s="133"/>
      <c r="U497" s="185" t="s">
        <v>93</v>
      </c>
      <c r="V497" s="132"/>
    </row>
    <row r="498" spans="1:22" ht="140.4" x14ac:dyDescent="0.3">
      <c r="A498" s="132">
        <v>492</v>
      </c>
      <c r="B498" s="175" t="s">
        <v>21</v>
      </c>
      <c r="C498" s="44" t="s">
        <v>406</v>
      </c>
      <c r="D498" s="132"/>
      <c r="E498" s="175" t="s">
        <v>75</v>
      </c>
      <c r="F498" s="44" t="s">
        <v>1056</v>
      </c>
      <c r="G498" s="132" t="s">
        <v>186</v>
      </c>
      <c r="H498" s="132"/>
      <c r="I498" s="132">
        <v>24</v>
      </c>
      <c r="J498" s="132">
        <v>2135.6806999999999</v>
      </c>
      <c r="K498" s="132"/>
      <c r="L498" s="175">
        <v>24</v>
      </c>
      <c r="M498" s="175">
        <v>2135.6806999999999</v>
      </c>
      <c r="N498" s="6" t="s">
        <v>1059</v>
      </c>
      <c r="O498" s="176">
        <v>45366</v>
      </c>
      <c r="P498" s="33" t="str">
        <f>HYPERLINK("https://my.zakupivli.pro/remote/dispatcher/state_purchase_view/49814380", "UA-2024-03-15-002037-a")</f>
        <v>UA-2024-03-15-002037-a</v>
      </c>
      <c r="Q498" s="132"/>
      <c r="R498" s="175">
        <v>24</v>
      </c>
      <c r="S498" s="175">
        <v>2135.6806999999999</v>
      </c>
      <c r="T498" s="176">
        <v>45366</v>
      </c>
      <c r="U498" s="132"/>
      <c r="V498" s="175" t="s">
        <v>59</v>
      </c>
    </row>
    <row r="499" spans="1:22" ht="62.4" x14ac:dyDescent="0.3">
      <c r="A499" s="132">
        <v>493</v>
      </c>
      <c r="B499" s="177" t="s">
        <v>21</v>
      </c>
      <c r="C499" s="44" t="s">
        <v>413</v>
      </c>
      <c r="D499" s="132"/>
      <c r="E499" s="177" t="s">
        <v>88</v>
      </c>
      <c r="F499" s="44" t="s">
        <v>1060</v>
      </c>
      <c r="G499" s="132" t="s">
        <v>185</v>
      </c>
      <c r="H499" s="132">
        <v>16.745000000000001</v>
      </c>
      <c r="I499" s="132">
        <v>3</v>
      </c>
      <c r="J499" s="132">
        <v>50.234999999999999</v>
      </c>
      <c r="K499" s="177">
        <v>16.745000000000001</v>
      </c>
      <c r="L499" s="177">
        <v>3</v>
      </c>
      <c r="M499" s="177">
        <v>50.234999999999999</v>
      </c>
      <c r="N499" s="6" t="s">
        <v>1061</v>
      </c>
      <c r="O499" s="133">
        <v>45369</v>
      </c>
      <c r="P499" s="33" t="str">
        <f>HYPERLINK("https://my.zakupivli.pro/remote/dispatcher/state_purchase_view/49855542", "UA-2024-03-18-007381-a")</f>
        <v>UA-2024-03-18-007381-a</v>
      </c>
      <c r="Q499" s="177">
        <v>16.745000000000001</v>
      </c>
      <c r="R499" s="177">
        <v>3</v>
      </c>
      <c r="S499" s="177">
        <v>50.234999999999999</v>
      </c>
      <c r="T499" s="178">
        <v>45369</v>
      </c>
      <c r="U499" s="132"/>
      <c r="V499" s="177" t="s">
        <v>59</v>
      </c>
    </row>
    <row r="500" spans="1:22" ht="62.4" x14ac:dyDescent="0.3">
      <c r="A500" s="132">
        <v>494</v>
      </c>
      <c r="B500" s="132" t="s">
        <v>21</v>
      </c>
      <c r="C500" s="41" t="s">
        <v>372</v>
      </c>
      <c r="D500" s="132"/>
      <c r="E500" s="179" t="s">
        <v>75</v>
      </c>
      <c r="F500" s="41" t="s">
        <v>1062</v>
      </c>
      <c r="G500" s="132" t="s">
        <v>186</v>
      </c>
      <c r="I500" s="132">
        <v>52</v>
      </c>
      <c r="J500" s="119">
        <v>1075</v>
      </c>
      <c r="K500" s="132"/>
      <c r="L500" s="179">
        <v>52</v>
      </c>
      <c r="M500" s="119">
        <v>1075</v>
      </c>
      <c r="N500" s="6" t="s">
        <v>1063</v>
      </c>
      <c r="O500" s="133">
        <v>45371</v>
      </c>
      <c r="P500" s="33" t="str">
        <f>HYPERLINK("https://my.zakupivli.pro/remote/dispatcher/state_purchase_view/49910924", "UA-2024-03-20-005051-a")</f>
        <v>UA-2024-03-20-005051-a</v>
      </c>
      <c r="Q500" s="132"/>
      <c r="R500" s="132">
        <v>52</v>
      </c>
      <c r="S500" s="132">
        <v>1025.93885</v>
      </c>
      <c r="T500" s="133" t="s">
        <v>1173</v>
      </c>
      <c r="U500" s="132"/>
      <c r="V500" s="132"/>
    </row>
    <row r="501" spans="1:22" ht="62.4" x14ac:dyDescent="0.3">
      <c r="A501" s="132">
        <v>495</v>
      </c>
      <c r="B501" s="180" t="s">
        <v>21</v>
      </c>
      <c r="C501" s="44" t="s">
        <v>1065</v>
      </c>
      <c r="D501" s="132"/>
      <c r="E501" s="180" t="s">
        <v>75</v>
      </c>
      <c r="F501" s="44" t="s">
        <v>1064</v>
      </c>
      <c r="G501" s="132" t="s">
        <v>185</v>
      </c>
      <c r="H501" s="132"/>
      <c r="I501" s="132">
        <v>25</v>
      </c>
      <c r="J501" s="132">
        <v>54.563330000000001</v>
      </c>
      <c r="K501" s="132"/>
      <c r="L501" s="180">
        <v>25</v>
      </c>
      <c r="M501" s="180">
        <v>54.563330000000001</v>
      </c>
      <c r="N501" s="6" t="s">
        <v>1066</v>
      </c>
      <c r="O501" s="133">
        <v>45372</v>
      </c>
      <c r="P501" s="122" t="str">
        <f>HYPERLINK("https://my.zakupivli.pro/remote/dispatcher/state_purchase_view/49949189", "UA-2024-03-21-008100-a")</f>
        <v>UA-2024-03-21-008100-a</v>
      </c>
      <c r="Q501" s="132"/>
      <c r="R501" s="180">
        <v>25</v>
      </c>
      <c r="S501" s="180">
        <v>54.563330000000001</v>
      </c>
      <c r="T501" s="133">
        <v>45372</v>
      </c>
      <c r="U501" s="132"/>
      <c r="V501" s="180" t="s">
        <v>59</v>
      </c>
    </row>
    <row r="502" spans="1:22" ht="62.4" x14ac:dyDescent="0.3">
      <c r="A502" s="132">
        <v>496</v>
      </c>
      <c r="B502" s="181" t="s">
        <v>21</v>
      </c>
      <c r="C502" s="44" t="s">
        <v>1069</v>
      </c>
      <c r="D502" s="132"/>
      <c r="E502" s="181" t="s">
        <v>75</v>
      </c>
      <c r="F502" s="44" t="s">
        <v>1067</v>
      </c>
      <c r="G502" s="132" t="s">
        <v>186</v>
      </c>
      <c r="H502" s="132"/>
      <c r="I502" s="132">
        <v>3</v>
      </c>
      <c r="J502" s="132">
        <v>82.216300000000004</v>
      </c>
      <c r="K502" s="132"/>
      <c r="L502" s="181">
        <v>3</v>
      </c>
      <c r="M502" s="181">
        <v>82.216300000000004</v>
      </c>
      <c r="N502" s="6" t="s">
        <v>1071</v>
      </c>
      <c r="O502" s="133">
        <v>45376</v>
      </c>
      <c r="P502" s="33" t="str">
        <f>HYPERLINK("https://my.zakupivli.pro/remote/dispatcher/state_purchase_view/50009434", "UA-2024-03-25-008603-a")</f>
        <v>UA-2024-03-25-008603-a</v>
      </c>
      <c r="Q502" s="132"/>
      <c r="R502" s="181">
        <v>3</v>
      </c>
      <c r="S502" s="181">
        <v>82.216300000000004</v>
      </c>
      <c r="T502" s="182">
        <v>45376</v>
      </c>
      <c r="U502" s="132"/>
      <c r="V502" s="181" t="s">
        <v>59</v>
      </c>
    </row>
    <row r="503" spans="1:22" ht="62.4" x14ac:dyDescent="0.3">
      <c r="A503" s="132">
        <v>497</v>
      </c>
      <c r="B503" s="181" t="s">
        <v>21</v>
      </c>
      <c r="C503" s="44" t="s">
        <v>1070</v>
      </c>
      <c r="D503" s="132"/>
      <c r="E503" s="181" t="s">
        <v>75</v>
      </c>
      <c r="F503" s="44" t="s">
        <v>1068</v>
      </c>
      <c r="G503" s="132" t="s">
        <v>186</v>
      </c>
      <c r="H503" s="132"/>
      <c r="I503" s="132">
        <v>9</v>
      </c>
      <c r="J503" s="132">
        <v>81.835599999999999</v>
      </c>
      <c r="K503" s="132"/>
      <c r="L503" s="181">
        <v>9</v>
      </c>
      <c r="M503" s="181">
        <v>81.835599999999999</v>
      </c>
      <c r="N503" s="6" t="s">
        <v>1072</v>
      </c>
      <c r="O503" s="182">
        <v>45376</v>
      </c>
      <c r="P503" s="33" t="str">
        <f>HYPERLINK("https://my.zakupivli.pro/remote/dispatcher/state_purchase_view/50008319", "UA-2024-03-25-008156-a")</f>
        <v>UA-2024-03-25-008156-a</v>
      </c>
      <c r="Q503" s="132"/>
      <c r="R503" s="181">
        <v>9</v>
      </c>
      <c r="S503" s="181">
        <v>81.835599999999999</v>
      </c>
      <c r="T503" s="182">
        <v>45376</v>
      </c>
      <c r="U503" s="132"/>
      <c r="V503" s="181" t="s">
        <v>59</v>
      </c>
    </row>
    <row r="504" spans="1:22" ht="62.4" x14ac:dyDescent="0.3">
      <c r="A504" s="132">
        <v>498</v>
      </c>
      <c r="B504" s="132" t="s">
        <v>40</v>
      </c>
      <c r="C504" s="44" t="s">
        <v>41</v>
      </c>
      <c r="D504" s="132"/>
      <c r="E504" s="181" t="s">
        <v>88</v>
      </c>
      <c r="F504" s="44" t="s">
        <v>1073</v>
      </c>
      <c r="G504" s="132" t="s">
        <v>184</v>
      </c>
      <c r="H504" s="132">
        <v>338.43669</v>
      </c>
      <c r="I504" s="132">
        <v>1</v>
      </c>
      <c r="J504" s="181">
        <v>338.43669</v>
      </c>
      <c r="K504" s="181">
        <v>338.43669</v>
      </c>
      <c r="L504" s="181">
        <v>1</v>
      </c>
      <c r="M504" s="181">
        <v>338.43669</v>
      </c>
      <c r="N504" s="6" t="s">
        <v>1076</v>
      </c>
      <c r="O504" s="182">
        <v>45376</v>
      </c>
      <c r="P504" s="33" t="str">
        <f>HYPERLINK("https://my.zakupivli.pro/remote/dispatcher/state_purchase_view/49993551", "UA-2024-03-25-001536-a")</f>
        <v>UA-2024-03-25-001536-a</v>
      </c>
      <c r="Q504" s="181">
        <v>338.43669</v>
      </c>
      <c r="R504" s="181">
        <v>1</v>
      </c>
      <c r="S504" s="181">
        <v>338.43669</v>
      </c>
      <c r="T504" s="182">
        <v>45373</v>
      </c>
      <c r="U504" s="132"/>
      <c r="V504" s="181" t="s">
        <v>59</v>
      </c>
    </row>
    <row r="505" spans="1:22" ht="62.4" x14ac:dyDescent="0.3">
      <c r="A505" s="132">
        <v>499</v>
      </c>
      <c r="B505" s="181" t="s">
        <v>40</v>
      </c>
      <c r="C505" s="44" t="s">
        <v>41</v>
      </c>
      <c r="D505" s="132"/>
      <c r="E505" s="181" t="s">
        <v>88</v>
      </c>
      <c r="F505" s="44" t="s">
        <v>1074</v>
      </c>
      <c r="G505" s="181" t="s">
        <v>184</v>
      </c>
      <c r="H505" s="132">
        <v>677.26585</v>
      </c>
      <c r="I505" s="181">
        <v>1</v>
      </c>
      <c r="J505" s="181">
        <v>677.26585</v>
      </c>
      <c r="K505" s="181">
        <v>677.26585</v>
      </c>
      <c r="L505" s="181">
        <v>1</v>
      </c>
      <c r="M505" s="181">
        <v>677.26585</v>
      </c>
      <c r="N505" s="6" t="s">
        <v>1077</v>
      </c>
      <c r="O505" s="182">
        <v>45376</v>
      </c>
      <c r="P505" s="33" t="str">
        <f>HYPERLINK("https://my.zakupivli.pro/remote/dispatcher/state_purchase_view/49993454", "UA-2024-03-25-001472-a")</f>
        <v>UA-2024-03-25-001472-a</v>
      </c>
      <c r="Q505" s="181">
        <v>677.26585</v>
      </c>
      <c r="R505" s="181">
        <v>1</v>
      </c>
      <c r="S505" s="181">
        <v>677.26585</v>
      </c>
      <c r="T505" s="182">
        <v>45373</v>
      </c>
      <c r="U505" s="132"/>
      <c r="V505" s="181" t="s">
        <v>59</v>
      </c>
    </row>
    <row r="506" spans="1:22" ht="62.4" x14ac:dyDescent="0.3">
      <c r="A506" s="132">
        <v>500</v>
      </c>
      <c r="B506" s="181" t="s">
        <v>40</v>
      </c>
      <c r="C506" s="44" t="s">
        <v>41</v>
      </c>
      <c r="D506" s="132"/>
      <c r="E506" s="181" t="s">
        <v>88</v>
      </c>
      <c r="F506" s="44" t="s">
        <v>1075</v>
      </c>
      <c r="G506" s="181" t="s">
        <v>184</v>
      </c>
      <c r="H506" s="132">
        <v>440.17205000000001</v>
      </c>
      <c r="I506" s="181">
        <v>1</v>
      </c>
      <c r="J506" s="181">
        <v>440.17205000000001</v>
      </c>
      <c r="K506" s="181">
        <v>440.17205000000001</v>
      </c>
      <c r="L506" s="181">
        <v>1</v>
      </c>
      <c r="M506" s="181">
        <v>440.17205000000001</v>
      </c>
      <c r="N506" s="6" t="s">
        <v>1078</v>
      </c>
      <c r="O506" s="182">
        <v>45376</v>
      </c>
      <c r="P506" s="33" t="str">
        <f>HYPERLINK("https://my.zakupivli.pro/remote/dispatcher/state_purchase_view/49993314", "UA-2024-03-25-001382-a")</f>
        <v>UA-2024-03-25-001382-a</v>
      </c>
      <c r="Q506" s="181">
        <v>440.17205000000001</v>
      </c>
      <c r="R506" s="181">
        <v>1</v>
      </c>
      <c r="S506" s="181">
        <v>440.17205000000001</v>
      </c>
      <c r="T506" s="182">
        <v>45373</v>
      </c>
      <c r="U506" s="132"/>
      <c r="V506" s="181" t="s">
        <v>59</v>
      </c>
    </row>
    <row r="507" spans="1:22" ht="62.4" x14ac:dyDescent="0.3">
      <c r="A507" s="132">
        <v>501</v>
      </c>
      <c r="B507" s="181" t="s">
        <v>40</v>
      </c>
      <c r="C507" s="44" t="s">
        <v>41</v>
      </c>
      <c r="D507" s="132"/>
      <c r="E507" s="181" t="s">
        <v>88</v>
      </c>
      <c r="F507" s="44" t="s">
        <v>1079</v>
      </c>
      <c r="G507" s="181" t="s">
        <v>184</v>
      </c>
      <c r="H507" s="132">
        <v>423.59964000000002</v>
      </c>
      <c r="I507" s="181">
        <v>1</v>
      </c>
      <c r="J507" s="181">
        <v>423.59964000000002</v>
      </c>
      <c r="K507" s="181">
        <v>423.59964000000002</v>
      </c>
      <c r="L507" s="181">
        <v>1</v>
      </c>
      <c r="M507" s="181">
        <v>423.59964000000002</v>
      </c>
      <c r="N507" s="6" t="s">
        <v>1084</v>
      </c>
      <c r="O507" s="182">
        <v>45376</v>
      </c>
      <c r="P507" s="33" t="str">
        <f>HYPERLINK("https://my.zakupivli.pro/remote/dispatcher/state_purchase_view/49992857", "UA-2024-03-25-001186-a")</f>
        <v>UA-2024-03-25-001186-a</v>
      </c>
      <c r="Q507" s="181">
        <v>423.59964000000002</v>
      </c>
      <c r="R507" s="181">
        <v>1</v>
      </c>
      <c r="S507" s="181">
        <v>423.59964000000002</v>
      </c>
      <c r="T507" s="182">
        <v>45373</v>
      </c>
      <c r="U507" s="132"/>
      <c r="V507" s="181" t="s">
        <v>59</v>
      </c>
    </row>
    <row r="508" spans="1:22" ht="62.4" x14ac:dyDescent="0.3">
      <c r="A508" s="132">
        <v>502</v>
      </c>
      <c r="B508" s="181" t="s">
        <v>40</v>
      </c>
      <c r="C508" s="44" t="s">
        <v>41</v>
      </c>
      <c r="D508" s="132"/>
      <c r="E508" s="181" t="s">
        <v>88</v>
      </c>
      <c r="F508" s="44" t="s">
        <v>1080</v>
      </c>
      <c r="G508" s="181" t="s">
        <v>184</v>
      </c>
      <c r="H508" s="132">
        <v>567010.35</v>
      </c>
      <c r="I508" s="181">
        <v>1</v>
      </c>
      <c r="J508" s="181">
        <v>567010.35</v>
      </c>
      <c r="K508" s="181">
        <v>567010.35</v>
      </c>
      <c r="L508" s="181">
        <v>1</v>
      </c>
      <c r="M508" s="181">
        <v>567010.35</v>
      </c>
      <c r="N508" s="6" t="s">
        <v>1085</v>
      </c>
      <c r="O508" s="182">
        <v>45376</v>
      </c>
      <c r="P508" s="33" t="str">
        <f>HYPERLINK("https://my.zakupivli.pro/remote/dispatcher/state_purchase_view/49992163", "UA-2024-03-25-000945-a")</f>
        <v>UA-2024-03-25-000945-a</v>
      </c>
      <c r="Q508" s="181">
        <v>567010.35</v>
      </c>
      <c r="R508" s="181">
        <v>1</v>
      </c>
      <c r="S508" s="181">
        <v>567010.35</v>
      </c>
      <c r="T508" s="182">
        <v>45373</v>
      </c>
      <c r="U508" s="132"/>
      <c r="V508" s="181" t="s">
        <v>59</v>
      </c>
    </row>
    <row r="509" spans="1:22" ht="62.4" x14ac:dyDescent="0.3">
      <c r="A509" s="132">
        <v>503</v>
      </c>
      <c r="B509" s="181" t="s">
        <v>40</v>
      </c>
      <c r="C509" s="44" t="s">
        <v>41</v>
      </c>
      <c r="D509" s="132"/>
      <c r="E509" s="181" t="s">
        <v>88</v>
      </c>
      <c r="F509" s="44" t="s">
        <v>1081</v>
      </c>
      <c r="G509" s="181" t="s">
        <v>184</v>
      </c>
      <c r="H509" s="132">
        <v>1056.9045599999999</v>
      </c>
      <c r="I509" s="181">
        <v>1</v>
      </c>
      <c r="J509" s="181">
        <v>1056.9045599999999</v>
      </c>
      <c r="K509" s="181">
        <v>1056.9045599999999</v>
      </c>
      <c r="L509" s="181">
        <v>1</v>
      </c>
      <c r="M509" s="181">
        <v>1056.9045599999999</v>
      </c>
      <c r="N509" s="6" t="s">
        <v>1086</v>
      </c>
      <c r="O509" s="182">
        <v>45376</v>
      </c>
      <c r="P509" s="33" t="str">
        <f>HYPERLINK("https://my.zakupivli.pro/remote/dispatcher/state_purchase_view/49991885", "UA-2024-03-25-000827-a")</f>
        <v>UA-2024-03-25-000827-a</v>
      </c>
      <c r="Q509" s="181">
        <v>1056.9045599999999</v>
      </c>
      <c r="R509" s="181">
        <v>1</v>
      </c>
      <c r="S509" s="181">
        <v>1056.9045599999999</v>
      </c>
      <c r="T509" s="182">
        <v>45373</v>
      </c>
      <c r="U509" s="132"/>
      <c r="V509" s="181" t="s">
        <v>59</v>
      </c>
    </row>
    <row r="510" spans="1:22" ht="62.4" x14ac:dyDescent="0.3">
      <c r="A510" s="132">
        <v>504</v>
      </c>
      <c r="B510" s="181" t="s">
        <v>40</v>
      </c>
      <c r="C510" s="44" t="s">
        <v>41</v>
      </c>
      <c r="D510" s="132"/>
      <c r="E510" s="181" t="s">
        <v>88</v>
      </c>
      <c r="F510" s="44" t="s">
        <v>1082</v>
      </c>
      <c r="G510" s="181" t="s">
        <v>184</v>
      </c>
      <c r="H510" s="132">
        <v>442.95051000000001</v>
      </c>
      <c r="I510" s="181">
        <v>1</v>
      </c>
      <c r="J510" s="181">
        <v>442.95051000000001</v>
      </c>
      <c r="K510" s="181">
        <v>442.95051000000001</v>
      </c>
      <c r="L510" s="181">
        <v>1</v>
      </c>
      <c r="M510" s="181">
        <v>442.95051000000001</v>
      </c>
      <c r="N510" s="6" t="s">
        <v>1087</v>
      </c>
      <c r="O510" s="182">
        <v>45376</v>
      </c>
      <c r="P510" s="33" t="str">
        <f>HYPERLINK("https://my.zakupivli.pro/remote/dispatcher/state_purchase_view/49991401", "UA-2024-03-25-000641-a")</f>
        <v>UA-2024-03-25-000641-a</v>
      </c>
      <c r="Q510" s="181">
        <v>442.95051000000001</v>
      </c>
      <c r="R510" s="181">
        <v>1</v>
      </c>
      <c r="S510" s="181">
        <v>442.95051000000001</v>
      </c>
      <c r="T510" s="182">
        <v>45373</v>
      </c>
      <c r="U510" s="132"/>
      <c r="V510" s="181" t="s">
        <v>59</v>
      </c>
    </row>
    <row r="511" spans="1:22" ht="62.4" x14ac:dyDescent="0.3">
      <c r="A511" s="132">
        <v>505</v>
      </c>
      <c r="B511" s="181" t="s">
        <v>40</v>
      </c>
      <c r="C511" s="44" t="s">
        <v>41</v>
      </c>
      <c r="D511" s="132"/>
      <c r="E511" s="181" t="s">
        <v>88</v>
      </c>
      <c r="F511" s="44" t="s">
        <v>1083</v>
      </c>
      <c r="G511" s="181" t="s">
        <v>184</v>
      </c>
      <c r="H511" s="132">
        <v>667.58050000000003</v>
      </c>
      <c r="I511" s="181">
        <v>1</v>
      </c>
      <c r="J511" s="181">
        <v>667.58050000000003</v>
      </c>
      <c r="K511" s="181">
        <v>667.58050000000003</v>
      </c>
      <c r="L511" s="181">
        <v>1</v>
      </c>
      <c r="M511" s="181">
        <v>667.58050000000003</v>
      </c>
      <c r="N511" s="6" t="s">
        <v>1088</v>
      </c>
      <c r="O511" s="182">
        <v>45376</v>
      </c>
      <c r="P511" s="33" t="str">
        <f>HYPERLINK("https://my.zakupivli.pro/remote/dispatcher/state_purchase_view/49991359", "UA-2024-03-25-000613-a")</f>
        <v>UA-2024-03-25-000613-a</v>
      </c>
      <c r="Q511" s="181">
        <v>667.58050000000003</v>
      </c>
      <c r="R511" s="181">
        <v>1</v>
      </c>
      <c r="S511" s="181">
        <v>667.58050000000003</v>
      </c>
      <c r="T511" s="182">
        <v>45373</v>
      </c>
      <c r="U511" s="132"/>
      <c r="V511" s="181" t="s">
        <v>59</v>
      </c>
    </row>
    <row r="512" spans="1:22" ht="62.4" x14ac:dyDescent="0.3">
      <c r="A512" s="132">
        <v>506</v>
      </c>
      <c r="B512" s="181" t="s">
        <v>40</v>
      </c>
      <c r="C512" s="44" t="s">
        <v>41</v>
      </c>
      <c r="D512" s="132"/>
      <c r="E512" s="181" t="s">
        <v>88</v>
      </c>
      <c r="F512" s="44" t="s">
        <v>1089</v>
      </c>
      <c r="G512" s="181" t="s">
        <v>184</v>
      </c>
      <c r="H512" s="132">
        <v>760.82086000000004</v>
      </c>
      <c r="I512" s="181">
        <v>1</v>
      </c>
      <c r="J512" s="181">
        <v>760.82086000000004</v>
      </c>
      <c r="K512" s="181">
        <v>760.82086000000004</v>
      </c>
      <c r="L512" s="181">
        <v>1</v>
      </c>
      <c r="M512" s="181">
        <v>760.82086000000004</v>
      </c>
      <c r="N512" s="6" t="s">
        <v>1094</v>
      </c>
      <c r="O512" s="182">
        <v>45376</v>
      </c>
      <c r="P512" s="33" t="str">
        <f>HYPERLINK("https://my.zakupivli.pro/remote/dispatcher/state_purchase_view/49991087", "UA-2024-03-25-000494-a")</f>
        <v>UA-2024-03-25-000494-a</v>
      </c>
      <c r="Q512" s="181">
        <v>760.82086000000004</v>
      </c>
      <c r="R512" s="181">
        <v>1</v>
      </c>
      <c r="S512" s="181">
        <v>760.82086000000004</v>
      </c>
      <c r="T512" s="182">
        <v>45373</v>
      </c>
      <c r="U512" s="132"/>
      <c r="V512" s="181" t="s">
        <v>59</v>
      </c>
    </row>
    <row r="513" spans="1:22" ht="62.4" x14ac:dyDescent="0.3">
      <c r="A513" s="132">
        <v>507</v>
      </c>
      <c r="B513" s="181" t="s">
        <v>40</v>
      </c>
      <c r="C513" s="44" t="s">
        <v>41</v>
      </c>
      <c r="D513" s="132"/>
      <c r="E513" s="181" t="s">
        <v>88</v>
      </c>
      <c r="F513" s="44" t="s">
        <v>1090</v>
      </c>
      <c r="G513" s="181" t="s">
        <v>184</v>
      </c>
      <c r="H513" s="132">
        <v>915.53321000000005</v>
      </c>
      <c r="I513" s="181">
        <v>1</v>
      </c>
      <c r="J513" s="181">
        <v>915.53321000000005</v>
      </c>
      <c r="K513" s="181">
        <v>915.53321000000005</v>
      </c>
      <c r="L513" s="181">
        <v>1</v>
      </c>
      <c r="M513" s="181">
        <v>915.53321000000005</v>
      </c>
      <c r="N513" s="6" t="s">
        <v>1095</v>
      </c>
      <c r="O513" s="182">
        <v>45376</v>
      </c>
      <c r="P513" s="33" t="str">
        <f>HYPERLINK("https://my.zakupivli.pro/remote/dispatcher/state_purchase_view/49990900", "UA-2024-03-25-000416-a")</f>
        <v>UA-2024-03-25-000416-a</v>
      </c>
      <c r="Q513" s="181">
        <v>915.53321000000005</v>
      </c>
      <c r="R513" s="181">
        <v>1</v>
      </c>
      <c r="S513" s="181">
        <v>915.53321000000005</v>
      </c>
      <c r="T513" s="182">
        <v>45373</v>
      </c>
      <c r="U513" s="132"/>
      <c r="V513" s="181" t="s">
        <v>59</v>
      </c>
    </row>
    <row r="514" spans="1:22" ht="62.4" x14ac:dyDescent="0.3">
      <c r="A514" s="132">
        <v>508</v>
      </c>
      <c r="B514" s="181" t="s">
        <v>40</v>
      </c>
      <c r="C514" s="44" t="s">
        <v>41</v>
      </c>
      <c r="D514" s="132"/>
      <c r="E514" s="181" t="s">
        <v>88</v>
      </c>
      <c r="F514" s="44" t="s">
        <v>1091</v>
      </c>
      <c r="G514" s="181" t="s">
        <v>184</v>
      </c>
      <c r="H514" s="132">
        <v>847.72888999999998</v>
      </c>
      <c r="I514" s="181">
        <v>1</v>
      </c>
      <c r="J514" s="181">
        <v>847.72888999999998</v>
      </c>
      <c r="K514" s="181">
        <v>847.72888999999998</v>
      </c>
      <c r="L514" s="181">
        <v>1</v>
      </c>
      <c r="M514" s="181">
        <v>847.72888999999998</v>
      </c>
      <c r="N514" s="6" t="s">
        <v>1096</v>
      </c>
      <c r="O514" s="182">
        <v>45376</v>
      </c>
      <c r="P514" s="33" t="str">
        <f>HYPERLINK("https://my.zakupivli.pro/remote/dispatcher/state_purchase_view/49990848", "UA-2024-03-25-000383-a")</f>
        <v>UA-2024-03-25-000383-a</v>
      </c>
      <c r="Q514" s="181">
        <v>847.72888999999998</v>
      </c>
      <c r="R514" s="181">
        <v>1</v>
      </c>
      <c r="S514" s="181">
        <v>847.72888999999998</v>
      </c>
      <c r="T514" s="182">
        <v>45373</v>
      </c>
      <c r="U514" s="132"/>
      <c r="V514" s="181" t="s">
        <v>59</v>
      </c>
    </row>
    <row r="515" spans="1:22" ht="62.4" x14ac:dyDescent="0.3">
      <c r="A515" s="132">
        <v>509</v>
      </c>
      <c r="B515" s="181" t="s">
        <v>40</v>
      </c>
      <c r="C515" s="44" t="s">
        <v>41</v>
      </c>
      <c r="D515" s="132"/>
      <c r="E515" s="181" t="s">
        <v>88</v>
      </c>
      <c r="F515" s="44" t="s">
        <v>1092</v>
      </c>
      <c r="G515" s="181" t="s">
        <v>184</v>
      </c>
      <c r="H515" s="132">
        <v>931.63234999999997</v>
      </c>
      <c r="I515" s="181">
        <v>1</v>
      </c>
      <c r="J515" s="181">
        <v>931.63234999999997</v>
      </c>
      <c r="K515" s="181">
        <v>931.63234999999997</v>
      </c>
      <c r="L515" s="181">
        <v>931.63234999999997</v>
      </c>
      <c r="M515" s="181">
        <v>931.63234999999997</v>
      </c>
      <c r="N515" s="6" t="s">
        <v>1097</v>
      </c>
      <c r="O515" s="182">
        <v>45376</v>
      </c>
      <c r="P515" s="33" t="str">
        <f>HYPERLINK("https://my.zakupivli.pro/remote/dispatcher/state_purchase_view/49990556", "UA-2024-03-25-000272-a")</f>
        <v>UA-2024-03-25-000272-a</v>
      </c>
      <c r="Q515" s="181">
        <v>931.63234999999997</v>
      </c>
      <c r="R515" s="181">
        <v>931.63234999999997</v>
      </c>
      <c r="S515" s="181">
        <v>931.63234999999997</v>
      </c>
      <c r="T515" s="182">
        <v>45373</v>
      </c>
      <c r="U515" s="132"/>
      <c r="V515" s="181" t="s">
        <v>59</v>
      </c>
    </row>
    <row r="516" spans="1:22" ht="62.4" x14ac:dyDescent="0.3">
      <c r="A516" s="132">
        <v>510</v>
      </c>
      <c r="B516" s="181" t="s">
        <v>40</v>
      </c>
      <c r="C516" s="44" t="s">
        <v>41</v>
      </c>
      <c r="D516" s="132"/>
      <c r="E516" s="181" t="s">
        <v>88</v>
      </c>
      <c r="F516" s="44" t="s">
        <v>1093</v>
      </c>
      <c r="G516" s="181" t="s">
        <v>184</v>
      </c>
      <c r="H516" s="132">
        <v>1096.11652</v>
      </c>
      <c r="I516" s="132">
        <v>1</v>
      </c>
      <c r="J516" s="181">
        <v>1096.11652</v>
      </c>
      <c r="K516" s="181">
        <v>1096.11652</v>
      </c>
      <c r="L516" s="181">
        <v>1</v>
      </c>
      <c r="M516" s="181">
        <v>1096.11652</v>
      </c>
      <c r="N516" s="6" t="s">
        <v>1098</v>
      </c>
      <c r="O516" s="182">
        <v>45376</v>
      </c>
      <c r="P516" s="33" t="str">
        <f>HYPERLINK("https://my.zakupivli.pro/remote/dispatcher/state_purchase_view/49990340", "UA-2024-03-25-000171-a")</f>
        <v>UA-2024-03-25-000171-a</v>
      </c>
      <c r="Q516" s="181">
        <v>1096.11652</v>
      </c>
      <c r="R516" s="181">
        <v>1</v>
      </c>
      <c r="S516" s="181">
        <v>1096.11652</v>
      </c>
      <c r="T516" s="182">
        <v>45373</v>
      </c>
      <c r="U516" s="132"/>
      <c r="V516" s="181" t="s">
        <v>59</v>
      </c>
    </row>
    <row r="517" spans="1:22" ht="156" x14ac:dyDescent="0.3">
      <c r="A517" s="132">
        <v>511</v>
      </c>
      <c r="B517" s="132" t="s">
        <v>21</v>
      </c>
      <c r="C517" s="41" t="s">
        <v>183</v>
      </c>
      <c r="D517" s="132"/>
      <c r="E517" s="183" t="s">
        <v>88</v>
      </c>
      <c r="F517" s="44" t="s">
        <v>1099</v>
      </c>
      <c r="G517" s="132" t="s">
        <v>21</v>
      </c>
      <c r="H517" s="119">
        <v>7694.4</v>
      </c>
      <c r="I517" s="132">
        <v>1</v>
      </c>
      <c r="J517" s="119">
        <v>7694.4</v>
      </c>
      <c r="K517" s="119">
        <v>7694.4</v>
      </c>
      <c r="L517" s="183">
        <v>1</v>
      </c>
      <c r="M517" s="119">
        <v>7694.4</v>
      </c>
      <c r="N517" s="6" t="s">
        <v>1100</v>
      </c>
      <c r="O517" s="182">
        <v>45379</v>
      </c>
      <c r="P517" s="33" t="str">
        <f>HYPERLINK("https://my.zakupivli.pro/remote/dispatcher/state_purchase_view/50096341", "UA-2024-03-28-009986-a")</f>
        <v>UA-2024-03-28-009986-a</v>
      </c>
      <c r="Q517" s="119">
        <v>7694.4</v>
      </c>
      <c r="R517" s="183">
        <v>1</v>
      </c>
      <c r="S517" s="119">
        <v>7694.4</v>
      </c>
      <c r="T517" s="184">
        <v>45379</v>
      </c>
      <c r="U517" s="132"/>
      <c r="V517" s="183" t="s">
        <v>59</v>
      </c>
    </row>
    <row r="518" spans="1:22" ht="62.4" x14ac:dyDescent="0.3">
      <c r="A518" s="132">
        <v>512</v>
      </c>
      <c r="B518" s="186" t="s">
        <v>40</v>
      </c>
      <c r="C518" s="44" t="s">
        <v>73</v>
      </c>
      <c r="D518" s="132"/>
      <c r="E518" s="186" t="s">
        <v>75</v>
      </c>
      <c r="F518" s="44" t="s">
        <v>1101</v>
      </c>
      <c r="G518" s="132" t="s">
        <v>184</v>
      </c>
      <c r="H518" s="132">
        <v>96.452979999999997</v>
      </c>
      <c r="I518" s="132">
        <v>1</v>
      </c>
      <c r="J518" s="186">
        <v>96.452979999999997</v>
      </c>
      <c r="K518" s="186">
        <v>96.452979999999997</v>
      </c>
      <c r="L518" s="186">
        <v>1</v>
      </c>
      <c r="M518" s="186">
        <v>96.452979999999997</v>
      </c>
      <c r="N518" s="6" t="s">
        <v>1107</v>
      </c>
      <c r="O518" s="133">
        <v>45383</v>
      </c>
      <c r="P518" s="33" t="str">
        <f>HYPERLINK("https://my.zakupivli.pro/remote/dispatcher/state_purchase_view/50133163", "UA-2024-04-01-005782-a")</f>
        <v>UA-2024-04-01-005782-a</v>
      </c>
      <c r="Q518" s="186">
        <v>96.452979999999997</v>
      </c>
      <c r="R518" s="186">
        <v>1</v>
      </c>
      <c r="S518" s="186">
        <v>96.452979999999997</v>
      </c>
      <c r="T518" s="187">
        <v>45383</v>
      </c>
      <c r="U518" s="132"/>
      <c r="V518" s="186" t="s">
        <v>59</v>
      </c>
    </row>
    <row r="519" spans="1:22" ht="62.4" x14ac:dyDescent="0.3">
      <c r="A519" s="132">
        <v>513</v>
      </c>
      <c r="B519" s="186" t="s">
        <v>40</v>
      </c>
      <c r="C519" s="44" t="s">
        <v>73</v>
      </c>
      <c r="D519" s="132"/>
      <c r="E519" s="186" t="s">
        <v>75</v>
      </c>
      <c r="F519" s="44" t="s">
        <v>1102</v>
      </c>
      <c r="G519" s="186" t="s">
        <v>184</v>
      </c>
      <c r="H519" s="132">
        <v>113.94756</v>
      </c>
      <c r="I519" s="132">
        <v>1</v>
      </c>
      <c r="J519" s="186">
        <v>113.94756</v>
      </c>
      <c r="K519" s="186">
        <v>113.94756</v>
      </c>
      <c r="L519" s="186">
        <v>1</v>
      </c>
      <c r="M519" s="186">
        <v>113.94756</v>
      </c>
      <c r="N519" s="6" t="s">
        <v>1108</v>
      </c>
      <c r="O519" s="187">
        <v>45383</v>
      </c>
      <c r="P519" s="33" t="str">
        <f>HYPERLINK("https://my.zakupivli.pro/remote/dispatcher/state_purchase_view/50132155", "UA-2024-04-01-005332-a")</f>
        <v>UA-2024-04-01-005332-a</v>
      </c>
      <c r="Q519" s="186">
        <v>113.94756</v>
      </c>
      <c r="R519" s="186">
        <v>1</v>
      </c>
      <c r="S519" s="186">
        <v>113.94756</v>
      </c>
      <c r="T519" s="187">
        <v>45383</v>
      </c>
      <c r="U519" s="132"/>
      <c r="V519" s="186" t="s">
        <v>59</v>
      </c>
    </row>
    <row r="520" spans="1:22" ht="62.4" x14ac:dyDescent="0.3">
      <c r="A520" s="132">
        <v>514</v>
      </c>
      <c r="B520" s="186" t="s">
        <v>40</v>
      </c>
      <c r="C520" s="44" t="s">
        <v>73</v>
      </c>
      <c r="D520" s="132"/>
      <c r="E520" s="186" t="s">
        <v>75</v>
      </c>
      <c r="F520" s="44" t="s">
        <v>1103</v>
      </c>
      <c r="G520" s="186" t="s">
        <v>184</v>
      </c>
      <c r="H520" s="132">
        <v>151.39293000000001</v>
      </c>
      <c r="I520" s="132">
        <v>1</v>
      </c>
      <c r="J520" s="186">
        <v>151.39293000000001</v>
      </c>
      <c r="K520" s="186">
        <v>151.39293000000001</v>
      </c>
      <c r="L520" s="186">
        <v>1</v>
      </c>
      <c r="M520" s="186">
        <v>151.39293000000001</v>
      </c>
      <c r="N520" s="6" t="s">
        <v>1109</v>
      </c>
      <c r="O520" s="187">
        <v>45383</v>
      </c>
      <c r="P520" s="33" t="str">
        <f>HYPERLINK("https://my.zakupivli.pro/remote/dispatcher/state_purchase_view/50131614", "UA-2024-04-01-005080-a")</f>
        <v>UA-2024-04-01-005080-a</v>
      </c>
      <c r="Q520" s="186">
        <v>151.39293000000001</v>
      </c>
      <c r="R520" s="186">
        <v>1</v>
      </c>
      <c r="S520" s="186">
        <v>151.39293000000001</v>
      </c>
      <c r="T520" s="187">
        <v>45383</v>
      </c>
      <c r="U520" s="132"/>
      <c r="V520" s="186" t="s">
        <v>59</v>
      </c>
    </row>
    <row r="521" spans="1:22" ht="62.4" x14ac:dyDescent="0.3">
      <c r="A521" s="132">
        <v>515</v>
      </c>
      <c r="B521" s="186" t="s">
        <v>40</v>
      </c>
      <c r="C521" s="44" t="s">
        <v>73</v>
      </c>
      <c r="D521" s="132"/>
      <c r="E521" s="186" t="s">
        <v>75</v>
      </c>
      <c r="F521" s="44" t="s">
        <v>1104</v>
      </c>
      <c r="G521" s="186" t="s">
        <v>184</v>
      </c>
      <c r="H521" s="132">
        <v>194.86904000000001</v>
      </c>
      <c r="I521" s="132">
        <v>1</v>
      </c>
      <c r="J521" s="186">
        <v>194.86904000000001</v>
      </c>
      <c r="K521" s="186">
        <v>194.86904000000001</v>
      </c>
      <c r="L521" s="186">
        <v>1</v>
      </c>
      <c r="M521" s="186">
        <v>194.86904000000001</v>
      </c>
      <c r="N521" s="6" t="s">
        <v>1110</v>
      </c>
      <c r="O521" s="187">
        <v>45383</v>
      </c>
      <c r="P521" s="33" t="str">
        <f>HYPERLINK("https://my.zakupivli.pro/remote/dispatcher/state_purchase_view/50128934", "UA-2024-04-01-003935-a")</f>
        <v>UA-2024-04-01-003935-a</v>
      </c>
      <c r="Q521" s="186">
        <v>194.86904000000001</v>
      </c>
      <c r="R521" s="186">
        <v>1</v>
      </c>
      <c r="S521" s="186">
        <v>194.86904000000001</v>
      </c>
      <c r="T521" s="187">
        <v>45383</v>
      </c>
      <c r="U521" s="132"/>
      <c r="V521" s="186" t="s">
        <v>59</v>
      </c>
    </row>
    <row r="522" spans="1:22" ht="62.4" x14ac:dyDescent="0.3">
      <c r="A522" s="132">
        <v>516</v>
      </c>
      <c r="B522" s="186" t="s">
        <v>40</v>
      </c>
      <c r="C522" s="44" t="s">
        <v>73</v>
      </c>
      <c r="D522" s="132"/>
      <c r="E522" s="186" t="s">
        <v>75</v>
      </c>
      <c r="F522" s="44" t="s">
        <v>1105</v>
      </c>
      <c r="G522" s="186" t="s">
        <v>184</v>
      </c>
      <c r="H522" s="132">
        <v>109.06793999999999</v>
      </c>
      <c r="I522" s="132">
        <v>1</v>
      </c>
      <c r="J522" s="186">
        <v>109.06793999999999</v>
      </c>
      <c r="K522" s="186">
        <v>109.06793999999999</v>
      </c>
      <c r="L522" s="186">
        <v>1</v>
      </c>
      <c r="M522" s="186">
        <v>109.06793999999999</v>
      </c>
      <c r="N522" s="6" t="s">
        <v>1111</v>
      </c>
      <c r="O522" s="187">
        <v>45383</v>
      </c>
      <c r="P522" s="33" t="str">
        <f>HYPERLINK("https://my.zakupivli.pro/remote/dispatcher/state_purchase_view/50128451", "UA-2024-04-01-003767-a")</f>
        <v>UA-2024-04-01-003767-a</v>
      </c>
      <c r="Q522" s="186">
        <v>109.06793999999999</v>
      </c>
      <c r="R522" s="186">
        <v>1</v>
      </c>
      <c r="S522" s="186">
        <v>109.06793999999999</v>
      </c>
      <c r="T522" s="187">
        <v>45383</v>
      </c>
      <c r="U522" s="132"/>
      <c r="V522" s="186" t="s">
        <v>59</v>
      </c>
    </row>
    <row r="523" spans="1:22" ht="62.4" x14ac:dyDescent="0.3">
      <c r="A523" s="132">
        <v>517</v>
      </c>
      <c r="B523" s="186" t="s">
        <v>40</v>
      </c>
      <c r="C523" s="44" t="s">
        <v>73</v>
      </c>
      <c r="D523" s="132"/>
      <c r="E523" s="186" t="s">
        <v>75</v>
      </c>
      <c r="F523" s="44" t="s">
        <v>1106</v>
      </c>
      <c r="G523" s="186" t="s">
        <v>184</v>
      </c>
      <c r="H523" s="132">
        <v>158.59383</v>
      </c>
      <c r="I523" s="132">
        <v>1</v>
      </c>
      <c r="J523" s="186">
        <v>158.59383</v>
      </c>
      <c r="K523" s="186">
        <v>158.59383</v>
      </c>
      <c r="L523" s="186">
        <v>1</v>
      </c>
      <c r="M523" s="186">
        <v>158.59383</v>
      </c>
      <c r="N523" s="6" t="s">
        <v>1112</v>
      </c>
      <c r="O523" s="187">
        <v>45383</v>
      </c>
      <c r="P523" s="33" t="str">
        <f>HYPERLINK("https://my.zakupivli.pro/remote/dispatcher/state_purchase_view/50127903", "UA-2024-04-01-003479-a")</f>
        <v>UA-2024-04-01-003479-a</v>
      </c>
      <c r="Q523" s="186">
        <v>158.59383</v>
      </c>
      <c r="R523" s="186">
        <v>1</v>
      </c>
      <c r="S523" s="186">
        <v>158.59383</v>
      </c>
      <c r="T523" s="187">
        <v>45383</v>
      </c>
      <c r="U523" s="132"/>
      <c r="V523" s="186" t="s">
        <v>59</v>
      </c>
    </row>
    <row r="524" spans="1:22" ht="62.4" x14ac:dyDescent="0.3">
      <c r="A524" s="132">
        <v>518</v>
      </c>
      <c r="B524" s="188" t="s">
        <v>40</v>
      </c>
      <c r="C524" s="44" t="s">
        <v>41</v>
      </c>
      <c r="D524" s="132"/>
      <c r="E524" s="188" t="s">
        <v>373</v>
      </c>
      <c r="F524" s="44" t="s">
        <v>1113</v>
      </c>
      <c r="G524" s="188" t="s">
        <v>184</v>
      </c>
      <c r="H524" s="132">
        <v>149.49813</v>
      </c>
      <c r="I524" s="132">
        <v>1</v>
      </c>
      <c r="J524" s="188">
        <v>149.49813</v>
      </c>
      <c r="K524" s="188">
        <v>149.49813</v>
      </c>
      <c r="L524" s="188">
        <v>1</v>
      </c>
      <c r="M524" s="188">
        <v>149.49813</v>
      </c>
      <c r="N524" s="6" t="s">
        <v>1119</v>
      </c>
      <c r="O524" s="133">
        <v>45385</v>
      </c>
      <c r="P524" s="33" t="str">
        <f>HYPERLINK("https://my.zakupivli.pro/remote/dispatcher/state_purchase_view/50192772", "UA-2024-04-03-008285-a")</f>
        <v>UA-2024-04-03-008285-a</v>
      </c>
      <c r="Q524" s="188">
        <v>149.49813</v>
      </c>
      <c r="R524" s="188">
        <v>1</v>
      </c>
      <c r="S524" s="188">
        <v>149.49813</v>
      </c>
      <c r="T524" s="189">
        <v>45385</v>
      </c>
      <c r="U524" s="132"/>
      <c r="V524" s="188" t="s">
        <v>59</v>
      </c>
    </row>
    <row r="525" spans="1:22" ht="62.4" x14ac:dyDescent="0.3">
      <c r="A525" s="132">
        <v>519</v>
      </c>
      <c r="B525" s="188" t="s">
        <v>40</v>
      </c>
      <c r="C525" s="44" t="s">
        <v>41</v>
      </c>
      <c r="D525" s="132"/>
      <c r="E525" s="188" t="s">
        <v>373</v>
      </c>
      <c r="F525" s="44" t="s">
        <v>1114</v>
      </c>
      <c r="G525" s="188" t="s">
        <v>184</v>
      </c>
      <c r="H525" s="132">
        <v>76818.37</v>
      </c>
      <c r="I525" s="132">
        <v>1</v>
      </c>
      <c r="J525" s="188">
        <v>76818.37</v>
      </c>
      <c r="K525" s="188">
        <v>76818.37</v>
      </c>
      <c r="L525" s="188">
        <v>1</v>
      </c>
      <c r="M525" s="188">
        <v>76818.37</v>
      </c>
      <c r="N525" s="6" t="s">
        <v>1120</v>
      </c>
      <c r="O525" s="189">
        <v>45385</v>
      </c>
      <c r="P525" s="33" t="str">
        <f>HYPERLINK("https://my.zakupivli.pro/remote/dispatcher/state_purchase_view/50192096", "UA-2024-04-03-008011-a")</f>
        <v>UA-2024-04-03-008011-a</v>
      </c>
      <c r="Q525" s="188">
        <v>76818.37</v>
      </c>
      <c r="R525" s="188">
        <v>1</v>
      </c>
      <c r="S525" s="188">
        <v>76818.37</v>
      </c>
      <c r="T525" s="189">
        <v>45385</v>
      </c>
      <c r="U525" s="132"/>
      <c r="V525" s="188" t="s">
        <v>59</v>
      </c>
    </row>
    <row r="526" spans="1:22" ht="62.4" x14ac:dyDescent="0.3">
      <c r="A526" s="132">
        <v>520</v>
      </c>
      <c r="B526" s="188" t="s">
        <v>40</v>
      </c>
      <c r="C526" s="44" t="s">
        <v>41</v>
      </c>
      <c r="D526" s="132"/>
      <c r="E526" s="188" t="s">
        <v>373</v>
      </c>
      <c r="F526" s="44" t="s">
        <v>1115</v>
      </c>
      <c r="G526" s="188" t="s">
        <v>184</v>
      </c>
      <c r="H526" s="132">
        <v>404.08514000000002</v>
      </c>
      <c r="I526" s="132">
        <v>1</v>
      </c>
      <c r="J526" s="188">
        <v>404.08514000000002</v>
      </c>
      <c r="K526" s="188">
        <v>404.08514000000002</v>
      </c>
      <c r="L526" s="188">
        <v>1</v>
      </c>
      <c r="M526" s="188">
        <v>404.08514000000002</v>
      </c>
      <c r="N526" s="6" t="s">
        <v>1121</v>
      </c>
      <c r="O526" s="189">
        <v>45385</v>
      </c>
      <c r="P526" s="33" t="str">
        <f>HYPERLINK("https://my.zakupivli.pro/remote/dispatcher/state_purchase_view/50191401", "UA-2024-04-03-007759-a")</f>
        <v>UA-2024-04-03-007759-a</v>
      </c>
      <c r="Q526" s="188">
        <v>404.08514000000002</v>
      </c>
      <c r="R526" s="188">
        <v>1</v>
      </c>
      <c r="S526" s="188">
        <v>404.08514000000002</v>
      </c>
      <c r="T526" s="189">
        <v>45385</v>
      </c>
      <c r="U526" s="132"/>
      <c r="V526" s="188" t="s">
        <v>59</v>
      </c>
    </row>
    <row r="527" spans="1:22" ht="62.4" x14ac:dyDescent="0.3">
      <c r="A527" s="132">
        <v>521</v>
      </c>
      <c r="B527" s="188" t="s">
        <v>40</v>
      </c>
      <c r="C527" s="44" t="s">
        <v>41</v>
      </c>
      <c r="D527" s="132"/>
      <c r="E527" s="188" t="s">
        <v>373</v>
      </c>
      <c r="F527" s="44" t="s">
        <v>1116</v>
      </c>
      <c r="G527" s="188" t="s">
        <v>184</v>
      </c>
      <c r="H527" s="132">
        <v>302.83715000000001</v>
      </c>
      <c r="I527" s="132">
        <v>1</v>
      </c>
      <c r="J527" s="188">
        <v>302.83715000000001</v>
      </c>
      <c r="K527" s="188">
        <v>302.83715000000001</v>
      </c>
      <c r="L527" s="188">
        <v>1</v>
      </c>
      <c r="M527" s="188">
        <v>302.83715000000001</v>
      </c>
      <c r="N527" s="6" t="s">
        <v>1122</v>
      </c>
      <c r="O527" s="189">
        <v>45385</v>
      </c>
      <c r="P527" s="33" t="str">
        <f>HYPERLINK("https://my.zakupivli.pro/remote/dispatcher/state_purchase_view/50191086", "UA-2024-04-03-007567-a")</f>
        <v>UA-2024-04-03-007567-a</v>
      </c>
      <c r="Q527" s="188">
        <v>302.83715000000001</v>
      </c>
      <c r="R527" s="188">
        <v>1</v>
      </c>
      <c r="S527" s="188">
        <v>302.83715000000001</v>
      </c>
      <c r="T527" s="189">
        <v>45385</v>
      </c>
      <c r="U527" s="132"/>
      <c r="V527" s="188" t="s">
        <v>59</v>
      </c>
    </row>
    <row r="528" spans="1:22" ht="62.4" x14ac:dyDescent="0.3">
      <c r="A528" s="132">
        <v>522</v>
      </c>
      <c r="B528" s="188" t="s">
        <v>21</v>
      </c>
      <c r="C528" s="44" t="s">
        <v>1118</v>
      </c>
      <c r="D528" s="132"/>
      <c r="E528" s="188" t="s">
        <v>75</v>
      </c>
      <c r="F528" s="44" t="s">
        <v>1117</v>
      </c>
      <c r="G528" s="188" t="s">
        <v>186</v>
      </c>
      <c r="H528" s="132"/>
      <c r="I528" s="132">
        <v>4</v>
      </c>
      <c r="J528" s="119">
        <v>337.51</v>
      </c>
      <c r="K528" s="132"/>
      <c r="L528" s="188">
        <v>4</v>
      </c>
      <c r="M528" s="119">
        <v>337.51</v>
      </c>
      <c r="N528" s="6" t="s">
        <v>1123</v>
      </c>
      <c r="O528" s="189">
        <v>45385</v>
      </c>
      <c r="P528" s="33" t="str">
        <f>HYPERLINK("https://my.zakupivli.pro/remote/dispatcher/state_purchase_view/50182890", "UA-2024-04-03-003922-a")</f>
        <v>UA-2024-04-03-003922-a</v>
      </c>
      <c r="Q528" s="132"/>
      <c r="R528" s="132">
        <v>4</v>
      </c>
      <c r="S528" s="132">
        <v>336.94499999999999</v>
      </c>
      <c r="T528" s="133">
        <v>45404</v>
      </c>
      <c r="U528" s="132"/>
      <c r="V528" s="132"/>
    </row>
    <row r="529" spans="1:22" ht="62.4" x14ac:dyDescent="0.3">
      <c r="A529" s="132">
        <v>523</v>
      </c>
      <c r="B529" s="188" t="s">
        <v>21</v>
      </c>
      <c r="C529" s="44" t="s">
        <v>30</v>
      </c>
      <c r="D529" s="132"/>
      <c r="E529" s="188" t="s">
        <v>75</v>
      </c>
      <c r="F529" s="44" t="s">
        <v>909</v>
      </c>
      <c r="G529" s="132" t="s">
        <v>185</v>
      </c>
      <c r="H529" s="132">
        <v>5.218</v>
      </c>
      <c r="I529" s="132">
        <v>8</v>
      </c>
      <c r="J529" s="132">
        <v>41.744</v>
      </c>
      <c r="K529" s="188">
        <v>5.218</v>
      </c>
      <c r="L529" s="188">
        <v>8</v>
      </c>
      <c r="M529" s="188">
        <v>41.744</v>
      </c>
      <c r="N529" s="6" t="s">
        <v>1126</v>
      </c>
      <c r="O529" s="189">
        <v>45385</v>
      </c>
      <c r="P529" s="33" t="str">
        <f>HYPERLINK("https://my.zakupivli.pro/remote/dispatcher/state_purchase_view/50200329", "UA-2024-04-03-011648-a")</f>
        <v>UA-2024-04-03-011648-a</v>
      </c>
      <c r="Q529" s="188">
        <v>5.218</v>
      </c>
      <c r="R529" s="188">
        <v>8</v>
      </c>
      <c r="S529" s="188">
        <v>41.744</v>
      </c>
      <c r="T529" s="189">
        <v>45385</v>
      </c>
      <c r="U529" s="132"/>
      <c r="V529" s="188" t="s">
        <v>59</v>
      </c>
    </row>
    <row r="530" spans="1:22" ht="62.4" x14ac:dyDescent="0.3">
      <c r="A530" s="132">
        <v>524</v>
      </c>
      <c r="B530" s="188" t="s">
        <v>40</v>
      </c>
      <c r="C530" s="44" t="s">
        <v>41</v>
      </c>
      <c r="D530" s="132"/>
      <c r="E530" s="188" t="s">
        <v>373</v>
      </c>
      <c r="F530" s="44" t="s">
        <v>1125</v>
      </c>
      <c r="G530" s="188" t="s">
        <v>184</v>
      </c>
      <c r="H530" s="132">
        <v>56.332160000000002</v>
      </c>
      <c r="I530" s="132">
        <v>1</v>
      </c>
      <c r="J530" s="188">
        <v>56.332160000000002</v>
      </c>
      <c r="K530" s="188">
        <v>56.332160000000002</v>
      </c>
      <c r="L530" s="188">
        <v>1</v>
      </c>
      <c r="M530" s="188">
        <v>56.332160000000002</v>
      </c>
      <c r="N530" s="6" t="s">
        <v>1127</v>
      </c>
      <c r="O530" s="189">
        <v>45385</v>
      </c>
      <c r="P530" s="33" t="str">
        <f>HYPERLINK("https://my.zakupivli.pro/remote/dispatcher/state_purchase_view/50200087", "UA-2024-04-03-011525-a")</f>
        <v>UA-2024-04-03-011525-a</v>
      </c>
      <c r="Q530" s="188">
        <v>56.332160000000002</v>
      </c>
      <c r="R530" s="188">
        <v>1</v>
      </c>
      <c r="S530" s="188">
        <v>56.332160000000002</v>
      </c>
      <c r="T530" s="189">
        <v>45385</v>
      </c>
      <c r="U530" s="132"/>
      <c r="V530" s="188" t="s">
        <v>59</v>
      </c>
    </row>
    <row r="531" spans="1:22" ht="62.4" x14ac:dyDescent="0.3">
      <c r="A531" s="132">
        <v>525</v>
      </c>
      <c r="B531" s="188" t="s">
        <v>40</v>
      </c>
      <c r="C531" s="44" t="s">
        <v>41</v>
      </c>
      <c r="D531" s="132"/>
      <c r="E531" s="188" t="s">
        <v>373</v>
      </c>
      <c r="F531" s="44" t="s">
        <v>1124</v>
      </c>
      <c r="G531" s="188" t="s">
        <v>184</v>
      </c>
      <c r="H531" s="132">
        <v>282.14161999999999</v>
      </c>
      <c r="I531" s="132">
        <v>1</v>
      </c>
      <c r="J531" s="188">
        <v>282.14161999999999</v>
      </c>
      <c r="K531" s="188">
        <v>282.14161999999999</v>
      </c>
      <c r="L531" s="188">
        <v>1</v>
      </c>
      <c r="M531" s="188">
        <v>282.14161999999999</v>
      </c>
      <c r="N531" s="6" t="s">
        <v>1128</v>
      </c>
      <c r="O531" s="189">
        <v>45385</v>
      </c>
      <c r="P531" s="33" t="str">
        <f>HYPERLINK("https://my.zakupivli.pro/remote/dispatcher/state_purchase_view/50199730", "UA-2024-04-03-011369-a")</f>
        <v>UA-2024-04-03-011369-a</v>
      </c>
      <c r="Q531" s="188">
        <v>282.14161999999999</v>
      </c>
      <c r="R531" s="188">
        <v>1</v>
      </c>
      <c r="S531" s="188">
        <v>282.14161999999999</v>
      </c>
      <c r="T531" s="189">
        <v>45385</v>
      </c>
      <c r="U531" s="132"/>
      <c r="V531" s="188" t="s">
        <v>59</v>
      </c>
    </row>
    <row r="532" spans="1:22" ht="62.4" x14ac:dyDescent="0.3">
      <c r="A532" s="132">
        <v>526</v>
      </c>
      <c r="B532" s="188" t="s">
        <v>21</v>
      </c>
      <c r="C532" s="44" t="s">
        <v>517</v>
      </c>
      <c r="D532" s="132"/>
      <c r="E532" s="188" t="s">
        <v>75</v>
      </c>
      <c r="F532" s="44" t="s">
        <v>1129</v>
      </c>
      <c r="G532" s="132" t="s">
        <v>185</v>
      </c>
      <c r="H532" s="119">
        <v>5.79</v>
      </c>
      <c r="I532" s="132">
        <v>13</v>
      </c>
      <c r="J532" s="119">
        <v>75.27</v>
      </c>
      <c r="K532" s="119">
        <v>5.79</v>
      </c>
      <c r="L532" s="188">
        <v>13</v>
      </c>
      <c r="M532" s="119">
        <v>75.27</v>
      </c>
      <c r="N532" s="6" t="s">
        <v>1130</v>
      </c>
      <c r="O532" s="189">
        <v>45385</v>
      </c>
      <c r="P532" s="33" t="str">
        <f>HYPERLINK("https://my.zakupivli.pro/remote/dispatcher/state_purchase_view/50200587", "UA-2024-04-03-011788-a")</f>
        <v>UA-2024-04-03-011788-a</v>
      </c>
      <c r="Q532" s="119">
        <v>5.79</v>
      </c>
      <c r="R532" s="188">
        <v>13</v>
      </c>
      <c r="S532" s="119">
        <v>75.27</v>
      </c>
      <c r="T532" s="189">
        <v>45385</v>
      </c>
      <c r="U532" s="132"/>
      <c r="V532" s="188" t="s">
        <v>59</v>
      </c>
    </row>
    <row r="533" spans="1:22" ht="124.8" x14ac:dyDescent="0.3">
      <c r="A533" s="132">
        <v>527</v>
      </c>
      <c r="B533" s="192" t="s">
        <v>21</v>
      </c>
      <c r="C533" s="44" t="s">
        <v>175</v>
      </c>
      <c r="D533" s="132"/>
      <c r="E533" s="192" t="s">
        <v>75</v>
      </c>
      <c r="F533" s="44" t="s">
        <v>1131</v>
      </c>
      <c r="G533" s="132" t="s">
        <v>186</v>
      </c>
      <c r="H533" s="132"/>
      <c r="I533" s="132">
        <v>10</v>
      </c>
      <c r="J533" s="132">
        <v>208.57570000000001</v>
      </c>
      <c r="K533" s="132"/>
      <c r="L533" s="192">
        <v>10</v>
      </c>
      <c r="M533" s="192">
        <v>208.57570000000001</v>
      </c>
      <c r="N533" s="6" t="s">
        <v>1132</v>
      </c>
      <c r="O533" s="133">
        <v>45386</v>
      </c>
      <c r="P533" s="122" t="str">
        <f>HYPERLINK("https://my.zakupivli.pro/remote/dispatcher/state_purchase_view/50221480", "UA-2024-04-04-007798-a")</f>
        <v>UA-2024-04-04-007798-a</v>
      </c>
      <c r="Q533" s="132"/>
      <c r="R533" s="192">
        <v>10</v>
      </c>
      <c r="S533" s="192">
        <v>208.57570000000001</v>
      </c>
      <c r="T533" s="193">
        <v>45386</v>
      </c>
      <c r="U533" s="132"/>
      <c r="V533" s="192" t="s">
        <v>59</v>
      </c>
    </row>
    <row r="534" spans="1:22" ht="46.8" x14ac:dyDescent="0.3">
      <c r="A534" s="132">
        <v>528</v>
      </c>
      <c r="B534" s="194" t="s">
        <v>21</v>
      </c>
      <c r="C534" s="44" t="s">
        <v>1134</v>
      </c>
      <c r="D534" s="132"/>
      <c r="E534" s="194" t="s">
        <v>75</v>
      </c>
      <c r="F534" s="44" t="s">
        <v>1133</v>
      </c>
      <c r="G534" s="132" t="s">
        <v>185</v>
      </c>
      <c r="H534" s="132"/>
      <c r="I534" s="132">
        <v>53</v>
      </c>
      <c r="J534" s="132">
        <v>157.46275</v>
      </c>
      <c r="K534" s="132"/>
      <c r="L534" s="194">
        <v>53</v>
      </c>
      <c r="M534" s="194">
        <v>157.46275</v>
      </c>
      <c r="N534" s="6" t="s">
        <v>1135</v>
      </c>
      <c r="O534" s="133">
        <v>45386</v>
      </c>
      <c r="P534" s="42" t="str">
        <f>HYPERLINK("https://my.zakupivli.pro/remote/dispatcher/state_purchase_view/50227478", "UA-2024-04-04-010434-a")</f>
        <v>UA-2024-04-04-010434-a</v>
      </c>
      <c r="Q534" s="132"/>
      <c r="R534" s="132">
        <v>53</v>
      </c>
      <c r="S534" s="132">
        <v>136.929</v>
      </c>
      <c r="T534" s="133">
        <v>45406</v>
      </c>
      <c r="U534" s="132"/>
      <c r="V534" s="132"/>
    </row>
    <row r="535" spans="1:22" ht="62.4" x14ac:dyDescent="0.3">
      <c r="A535" s="132">
        <v>529</v>
      </c>
      <c r="B535" s="195" t="s">
        <v>21</v>
      </c>
      <c r="C535" s="44" t="s">
        <v>1137</v>
      </c>
      <c r="D535" s="132"/>
      <c r="E535" s="195" t="s">
        <v>75</v>
      </c>
      <c r="F535" s="44" t="s">
        <v>1136</v>
      </c>
      <c r="G535" s="132" t="s">
        <v>186</v>
      </c>
      <c r="H535" s="132"/>
      <c r="I535" s="132">
        <v>2</v>
      </c>
      <c r="J535" s="132">
        <v>83.304000000000002</v>
      </c>
      <c r="K535" s="132"/>
      <c r="L535" s="195">
        <v>2</v>
      </c>
      <c r="M535" s="195">
        <v>83.304000000000002</v>
      </c>
      <c r="N535" s="6" t="s">
        <v>1138</v>
      </c>
      <c r="O535" s="133">
        <v>45390</v>
      </c>
      <c r="P535" s="122" t="str">
        <f>HYPERLINK("https://my.zakupivli.pro/remote/dispatcher/state_purchase_view/50272627", "UA-2024-04-08-004905-a")</f>
        <v>UA-2024-04-08-004905-a</v>
      </c>
      <c r="Q535" s="132"/>
      <c r="R535" s="195">
        <v>2</v>
      </c>
      <c r="S535" s="195">
        <v>83.304000000000002</v>
      </c>
      <c r="T535" s="196">
        <v>45390</v>
      </c>
      <c r="U535" s="132"/>
      <c r="V535" s="195" t="s">
        <v>59</v>
      </c>
    </row>
    <row r="536" spans="1:22" ht="62.4" x14ac:dyDescent="0.3">
      <c r="A536" s="132">
        <v>530</v>
      </c>
      <c r="B536" s="197" t="s">
        <v>40</v>
      </c>
      <c r="C536" s="44" t="s">
        <v>542</v>
      </c>
      <c r="D536" s="132"/>
      <c r="E536" s="197" t="s">
        <v>75</v>
      </c>
      <c r="F536" s="44" t="s">
        <v>1139</v>
      </c>
      <c r="G536" s="132" t="s">
        <v>184</v>
      </c>
      <c r="H536" s="132">
        <v>161.09611000000001</v>
      </c>
      <c r="I536" s="132">
        <v>1</v>
      </c>
      <c r="J536" s="197">
        <v>161.09611000000001</v>
      </c>
      <c r="K536" s="197">
        <v>161.09611000000001</v>
      </c>
      <c r="L536" s="197">
        <v>1</v>
      </c>
      <c r="M536" s="197">
        <v>161.09611000000001</v>
      </c>
      <c r="N536" s="6" t="s">
        <v>1145</v>
      </c>
      <c r="O536" s="133">
        <v>45391</v>
      </c>
      <c r="P536" s="122" t="str">
        <f>HYPERLINK("https://my.zakupivli.pro/remote/dispatcher/state_purchase_view/50294092", "UA-2024-04-09-001535-a")</f>
        <v>UA-2024-04-09-001535-a</v>
      </c>
      <c r="Q536" s="197">
        <v>161.09611000000001</v>
      </c>
      <c r="R536" s="197">
        <v>1</v>
      </c>
      <c r="S536" s="197">
        <v>161.09611000000001</v>
      </c>
      <c r="T536" s="198">
        <v>45390</v>
      </c>
      <c r="U536" s="132"/>
      <c r="V536" s="197" t="s">
        <v>59</v>
      </c>
    </row>
    <row r="537" spans="1:22" ht="62.4" x14ac:dyDescent="0.3">
      <c r="A537" s="132">
        <v>531</v>
      </c>
      <c r="B537" s="197" t="s">
        <v>40</v>
      </c>
      <c r="C537" s="44" t="s">
        <v>542</v>
      </c>
      <c r="D537" s="132"/>
      <c r="E537" s="197" t="s">
        <v>75</v>
      </c>
      <c r="F537" s="44" t="s">
        <v>1140</v>
      </c>
      <c r="G537" s="132" t="s">
        <v>184</v>
      </c>
      <c r="H537" s="132">
        <v>172.53681</v>
      </c>
      <c r="I537" s="132">
        <v>1</v>
      </c>
      <c r="J537" s="197">
        <v>172.53681</v>
      </c>
      <c r="K537" s="197">
        <v>172.53681</v>
      </c>
      <c r="L537" s="197">
        <v>1</v>
      </c>
      <c r="M537" s="197">
        <v>172.53681</v>
      </c>
      <c r="N537" s="6" t="s">
        <v>1146</v>
      </c>
      <c r="O537" s="198">
        <v>45391</v>
      </c>
      <c r="P537" s="122" t="str">
        <f>HYPERLINK("https://my.zakupivli.pro/remote/dispatcher/state_purchase_view/50293396", "UA-2024-04-09-001245-a")</f>
        <v>UA-2024-04-09-001245-a</v>
      </c>
      <c r="Q537" s="197">
        <v>172.53681</v>
      </c>
      <c r="R537" s="197">
        <v>1</v>
      </c>
      <c r="S537" s="197">
        <v>172.53681</v>
      </c>
      <c r="T537" s="198">
        <v>45390</v>
      </c>
      <c r="U537" s="132"/>
      <c r="V537" s="197" t="s">
        <v>59</v>
      </c>
    </row>
    <row r="538" spans="1:22" ht="62.4" x14ac:dyDescent="0.3">
      <c r="A538" s="132">
        <v>532</v>
      </c>
      <c r="B538" s="197" t="s">
        <v>21</v>
      </c>
      <c r="C538" s="44" t="s">
        <v>1143</v>
      </c>
      <c r="D538" s="132"/>
      <c r="E538" s="197" t="s">
        <v>75</v>
      </c>
      <c r="F538" s="44" t="s">
        <v>1141</v>
      </c>
      <c r="G538" s="132" t="s">
        <v>186</v>
      </c>
      <c r="H538" s="132"/>
      <c r="I538" s="132">
        <v>3</v>
      </c>
      <c r="J538" s="132">
        <v>71.331670000000003</v>
      </c>
      <c r="K538" s="132"/>
      <c r="L538" s="197">
        <v>3</v>
      </c>
      <c r="M538" s="197">
        <v>71.331670000000003</v>
      </c>
      <c r="N538" s="6" t="s">
        <v>1147</v>
      </c>
      <c r="O538" s="198">
        <v>45391</v>
      </c>
      <c r="P538" s="122" t="str">
        <f>HYPERLINK("https://my.zakupivli.pro/remote/dispatcher/state_purchase_view/50291280", "UA-2024-04-09-000302-a")</f>
        <v>UA-2024-04-09-000302-a</v>
      </c>
      <c r="Q538" s="132"/>
      <c r="R538" s="197">
        <v>3</v>
      </c>
      <c r="S538" s="197">
        <v>71.331670000000003</v>
      </c>
      <c r="T538" s="198">
        <v>45390</v>
      </c>
      <c r="U538" s="132"/>
      <c r="V538" s="197" t="s">
        <v>59</v>
      </c>
    </row>
    <row r="539" spans="1:22" ht="62.4" x14ac:dyDescent="0.3">
      <c r="A539" s="132">
        <v>533</v>
      </c>
      <c r="B539" s="197" t="s">
        <v>21</v>
      </c>
      <c r="C539" s="44" t="s">
        <v>1144</v>
      </c>
      <c r="D539" s="132"/>
      <c r="E539" s="197" t="s">
        <v>75</v>
      </c>
      <c r="F539" s="44" t="s">
        <v>1142</v>
      </c>
      <c r="G539" s="132" t="s">
        <v>186</v>
      </c>
      <c r="H539" s="132"/>
      <c r="I539" s="132">
        <v>2</v>
      </c>
      <c r="J539" s="132">
        <v>69.768339999999995</v>
      </c>
      <c r="K539" s="132"/>
      <c r="L539" s="197">
        <v>2</v>
      </c>
      <c r="M539" s="197">
        <v>69.768339999999995</v>
      </c>
      <c r="N539" s="6" t="s">
        <v>1148</v>
      </c>
      <c r="O539" s="198">
        <v>45391</v>
      </c>
      <c r="P539" s="122" t="str">
        <f>HYPERLINK("https://my.zakupivli.pro/remote/dispatcher/state_purchase_view/50290774", "UA-2024-04-09-000106-a")</f>
        <v>UA-2024-04-09-000106-a</v>
      </c>
      <c r="Q539" s="132"/>
      <c r="R539" s="197">
        <v>2</v>
      </c>
      <c r="S539" s="197">
        <v>69.768339999999995</v>
      </c>
      <c r="T539" s="198">
        <v>45390</v>
      </c>
      <c r="U539" s="132"/>
      <c r="V539" s="197" t="s">
        <v>59</v>
      </c>
    </row>
    <row r="540" spans="1:22" ht="78" x14ac:dyDescent="0.3">
      <c r="A540" s="132">
        <v>534</v>
      </c>
      <c r="B540" s="132" t="s">
        <v>1151</v>
      </c>
      <c r="C540" s="44" t="s">
        <v>1153</v>
      </c>
      <c r="D540" s="132"/>
      <c r="E540" s="197" t="s">
        <v>75</v>
      </c>
      <c r="F540" s="44" t="s">
        <v>1149</v>
      </c>
      <c r="G540" s="132" t="s">
        <v>1150</v>
      </c>
      <c r="H540" s="119">
        <v>45.5</v>
      </c>
      <c r="I540" s="132">
        <v>1</v>
      </c>
      <c r="J540" s="119">
        <v>45.5</v>
      </c>
      <c r="K540" s="119">
        <v>45.5</v>
      </c>
      <c r="L540" s="197">
        <v>1</v>
      </c>
      <c r="M540" s="119">
        <v>45.5</v>
      </c>
      <c r="N540" s="6" t="s">
        <v>1152</v>
      </c>
      <c r="O540" s="133">
        <v>45391</v>
      </c>
      <c r="P540" s="33" t="str">
        <f>HYPERLINK("https://my.zakupivli.pro/remote/dispatcher/state_purchase_view/50317147", "UA-2024-04-09-011832-a")</f>
        <v>UA-2024-04-09-011832-a</v>
      </c>
      <c r="Q540" s="119">
        <v>45.5</v>
      </c>
      <c r="R540" s="197">
        <v>1</v>
      </c>
      <c r="S540" s="119">
        <v>45.5</v>
      </c>
      <c r="T540" s="198">
        <v>45391</v>
      </c>
      <c r="U540" s="132"/>
      <c r="V540" s="197" t="s">
        <v>59</v>
      </c>
    </row>
    <row r="541" spans="1:22" ht="46.8" x14ac:dyDescent="0.3">
      <c r="A541" s="132">
        <v>535</v>
      </c>
      <c r="B541" s="199" t="s">
        <v>21</v>
      </c>
      <c r="C541" s="44" t="s">
        <v>32</v>
      </c>
      <c r="D541" s="132"/>
      <c r="E541" s="199" t="s">
        <v>373</v>
      </c>
      <c r="F541" s="44" t="s">
        <v>1154</v>
      </c>
      <c r="G541" s="132" t="s">
        <v>186</v>
      </c>
      <c r="H541" s="132"/>
      <c r="I541" s="132">
        <v>16</v>
      </c>
      <c r="J541" s="199">
        <v>11816.075000000001</v>
      </c>
      <c r="K541" s="199"/>
      <c r="L541" s="199">
        <v>16</v>
      </c>
      <c r="M541" s="199">
        <v>11816.075000000001</v>
      </c>
      <c r="N541" s="6" t="s">
        <v>1157</v>
      </c>
      <c r="O541" s="133">
        <v>45392</v>
      </c>
      <c r="P541" s="33" t="str">
        <f>HYPERLINK("https://my.zakupivli.pro/remote/dispatcher/state_purchase_view/50343438", "UA-2024-04-10-010420-a")</f>
        <v>UA-2024-04-10-010420-a</v>
      </c>
      <c r="Q541" s="132"/>
      <c r="R541" s="132">
        <v>16</v>
      </c>
      <c r="S541" s="132">
        <v>11797.116</v>
      </c>
      <c r="T541" s="133"/>
      <c r="U541" s="132"/>
      <c r="V541" s="132"/>
    </row>
    <row r="542" spans="1:22" ht="62.4" x14ac:dyDescent="0.3">
      <c r="A542" s="132">
        <v>536</v>
      </c>
      <c r="B542" s="199" t="s">
        <v>21</v>
      </c>
      <c r="C542" s="44" t="s">
        <v>1156</v>
      </c>
      <c r="D542" s="132"/>
      <c r="E542" s="199" t="s">
        <v>75</v>
      </c>
      <c r="F542" s="44" t="s">
        <v>1155</v>
      </c>
      <c r="G542" s="132" t="s">
        <v>1159</v>
      </c>
      <c r="H542" s="132"/>
      <c r="I542" s="132">
        <v>750</v>
      </c>
      <c r="J542" s="132">
        <v>78.674999999999997</v>
      </c>
      <c r="K542" s="132"/>
      <c r="L542" s="199">
        <v>750</v>
      </c>
      <c r="M542" s="199">
        <v>78.674999999999997</v>
      </c>
      <c r="N542" s="6" t="s">
        <v>1158</v>
      </c>
      <c r="O542" s="200">
        <v>45392</v>
      </c>
      <c r="P542" s="33" t="str">
        <f>HYPERLINK("https://my.zakupivli.pro/remote/dispatcher/state_purchase_view/50326211", "UA-2024-04-10-002649-a")</f>
        <v>UA-2024-04-10-002649-a</v>
      </c>
      <c r="Q542" s="132"/>
      <c r="R542" s="199">
        <v>750</v>
      </c>
      <c r="S542" s="199">
        <v>78.674999999999997</v>
      </c>
      <c r="T542" s="200">
        <v>45392</v>
      </c>
      <c r="U542" s="132"/>
      <c r="V542" s="199" t="s">
        <v>59</v>
      </c>
    </row>
    <row r="543" spans="1:22" ht="62.4" x14ac:dyDescent="0.3">
      <c r="A543" s="132">
        <v>537</v>
      </c>
      <c r="B543" s="202" t="s">
        <v>40</v>
      </c>
      <c r="C543" s="44" t="s">
        <v>73</v>
      </c>
      <c r="D543" s="132"/>
      <c r="E543" s="202" t="s">
        <v>75</v>
      </c>
      <c r="F543" s="44" t="s">
        <v>1160</v>
      </c>
      <c r="G543" s="132" t="s">
        <v>184</v>
      </c>
      <c r="H543" s="132">
        <v>159.22534999999999</v>
      </c>
      <c r="I543" s="132">
        <v>1</v>
      </c>
      <c r="J543" s="202">
        <v>159.22534999999999</v>
      </c>
      <c r="K543" s="202">
        <v>159.22534999999999</v>
      </c>
      <c r="L543" s="202">
        <v>1</v>
      </c>
      <c r="M543" s="202">
        <v>159.22534999999999</v>
      </c>
      <c r="N543" s="6" t="s">
        <v>1161</v>
      </c>
      <c r="O543" s="133">
        <v>45393</v>
      </c>
      <c r="P543" s="33" t="str">
        <f>HYPERLINK("https://my.zakupivli.pro/remote/dispatcher/state_purchase_view/50369574", "UA-2024-04-11-009544-a")</f>
        <v>UA-2024-04-11-009544-a</v>
      </c>
      <c r="Q543" s="202">
        <v>159.22534999999999</v>
      </c>
      <c r="R543" s="202">
        <v>1</v>
      </c>
      <c r="S543" s="202">
        <v>159.22534999999999</v>
      </c>
      <c r="T543" s="201">
        <v>45393</v>
      </c>
      <c r="U543" s="132"/>
      <c r="V543" s="202" t="s">
        <v>59</v>
      </c>
    </row>
    <row r="544" spans="1:22" ht="62.4" x14ac:dyDescent="0.3">
      <c r="A544" s="132">
        <v>538</v>
      </c>
      <c r="B544" s="203" t="s">
        <v>21</v>
      </c>
      <c r="C544" s="41" t="s">
        <v>1070</v>
      </c>
      <c r="D544" s="132"/>
      <c r="E544" s="203" t="s">
        <v>75</v>
      </c>
      <c r="F544" s="44" t="s">
        <v>1068</v>
      </c>
      <c r="G544" s="205" t="s">
        <v>186</v>
      </c>
      <c r="H544" s="132"/>
      <c r="I544" s="132">
        <v>11</v>
      </c>
      <c r="J544" s="132">
        <v>83.200999999999993</v>
      </c>
      <c r="K544" s="132"/>
      <c r="L544" s="203">
        <v>11</v>
      </c>
      <c r="M544" s="203">
        <v>83.200999999999993</v>
      </c>
      <c r="N544" s="6" t="s">
        <v>1162</v>
      </c>
      <c r="O544" s="133"/>
      <c r="P544" s="33" t="str">
        <f>HYPERLINK("https://my.zakupivli.pro/remote/dispatcher/state_purchase_view/50398330", "UA-2024-04-12-009467-a")</f>
        <v>UA-2024-04-12-009467-a</v>
      </c>
      <c r="Q544" s="132"/>
      <c r="R544" s="203">
        <v>11</v>
      </c>
      <c r="S544" s="203">
        <v>83.200999999999993</v>
      </c>
      <c r="T544" s="133">
        <v>45394</v>
      </c>
      <c r="U544" s="132"/>
      <c r="V544" s="203" t="s">
        <v>59</v>
      </c>
    </row>
    <row r="545" spans="1:22" ht="62.4" x14ac:dyDescent="0.3">
      <c r="A545" s="132">
        <v>539</v>
      </c>
      <c r="B545" s="204" t="s">
        <v>21</v>
      </c>
      <c r="C545" s="44" t="s">
        <v>1164</v>
      </c>
      <c r="D545" s="132"/>
      <c r="E545" s="204" t="s">
        <v>75</v>
      </c>
      <c r="F545" s="208" t="s">
        <v>1163</v>
      </c>
      <c r="G545" s="132" t="s">
        <v>185</v>
      </c>
      <c r="H545" s="132"/>
      <c r="I545" s="132">
        <v>359</v>
      </c>
      <c r="J545" s="132">
        <v>42.864600000000003</v>
      </c>
      <c r="K545" s="132"/>
      <c r="L545" s="204">
        <v>359</v>
      </c>
      <c r="M545" s="204">
        <v>42.864600000000003</v>
      </c>
      <c r="N545" s="6" t="s">
        <v>1165</v>
      </c>
      <c r="O545" s="133">
        <v>45398</v>
      </c>
      <c r="P545" s="33" t="str">
        <f>HYPERLINK("https://my.zakupivli.pro/remote/dispatcher/state_purchase_view/50434062", "UA-2024-04-16-000092-a")</f>
        <v>UA-2024-04-16-000092-a</v>
      </c>
      <c r="Q545" s="132"/>
      <c r="R545" s="204">
        <v>359</v>
      </c>
      <c r="S545" s="204">
        <v>42.864600000000003</v>
      </c>
      <c r="T545" s="133">
        <v>45397</v>
      </c>
      <c r="U545" s="132"/>
      <c r="V545" s="204" t="s">
        <v>59</v>
      </c>
    </row>
    <row r="546" spans="1:22" ht="46.8" x14ac:dyDescent="0.3">
      <c r="A546" s="132">
        <v>540</v>
      </c>
      <c r="B546" s="206" t="s">
        <v>21</v>
      </c>
      <c r="C546" s="44" t="s">
        <v>1169</v>
      </c>
      <c r="D546" s="206" t="s">
        <v>58</v>
      </c>
      <c r="E546" s="206" t="s">
        <v>75</v>
      </c>
      <c r="F546" s="44" t="s">
        <v>1166</v>
      </c>
      <c r="G546" s="107" t="s">
        <v>186</v>
      </c>
      <c r="H546" s="132"/>
      <c r="I546" s="132">
        <v>4</v>
      </c>
      <c r="J546" s="119">
        <v>1298</v>
      </c>
      <c r="K546" s="132"/>
      <c r="L546" s="206">
        <v>4</v>
      </c>
      <c r="M546" s="119">
        <v>1298</v>
      </c>
      <c r="N546" s="6" t="s">
        <v>1170</v>
      </c>
      <c r="O546" s="133">
        <v>45400</v>
      </c>
      <c r="P546" s="33" t="str">
        <f>HYPERLINK("https://my.zakupivli.pro/remote/dispatcher/state_purchase_view/50523737", "UA-2024-04-18-012162-a")</f>
        <v>UA-2024-04-18-012162-a</v>
      </c>
      <c r="Q546" s="132"/>
      <c r="R546" s="132">
        <v>4</v>
      </c>
      <c r="S546" s="119">
        <v>1297</v>
      </c>
      <c r="T546" s="133">
        <v>45414</v>
      </c>
      <c r="U546" s="132"/>
      <c r="V546" s="132"/>
    </row>
    <row r="547" spans="1:22" ht="62.4" x14ac:dyDescent="0.3">
      <c r="A547" s="132">
        <v>541</v>
      </c>
      <c r="B547" s="206" t="s">
        <v>40</v>
      </c>
      <c r="C547" s="44" t="s">
        <v>885</v>
      </c>
      <c r="D547" s="132"/>
      <c r="E547" s="206" t="s">
        <v>373</v>
      </c>
      <c r="F547" s="44" t="s">
        <v>1167</v>
      </c>
      <c r="G547" s="107" t="s">
        <v>184</v>
      </c>
      <c r="H547" s="132">
        <v>254.27267000000001</v>
      </c>
      <c r="I547" s="132">
        <v>1</v>
      </c>
      <c r="J547" s="206">
        <v>254.27267000000001</v>
      </c>
      <c r="K547" s="206">
        <v>254.27267000000001</v>
      </c>
      <c r="L547" s="206">
        <v>1</v>
      </c>
      <c r="M547" s="206">
        <v>254.27267000000001</v>
      </c>
      <c r="N547" s="6" t="s">
        <v>1171</v>
      </c>
      <c r="O547" s="207">
        <v>45400</v>
      </c>
      <c r="P547" s="33" t="str">
        <f>HYPERLINK("https://my.zakupivli.pro/remote/dispatcher/state_purchase_view/50523214", "UA-2024-04-18-011880-a")</f>
        <v>UA-2024-04-18-011880-a</v>
      </c>
      <c r="Q547" s="206">
        <v>254.27267000000001</v>
      </c>
      <c r="R547" s="206">
        <v>1</v>
      </c>
      <c r="S547" s="206">
        <v>254.27267000000001</v>
      </c>
      <c r="T547" s="207">
        <v>45400</v>
      </c>
      <c r="U547" s="132"/>
      <c r="V547" s="206" t="s">
        <v>59</v>
      </c>
    </row>
    <row r="548" spans="1:22" ht="62.4" x14ac:dyDescent="0.3">
      <c r="A548" s="132">
        <v>542</v>
      </c>
      <c r="B548" s="206" t="s">
        <v>40</v>
      </c>
      <c r="C548" s="44" t="s">
        <v>41</v>
      </c>
      <c r="D548" s="132"/>
      <c r="E548" s="206" t="s">
        <v>75</v>
      </c>
      <c r="F548" s="44" t="s">
        <v>1168</v>
      </c>
      <c r="G548" s="107" t="s">
        <v>184</v>
      </c>
      <c r="H548" s="132">
        <v>639.673</v>
      </c>
      <c r="I548" s="132">
        <v>1</v>
      </c>
      <c r="J548" s="206">
        <v>639.673</v>
      </c>
      <c r="K548" s="206">
        <v>639.673</v>
      </c>
      <c r="L548" s="206">
        <v>1</v>
      </c>
      <c r="M548" s="206">
        <v>639.673</v>
      </c>
      <c r="N548" s="6" t="s">
        <v>1172</v>
      </c>
      <c r="O548" s="207">
        <v>45400</v>
      </c>
      <c r="P548" s="33" t="str">
        <f>HYPERLINK("https://my.zakupivli.pro/remote/dispatcher/state_purchase_view/50517136", "UA-2024-04-18-009207-a")</f>
        <v>UA-2024-04-18-009207-a</v>
      </c>
      <c r="Q548" s="206">
        <v>639.673</v>
      </c>
      <c r="R548" s="206">
        <v>1</v>
      </c>
      <c r="S548" s="206">
        <v>639.673</v>
      </c>
      <c r="T548" s="207">
        <v>45400</v>
      </c>
      <c r="U548" s="132"/>
      <c r="V548" s="206" t="s">
        <v>59</v>
      </c>
    </row>
    <row r="549" spans="1:22" ht="62.4" x14ac:dyDescent="0.3">
      <c r="A549" s="132">
        <v>543</v>
      </c>
      <c r="B549" s="209" t="s">
        <v>40</v>
      </c>
      <c r="C549" s="44" t="s">
        <v>41</v>
      </c>
      <c r="D549" s="132"/>
      <c r="E549" s="209" t="s">
        <v>373</v>
      </c>
      <c r="F549" s="44" t="s">
        <v>1174</v>
      </c>
      <c r="G549" s="107" t="s">
        <v>184</v>
      </c>
      <c r="H549" s="132">
        <v>463.27404000000001</v>
      </c>
      <c r="I549" s="132">
        <v>1</v>
      </c>
      <c r="J549" s="209">
        <v>463.27404000000001</v>
      </c>
      <c r="K549" s="209">
        <v>463.27404000000001</v>
      </c>
      <c r="L549" s="209">
        <v>1</v>
      </c>
      <c r="M549" s="209">
        <v>463.27404000000001</v>
      </c>
      <c r="N549" s="6" t="s">
        <v>1175</v>
      </c>
      <c r="O549" s="210">
        <v>45406</v>
      </c>
      <c r="P549" s="42" t="str">
        <f>HYPERLINK("https://my.zakupivli.pro/remote/dispatcher/state_purchase_view/50625843", "UA-2024-04-24-006858-a")</f>
        <v>UA-2024-04-24-006858-a</v>
      </c>
      <c r="Q549" s="209">
        <v>463.27404000000001</v>
      </c>
      <c r="R549" s="209">
        <v>1</v>
      </c>
      <c r="S549" s="209">
        <v>463.27404000000001</v>
      </c>
      <c r="T549" s="133">
        <v>45406</v>
      </c>
      <c r="U549" s="132"/>
      <c r="V549" s="209" t="s">
        <v>59</v>
      </c>
    </row>
    <row r="550" spans="1:22" ht="78" x14ac:dyDescent="0.3">
      <c r="A550" s="132">
        <v>544</v>
      </c>
      <c r="B550" s="211" t="s">
        <v>21</v>
      </c>
      <c r="C550" s="156" t="s">
        <v>1179</v>
      </c>
      <c r="D550" s="216" t="s">
        <v>58</v>
      </c>
      <c r="E550" s="211" t="s">
        <v>75</v>
      </c>
      <c r="F550" s="96" t="s">
        <v>1176</v>
      </c>
      <c r="G550" s="132" t="s">
        <v>185</v>
      </c>
      <c r="H550" s="132"/>
      <c r="I550" s="132">
        <v>2</v>
      </c>
      <c r="J550" s="119">
        <v>252.75</v>
      </c>
      <c r="K550" s="132"/>
      <c r="L550" s="211">
        <v>2</v>
      </c>
      <c r="M550" s="119">
        <v>252.75</v>
      </c>
      <c r="N550" s="6" t="s">
        <v>1177</v>
      </c>
      <c r="O550" s="133">
        <v>45407</v>
      </c>
      <c r="P550" s="213" t="s">
        <v>1178</v>
      </c>
      <c r="Q550" s="132"/>
      <c r="R550" s="132"/>
      <c r="S550" s="132"/>
      <c r="T550" s="133"/>
      <c r="U550" s="230" t="s">
        <v>93</v>
      </c>
      <c r="V550" s="132"/>
    </row>
    <row r="551" spans="1:22" ht="78" x14ac:dyDescent="0.3">
      <c r="A551" s="132">
        <v>545</v>
      </c>
      <c r="B551" s="212" t="s">
        <v>40</v>
      </c>
      <c r="C551" s="44" t="s">
        <v>885</v>
      </c>
      <c r="D551" s="132"/>
      <c r="E551" s="212" t="s">
        <v>373</v>
      </c>
      <c r="F551" s="44" t="s">
        <v>1180</v>
      </c>
      <c r="G551" s="107" t="s">
        <v>184</v>
      </c>
      <c r="H551" s="132">
        <v>116.39008</v>
      </c>
      <c r="I551" s="132">
        <v>1</v>
      </c>
      <c r="J551" s="212">
        <v>116.39008</v>
      </c>
      <c r="K551" s="212">
        <v>116.39008</v>
      </c>
      <c r="L551" s="212">
        <v>1</v>
      </c>
      <c r="M551" s="212">
        <v>116.39008</v>
      </c>
      <c r="N551" s="6" t="s">
        <v>1181</v>
      </c>
      <c r="O551" s="133">
        <v>45408</v>
      </c>
      <c r="P551" s="33" t="str">
        <f>HYPERLINK("https://my.zakupivli.pro/remote/dispatcher/state_purchase_view/50678782", "UA-2024-04-26-001577-a")</f>
        <v>UA-2024-04-26-001577-a</v>
      </c>
      <c r="Q551" s="212">
        <v>116.39008</v>
      </c>
      <c r="R551" s="212">
        <v>1</v>
      </c>
      <c r="S551" s="212">
        <v>116.39008</v>
      </c>
      <c r="T551" s="133">
        <v>45407</v>
      </c>
      <c r="U551" s="132"/>
      <c r="V551" s="212" t="s">
        <v>59</v>
      </c>
    </row>
    <row r="552" spans="1:22" ht="62.4" x14ac:dyDescent="0.3">
      <c r="A552" s="132">
        <v>546</v>
      </c>
      <c r="B552" s="214" t="s">
        <v>40</v>
      </c>
      <c r="C552" s="44" t="s">
        <v>73</v>
      </c>
      <c r="D552" s="132"/>
      <c r="E552" s="214" t="s">
        <v>75</v>
      </c>
      <c r="F552" s="44" t="s">
        <v>1182</v>
      </c>
      <c r="G552" s="107" t="s">
        <v>184</v>
      </c>
      <c r="H552" s="132">
        <v>57.985419999999998</v>
      </c>
      <c r="I552" s="214">
        <v>1</v>
      </c>
      <c r="J552" s="214">
        <v>57.985419999999998</v>
      </c>
      <c r="K552" s="214">
        <v>57.985419999999998</v>
      </c>
      <c r="L552" s="214">
        <v>1</v>
      </c>
      <c r="M552" s="214">
        <v>57.985419999999998</v>
      </c>
      <c r="N552" s="6" t="s">
        <v>1185</v>
      </c>
      <c r="O552" s="133">
        <v>45412</v>
      </c>
      <c r="P552" s="33" t="str">
        <f>HYPERLINK("https://my.zakupivli.pro/remote/dispatcher/state_purchase_view/50748827", "UA-2024-04-30-008406-a")</f>
        <v>UA-2024-04-30-008406-a</v>
      </c>
      <c r="Q552" s="214">
        <v>57.985419999999998</v>
      </c>
      <c r="R552" s="214">
        <v>1</v>
      </c>
      <c r="S552" s="214">
        <v>57.985419999999998</v>
      </c>
      <c r="T552" s="215">
        <v>45412</v>
      </c>
      <c r="U552" s="132"/>
      <c r="V552" s="214" t="s">
        <v>59</v>
      </c>
    </row>
    <row r="553" spans="1:22" ht="62.4" x14ac:dyDescent="0.3">
      <c r="A553" s="132">
        <v>547</v>
      </c>
      <c r="B553" s="214" t="s">
        <v>40</v>
      </c>
      <c r="C553" s="44" t="s">
        <v>41</v>
      </c>
      <c r="D553" s="132"/>
      <c r="E553" s="214" t="s">
        <v>373</v>
      </c>
      <c r="F553" s="44" t="s">
        <v>1183</v>
      </c>
      <c r="G553" s="107" t="s">
        <v>184</v>
      </c>
      <c r="H553" s="214">
        <v>200.37389999999999</v>
      </c>
      <c r="I553" s="214">
        <v>1</v>
      </c>
      <c r="J553" s="132">
        <v>200.37389999999999</v>
      </c>
      <c r="K553" s="214">
        <v>200.37389999999999</v>
      </c>
      <c r="L553" s="214">
        <v>1</v>
      </c>
      <c r="M553" s="214">
        <v>200.37389999999999</v>
      </c>
      <c r="N553" s="6" t="s">
        <v>1186</v>
      </c>
      <c r="O553" s="215">
        <v>45412</v>
      </c>
      <c r="P553" s="33" t="str">
        <f>HYPERLINK("https://my.zakupivli.pro/remote/dispatcher/state_purchase_view/50747345", "UA-2024-04-30-007763-a")</f>
        <v>UA-2024-04-30-007763-a</v>
      </c>
      <c r="Q553" s="214">
        <v>200.37389999999999</v>
      </c>
      <c r="R553" s="214">
        <v>1</v>
      </c>
      <c r="S553" s="214">
        <v>200.37389999999999</v>
      </c>
      <c r="T553" s="215">
        <v>45412</v>
      </c>
      <c r="U553" s="132"/>
      <c r="V553" s="214" t="s">
        <v>59</v>
      </c>
    </row>
    <row r="554" spans="1:22" ht="62.4" x14ac:dyDescent="0.3">
      <c r="A554" s="132">
        <v>548</v>
      </c>
      <c r="B554" s="214" t="s">
        <v>40</v>
      </c>
      <c r="C554" s="44" t="s">
        <v>885</v>
      </c>
      <c r="D554" s="132"/>
      <c r="E554" s="214" t="s">
        <v>373</v>
      </c>
      <c r="F554" s="44" t="s">
        <v>1184</v>
      </c>
      <c r="G554" s="107" t="s">
        <v>184</v>
      </c>
      <c r="H554" s="132">
        <v>304.02249999999998</v>
      </c>
      <c r="I554" s="214">
        <v>1</v>
      </c>
      <c r="J554" s="214">
        <v>304.02249999999998</v>
      </c>
      <c r="K554" s="214">
        <v>304.02249999999998</v>
      </c>
      <c r="L554" s="214">
        <v>1</v>
      </c>
      <c r="M554" s="214">
        <v>304.02249999999998</v>
      </c>
      <c r="N554" s="6" t="s">
        <v>1187</v>
      </c>
      <c r="O554" s="215">
        <v>45412</v>
      </c>
      <c r="P554" s="33" t="str">
        <f>HYPERLINK("https://my.zakupivli.pro/remote/dispatcher/state_purchase_view/50747236", "UA-2024-04-30-007691-a")</f>
        <v>UA-2024-04-30-007691-a</v>
      </c>
      <c r="Q554" s="214">
        <v>304.02249999999998</v>
      </c>
      <c r="R554" s="214">
        <v>1</v>
      </c>
      <c r="S554" s="214">
        <v>304.02249999999998</v>
      </c>
      <c r="T554" s="215">
        <v>45412</v>
      </c>
      <c r="U554" s="132"/>
      <c r="V554" s="214" t="s">
        <v>59</v>
      </c>
    </row>
    <row r="555" spans="1:22" ht="62.4" x14ac:dyDescent="0.3">
      <c r="A555" s="132">
        <v>549</v>
      </c>
      <c r="B555" s="216" t="s">
        <v>21</v>
      </c>
      <c r="C555" s="44" t="s">
        <v>413</v>
      </c>
      <c r="D555" s="132"/>
      <c r="E555" s="216" t="s">
        <v>75</v>
      </c>
      <c r="F555" s="44" t="s">
        <v>1188</v>
      </c>
      <c r="G555" s="132" t="s">
        <v>185</v>
      </c>
      <c r="H555" s="119">
        <v>64.5</v>
      </c>
      <c r="I555" s="132">
        <v>1</v>
      </c>
      <c r="J555" s="119">
        <v>64.5</v>
      </c>
      <c r="K555" s="119">
        <v>64.5</v>
      </c>
      <c r="L555" s="216">
        <v>1</v>
      </c>
      <c r="M555" s="119">
        <v>64.5</v>
      </c>
      <c r="N555" s="6" t="s">
        <v>1189</v>
      </c>
      <c r="O555" s="133">
        <v>45418</v>
      </c>
      <c r="P555" s="33" t="str">
        <f>HYPERLINK("https://my.zakupivli.pro/remote/dispatcher/state_purchase_view/50828435", "UA-2024-05-06-000775-a")</f>
        <v>UA-2024-05-06-000775-a</v>
      </c>
      <c r="Q555" s="119">
        <v>64.5</v>
      </c>
      <c r="R555" s="216">
        <v>1</v>
      </c>
      <c r="S555" s="119">
        <v>64.5</v>
      </c>
      <c r="T555" s="133">
        <v>45418</v>
      </c>
      <c r="U555" s="132"/>
      <c r="V555" s="216" t="s">
        <v>59</v>
      </c>
    </row>
    <row r="556" spans="1:22" ht="62.4" x14ac:dyDescent="0.3">
      <c r="A556" s="132">
        <v>550</v>
      </c>
      <c r="B556" s="217" t="s">
        <v>40</v>
      </c>
      <c r="C556" s="44" t="s">
        <v>885</v>
      </c>
      <c r="D556" s="132"/>
      <c r="E556" s="217" t="s">
        <v>373</v>
      </c>
      <c r="F556" s="44" t="s">
        <v>1190</v>
      </c>
      <c r="G556" s="107" t="s">
        <v>184</v>
      </c>
      <c r="H556" s="132">
        <v>301.01701000000003</v>
      </c>
      <c r="I556" s="132">
        <v>1</v>
      </c>
      <c r="J556" s="217">
        <v>301.01701000000003</v>
      </c>
      <c r="K556" s="217">
        <v>301.01701000000003</v>
      </c>
      <c r="L556" s="217">
        <v>1</v>
      </c>
      <c r="M556" s="217">
        <v>301.01701000000003</v>
      </c>
      <c r="N556" s="6" t="s">
        <v>1191</v>
      </c>
      <c r="O556" s="218">
        <v>45418</v>
      </c>
      <c r="P556" s="33" t="str">
        <f>HYPERLINK("https://my.zakupivli.pro/remote/dispatcher/state_purchase_view/50840153", "UA-2024-05-06-005957-a")</f>
        <v>UA-2024-05-06-005957-a</v>
      </c>
      <c r="Q556" s="217">
        <v>301.01701000000003</v>
      </c>
      <c r="R556" s="217">
        <v>1</v>
      </c>
      <c r="S556" s="217">
        <v>301.01701000000003</v>
      </c>
      <c r="T556" s="218">
        <v>45418</v>
      </c>
      <c r="U556" s="132"/>
      <c r="V556" s="217" t="s">
        <v>59</v>
      </c>
    </row>
    <row r="557" spans="1:22" ht="62.4" x14ac:dyDescent="0.3">
      <c r="A557" s="132">
        <v>551</v>
      </c>
      <c r="B557" s="220" t="s">
        <v>40</v>
      </c>
      <c r="C557" s="44" t="s">
        <v>73</v>
      </c>
      <c r="D557" s="132"/>
      <c r="E557" s="220" t="s">
        <v>75</v>
      </c>
      <c r="F557" s="44" t="s">
        <v>1192</v>
      </c>
      <c r="G557" s="107" t="s">
        <v>184</v>
      </c>
      <c r="H557" s="132">
        <v>1249.1666700000001</v>
      </c>
      <c r="I557" s="220">
        <v>1</v>
      </c>
      <c r="J557" s="220">
        <v>1249.1666700000001</v>
      </c>
      <c r="K557" s="220">
        <v>1249.1666700000001</v>
      </c>
      <c r="L557" s="220">
        <v>1</v>
      </c>
      <c r="M557" s="220">
        <v>1249.1666700000001</v>
      </c>
      <c r="N557" s="6" t="s">
        <v>1194</v>
      </c>
      <c r="O557" s="219">
        <v>45419</v>
      </c>
      <c r="P557" s="33" t="str">
        <f>HYPERLINK("https://my.zakupivli.pro/remote/dispatcher/state_purchase_view/50870545", "UA-2024-05-08-001172-a")</f>
        <v>UA-2024-05-08-001172-a</v>
      </c>
      <c r="Q557" s="220">
        <v>1249.1666700000001</v>
      </c>
      <c r="R557" s="220">
        <v>1</v>
      </c>
      <c r="S557" s="220">
        <v>1249.1666700000001</v>
      </c>
      <c r="T557" s="133">
        <v>45420</v>
      </c>
      <c r="U557" s="132"/>
      <c r="V557" s="220" t="s">
        <v>59</v>
      </c>
    </row>
    <row r="558" spans="1:22" ht="62.4" x14ac:dyDescent="0.3">
      <c r="A558" s="132">
        <v>552</v>
      </c>
      <c r="B558" s="220" t="s">
        <v>40</v>
      </c>
      <c r="C558" s="44" t="s">
        <v>73</v>
      </c>
      <c r="D558" s="132"/>
      <c r="E558" s="220" t="s">
        <v>75</v>
      </c>
      <c r="F558" s="44" t="s">
        <v>1193</v>
      </c>
      <c r="G558" s="107" t="s">
        <v>184</v>
      </c>
      <c r="H558" s="220">
        <v>1249.1666700000001</v>
      </c>
      <c r="I558" s="220">
        <v>1</v>
      </c>
      <c r="J558" s="220">
        <v>1249.1666700000001</v>
      </c>
      <c r="K558" s="220">
        <v>1249.1666700000001</v>
      </c>
      <c r="L558" s="220">
        <v>1</v>
      </c>
      <c r="M558" s="220">
        <v>1249.1666700000001</v>
      </c>
      <c r="N558" s="6" t="s">
        <v>1195</v>
      </c>
      <c r="O558" s="219">
        <v>45419</v>
      </c>
      <c r="P558" s="33" t="str">
        <f>HYPERLINK("https://my.zakupivli.pro/remote/dispatcher/state_purchase_view/50869659", "UA-2024-05-08-000784-a")</f>
        <v>UA-2024-05-08-000784-a</v>
      </c>
      <c r="Q558" s="220">
        <v>1249.1666700000001</v>
      </c>
      <c r="R558" s="220">
        <v>1</v>
      </c>
      <c r="S558" s="220">
        <v>1249.1666700000001</v>
      </c>
      <c r="T558" s="219">
        <v>45420</v>
      </c>
      <c r="U558" s="132"/>
      <c r="V558" s="220" t="s">
        <v>59</v>
      </c>
    </row>
    <row r="559" spans="1:22" ht="62.4" x14ac:dyDescent="0.3">
      <c r="A559" s="132">
        <v>553</v>
      </c>
      <c r="B559" s="221" t="s">
        <v>21</v>
      </c>
      <c r="C559" s="44" t="s">
        <v>895</v>
      </c>
      <c r="D559" s="132"/>
      <c r="E559" s="221" t="s">
        <v>75</v>
      </c>
      <c r="F559" s="225" t="s">
        <v>1002</v>
      </c>
      <c r="G559" s="132" t="s">
        <v>185</v>
      </c>
      <c r="H559" s="132">
        <v>17.148</v>
      </c>
      <c r="I559" s="132">
        <v>5</v>
      </c>
      <c r="J559" s="119">
        <v>85.74</v>
      </c>
      <c r="K559" s="221">
        <v>17.148</v>
      </c>
      <c r="L559" s="221">
        <v>5</v>
      </c>
      <c r="M559" s="119">
        <v>85.74</v>
      </c>
      <c r="N559" s="6" t="s">
        <v>1198</v>
      </c>
      <c r="O559" s="133">
        <v>45421</v>
      </c>
      <c r="P559" s="33" t="str">
        <f>HYPERLINK("https://my.zakupivli.pro/remote/dispatcher/state_purchase_view/50900302", "UA-2024-05-09-002161-a")</f>
        <v>UA-2024-05-09-002161-a</v>
      </c>
      <c r="Q559" s="221">
        <v>17.148</v>
      </c>
      <c r="R559" s="221">
        <v>5</v>
      </c>
      <c r="S559" s="119">
        <v>85.74</v>
      </c>
      <c r="T559" s="222">
        <v>45421</v>
      </c>
      <c r="U559" s="132"/>
      <c r="V559" s="221" t="s">
        <v>59</v>
      </c>
    </row>
    <row r="560" spans="1:22" ht="62.4" x14ac:dyDescent="0.3">
      <c r="A560" s="132">
        <v>554</v>
      </c>
      <c r="B560" s="221" t="s">
        <v>21</v>
      </c>
      <c r="C560" s="44" t="s">
        <v>1197</v>
      </c>
      <c r="D560" s="132"/>
      <c r="E560" s="221" t="s">
        <v>75</v>
      </c>
      <c r="F560" s="225" t="s">
        <v>1196</v>
      </c>
      <c r="G560" s="132" t="s">
        <v>186</v>
      </c>
      <c r="H560" s="132"/>
      <c r="I560" s="132">
        <v>3</v>
      </c>
      <c r="J560" s="132">
        <v>55.734999999999999</v>
      </c>
      <c r="K560" s="132"/>
      <c r="L560" s="221">
        <v>3</v>
      </c>
      <c r="M560" s="221">
        <v>55.734999999999999</v>
      </c>
      <c r="N560" s="6" t="s">
        <v>1199</v>
      </c>
      <c r="O560" s="222">
        <v>45421</v>
      </c>
      <c r="P560" s="33" t="str">
        <f>HYPERLINK("https://my.zakupivli.pro/remote/dispatcher/state_purchase_view/50899716", "UA-2024-05-09-001892-a")</f>
        <v>UA-2024-05-09-001892-a</v>
      </c>
      <c r="Q560" s="132"/>
      <c r="R560" s="221">
        <v>3</v>
      </c>
      <c r="S560" s="221">
        <v>55.734999999999999</v>
      </c>
      <c r="T560" s="222">
        <v>45421</v>
      </c>
      <c r="U560" s="132"/>
      <c r="V560" s="221" t="s">
        <v>59</v>
      </c>
    </row>
    <row r="561" spans="1:22" ht="46.8" x14ac:dyDescent="0.3">
      <c r="A561" s="132">
        <v>555</v>
      </c>
      <c r="B561" s="223" t="s">
        <v>21</v>
      </c>
      <c r="C561" s="44" t="s">
        <v>32</v>
      </c>
      <c r="D561" s="223" t="s">
        <v>58</v>
      </c>
      <c r="E561" s="223" t="s">
        <v>75</v>
      </c>
      <c r="F561" s="44" t="s">
        <v>1154</v>
      </c>
      <c r="G561" s="132" t="s">
        <v>185</v>
      </c>
      <c r="H561" s="132"/>
      <c r="I561" s="132">
        <v>3</v>
      </c>
      <c r="J561" s="132">
        <v>423.58332999999999</v>
      </c>
      <c r="K561" s="132"/>
      <c r="L561" s="223">
        <v>3</v>
      </c>
      <c r="M561" s="223">
        <v>423.58332999999999</v>
      </c>
      <c r="N561" s="6" t="s">
        <v>1204</v>
      </c>
      <c r="O561" s="133">
        <v>45422</v>
      </c>
      <c r="P561" s="33" t="str">
        <f>HYPERLINK("https://my.zakupivli.pro/remote/dispatcher/state_purchase_view/50942400", "UA-2024-05-10-008517-a")</f>
        <v>UA-2024-05-10-008517-a</v>
      </c>
      <c r="Q561" s="132"/>
      <c r="R561" s="132">
        <v>3</v>
      </c>
      <c r="S561" s="119">
        <v>412.5</v>
      </c>
      <c r="T561" s="133">
        <v>45441</v>
      </c>
      <c r="U561" s="132"/>
      <c r="V561" s="132"/>
    </row>
    <row r="562" spans="1:22" ht="62.4" x14ac:dyDescent="0.3">
      <c r="A562" s="132">
        <v>556</v>
      </c>
      <c r="B562" s="223" t="s">
        <v>40</v>
      </c>
      <c r="C562" s="44" t="s">
        <v>542</v>
      </c>
      <c r="D562" s="132"/>
      <c r="E562" s="223" t="s">
        <v>75</v>
      </c>
      <c r="F562" s="44" t="s">
        <v>1200</v>
      </c>
      <c r="G562" s="107" t="s">
        <v>184</v>
      </c>
      <c r="H562" s="132">
        <v>341.57116000000002</v>
      </c>
      <c r="I562" s="132">
        <v>1</v>
      </c>
      <c r="J562" s="223">
        <v>341.57116000000002</v>
      </c>
      <c r="K562" s="223">
        <v>341.57116000000002</v>
      </c>
      <c r="L562" s="223">
        <v>1</v>
      </c>
      <c r="M562" s="223">
        <v>341.57116000000002</v>
      </c>
      <c r="N562" s="6" t="s">
        <v>1205</v>
      </c>
      <c r="O562" s="224">
        <v>45422</v>
      </c>
      <c r="P562" s="33" t="str">
        <f>HYPERLINK("https://my.zakupivli.pro/remote/dispatcher/state_purchase_view/50941461", "UA-2024-05-10-008137-a")</f>
        <v>UA-2024-05-10-008137-a</v>
      </c>
      <c r="Q562" s="223">
        <v>341.57116000000002</v>
      </c>
      <c r="R562" s="223">
        <v>1</v>
      </c>
      <c r="S562" s="223">
        <v>341.57116000000002</v>
      </c>
      <c r="T562" s="224">
        <v>45422</v>
      </c>
      <c r="U562" s="132"/>
      <c r="V562" s="226" t="s">
        <v>59</v>
      </c>
    </row>
    <row r="563" spans="1:22" ht="62.4" x14ac:dyDescent="0.3">
      <c r="A563" s="132">
        <v>557</v>
      </c>
      <c r="B563" s="223" t="s">
        <v>40</v>
      </c>
      <c r="C563" s="44" t="s">
        <v>542</v>
      </c>
      <c r="D563" s="132"/>
      <c r="E563" s="226" t="s">
        <v>75</v>
      </c>
      <c r="F563" s="44" t="s">
        <v>1201</v>
      </c>
      <c r="G563" s="107" t="s">
        <v>184</v>
      </c>
      <c r="H563" s="132">
        <v>339.34339999999997</v>
      </c>
      <c r="I563" s="223">
        <v>1</v>
      </c>
      <c r="J563" s="223">
        <v>339.34339999999997</v>
      </c>
      <c r="K563" s="223">
        <v>339.34339999999997</v>
      </c>
      <c r="L563" s="223">
        <v>1</v>
      </c>
      <c r="M563" s="223">
        <v>339.34339999999997</v>
      </c>
      <c r="N563" s="6" t="s">
        <v>1206</v>
      </c>
      <c r="O563" s="224">
        <v>45422</v>
      </c>
      <c r="P563" s="33" t="str">
        <f>HYPERLINK("https://my.zakupivli.pro/remote/dispatcher/state_purchase_view/50941180", "UA-2024-05-10-007968-a")</f>
        <v>UA-2024-05-10-007968-a</v>
      </c>
      <c r="Q563" s="223">
        <v>339.34339999999997</v>
      </c>
      <c r="R563" s="223">
        <v>1</v>
      </c>
      <c r="S563" s="223">
        <v>339.34339999999997</v>
      </c>
      <c r="T563" s="224">
        <v>45422</v>
      </c>
      <c r="U563" s="132"/>
      <c r="V563" s="226" t="s">
        <v>59</v>
      </c>
    </row>
    <row r="564" spans="1:22" ht="62.4" x14ac:dyDescent="0.3">
      <c r="A564" s="132">
        <v>558</v>
      </c>
      <c r="B564" s="223" t="s">
        <v>40</v>
      </c>
      <c r="C564" s="44" t="s">
        <v>41</v>
      </c>
      <c r="D564" s="132"/>
      <c r="E564" s="223" t="s">
        <v>373</v>
      </c>
      <c r="F564" s="44" t="s">
        <v>1202</v>
      </c>
      <c r="G564" s="107" t="s">
        <v>184</v>
      </c>
      <c r="H564" s="132">
        <v>494.47917000000001</v>
      </c>
      <c r="I564" s="223">
        <v>1</v>
      </c>
      <c r="J564" s="223">
        <v>494.47917000000001</v>
      </c>
      <c r="K564" s="223">
        <v>494.47917000000001</v>
      </c>
      <c r="L564" s="223">
        <v>1</v>
      </c>
      <c r="M564" s="223">
        <v>494.47917000000001</v>
      </c>
      <c r="N564" s="6" t="s">
        <v>1207</v>
      </c>
      <c r="O564" s="224">
        <v>45422</v>
      </c>
      <c r="P564" s="33" t="str">
        <f>HYPERLINK("https://my.zakupivli.pro/remote/dispatcher/state_purchase_view/50934484", "UA-2024-05-10-004917-a")</f>
        <v>UA-2024-05-10-004917-a</v>
      </c>
      <c r="Q564" s="223">
        <v>494.47917000000001</v>
      </c>
      <c r="R564" s="223">
        <v>1</v>
      </c>
      <c r="S564" s="223">
        <v>494.47917000000001</v>
      </c>
      <c r="T564" s="224">
        <v>45421</v>
      </c>
      <c r="U564" s="132"/>
      <c r="V564" s="226" t="s">
        <v>59</v>
      </c>
    </row>
    <row r="565" spans="1:22" ht="78" x14ac:dyDescent="0.3">
      <c r="A565" s="132">
        <v>559</v>
      </c>
      <c r="B565" s="223" t="s">
        <v>40</v>
      </c>
      <c r="C565" s="44" t="s">
        <v>885</v>
      </c>
      <c r="D565" s="132"/>
      <c r="E565" s="223" t="s">
        <v>373</v>
      </c>
      <c r="F565" s="44" t="s">
        <v>1203</v>
      </c>
      <c r="G565" s="107" t="s">
        <v>184</v>
      </c>
      <c r="H565" s="132">
        <v>298.51423</v>
      </c>
      <c r="I565" s="223">
        <v>1</v>
      </c>
      <c r="J565" s="223">
        <v>298.51423</v>
      </c>
      <c r="K565" s="223">
        <v>298.51423</v>
      </c>
      <c r="L565" s="223">
        <v>1</v>
      </c>
      <c r="M565" s="223">
        <v>298.51423</v>
      </c>
      <c r="N565" s="6" t="s">
        <v>1208</v>
      </c>
      <c r="O565" s="224">
        <v>45422</v>
      </c>
      <c r="P565" s="33" t="str">
        <f>HYPERLINK("https://my.zakupivli.pro/remote/dispatcher/state_purchase_view/50933225", "UA-2024-05-10-004381-a")</f>
        <v>UA-2024-05-10-004381-a</v>
      </c>
      <c r="Q565" s="223">
        <v>298.51423</v>
      </c>
      <c r="R565" s="223">
        <v>1</v>
      </c>
      <c r="S565" s="223">
        <v>298.51423</v>
      </c>
      <c r="T565" s="133">
        <v>45421</v>
      </c>
      <c r="U565" s="132"/>
      <c r="V565" s="226" t="s">
        <v>59</v>
      </c>
    </row>
    <row r="566" spans="1:22" ht="62.4" x14ac:dyDescent="0.3">
      <c r="A566" s="132">
        <v>560</v>
      </c>
      <c r="B566" s="226" t="s">
        <v>21</v>
      </c>
      <c r="C566" s="41" t="s">
        <v>1210</v>
      </c>
      <c r="D566" s="132"/>
      <c r="E566" s="223" t="s">
        <v>75</v>
      </c>
      <c r="F566" s="225" t="s">
        <v>1209</v>
      </c>
      <c r="G566" s="132" t="s">
        <v>185</v>
      </c>
      <c r="H566" s="132">
        <v>35.540799999999997</v>
      </c>
      <c r="I566" s="132">
        <v>2</v>
      </c>
      <c r="J566" s="132">
        <v>71.081599999999995</v>
      </c>
      <c r="K566" s="226">
        <v>35.540799999999997</v>
      </c>
      <c r="L566" s="226">
        <v>2</v>
      </c>
      <c r="M566" s="226">
        <v>71.081599999999995</v>
      </c>
      <c r="N566" s="6" t="s">
        <v>1211</v>
      </c>
      <c r="O566" s="133">
        <v>45425</v>
      </c>
      <c r="P566" s="33" t="str">
        <f>HYPERLINK("https://my.zakupivli.pro/remote/dispatcher/state_purchase_view/50949996", "UA-2024-05-13-000046-a")</f>
        <v>UA-2024-05-13-000046-a</v>
      </c>
      <c r="Q566" s="226">
        <v>35.540799999999997</v>
      </c>
      <c r="R566" s="226">
        <v>2</v>
      </c>
      <c r="S566" s="226">
        <v>71.081599999999995</v>
      </c>
      <c r="T566" s="227">
        <v>45425</v>
      </c>
      <c r="U566" s="132"/>
      <c r="V566" s="226" t="s">
        <v>59</v>
      </c>
    </row>
    <row r="567" spans="1:22" ht="62.4" x14ac:dyDescent="0.3">
      <c r="A567" s="132">
        <v>561</v>
      </c>
      <c r="B567" s="228" t="s">
        <v>21</v>
      </c>
      <c r="C567" s="44" t="s">
        <v>1144</v>
      </c>
      <c r="D567" s="132"/>
      <c r="E567" s="228" t="s">
        <v>75</v>
      </c>
      <c r="F567" s="225" t="s">
        <v>1142</v>
      </c>
      <c r="G567" s="132" t="s">
        <v>186</v>
      </c>
      <c r="H567" s="132"/>
      <c r="I567" s="132">
        <v>3</v>
      </c>
      <c r="J567" s="132">
        <v>83.328999999999994</v>
      </c>
      <c r="K567" s="132"/>
      <c r="L567" s="228">
        <v>3</v>
      </c>
      <c r="M567" s="228">
        <v>83.328999999999994</v>
      </c>
      <c r="N567" s="6" t="s">
        <v>1212</v>
      </c>
      <c r="O567" s="133">
        <v>45426</v>
      </c>
      <c r="P567" s="33" t="str">
        <f>HYPERLINK("https://my.zakupivli.pro/remote/dispatcher/state_purchase_view/50999556", "UA-2024-05-14-010620-a")</f>
        <v>UA-2024-05-14-010620-a</v>
      </c>
      <c r="Q567" s="132"/>
      <c r="R567" s="228">
        <v>3</v>
      </c>
      <c r="S567" s="228">
        <v>83.328999999999994</v>
      </c>
      <c r="T567" s="229">
        <v>45426</v>
      </c>
      <c r="U567" s="132"/>
      <c r="V567" s="228" t="s">
        <v>59</v>
      </c>
    </row>
    <row r="568" spans="1:22" ht="46.8" x14ac:dyDescent="0.3">
      <c r="A568" s="132">
        <v>562</v>
      </c>
      <c r="B568" s="230" t="s">
        <v>21</v>
      </c>
      <c r="C568" s="41" t="s">
        <v>171</v>
      </c>
      <c r="D568" s="250" t="s">
        <v>58</v>
      </c>
      <c r="E568" s="230" t="s">
        <v>75</v>
      </c>
      <c r="F568" s="41" t="s">
        <v>1213</v>
      </c>
      <c r="G568" s="132" t="s">
        <v>186</v>
      </c>
      <c r="H568" s="132"/>
      <c r="I568" s="132">
        <v>4</v>
      </c>
      <c r="J568" s="132">
        <v>1247.7560000000001</v>
      </c>
      <c r="K568" s="132"/>
      <c r="L568" s="230">
        <v>4</v>
      </c>
      <c r="M568" s="230">
        <v>1247.7560000000001</v>
      </c>
      <c r="N568" s="6" t="s">
        <v>1214</v>
      </c>
      <c r="O568" s="133">
        <v>45429</v>
      </c>
      <c r="P568" s="42" t="str">
        <f>HYPERLINK("https://my.zakupivli.pro/remote/dispatcher/state_purchase_view/51062772", "UA-2024-05-17-000118-a")</f>
        <v>UA-2024-05-17-000118-a</v>
      </c>
      <c r="Q568" s="132"/>
      <c r="R568" s="132">
        <v>4</v>
      </c>
      <c r="S568" s="132">
        <v>1203.6524999999999</v>
      </c>
      <c r="T568" s="133">
        <v>45447</v>
      </c>
      <c r="U568" s="132"/>
      <c r="V568" s="132"/>
    </row>
    <row r="569" spans="1:22" ht="62.4" x14ac:dyDescent="0.3">
      <c r="A569" s="132">
        <v>563</v>
      </c>
      <c r="B569" s="231" t="s">
        <v>21</v>
      </c>
      <c r="C569" s="44" t="s">
        <v>30</v>
      </c>
      <c r="D569" s="132"/>
      <c r="E569" s="231" t="s">
        <v>75</v>
      </c>
      <c r="F569" s="225" t="s">
        <v>909</v>
      </c>
      <c r="G569" s="132" t="s">
        <v>186</v>
      </c>
      <c r="H569" s="132"/>
      <c r="I569" s="132">
        <v>2</v>
      </c>
      <c r="J569" s="132">
        <v>45.0839</v>
      </c>
      <c r="K569" s="132"/>
      <c r="L569" s="231">
        <v>2</v>
      </c>
      <c r="M569" s="231">
        <v>45.0839</v>
      </c>
      <c r="N569" s="6" t="s">
        <v>1215</v>
      </c>
      <c r="O569" s="133">
        <v>45432</v>
      </c>
      <c r="P569" s="33" t="str">
        <f>HYPERLINK("https://my.zakupivli.pro/remote/dispatcher/state_purchase_view/51111939", "UA-2024-05-20-009265-a")</f>
        <v>UA-2024-05-20-009265-a</v>
      </c>
      <c r="Q569" s="132"/>
      <c r="R569" s="231">
        <v>2</v>
      </c>
      <c r="S569" s="231">
        <v>45.0839</v>
      </c>
      <c r="T569" s="133">
        <v>45432</v>
      </c>
      <c r="U569" s="132"/>
      <c r="V569" s="231" t="s">
        <v>59</v>
      </c>
    </row>
    <row r="570" spans="1:22" ht="62.4" x14ac:dyDescent="0.3">
      <c r="A570" s="132">
        <v>564</v>
      </c>
      <c r="B570" s="232" t="s">
        <v>21</v>
      </c>
      <c r="C570" s="44" t="s">
        <v>30</v>
      </c>
      <c r="D570" s="132"/>
      <c r="E570" s="232" t="s">
        <v>75</v>
      </c>
      <c r="F570" s="225" t="s">
        <v>909</v>
      </c>
      <c r="G570" s="132" t="s">
        <v>186</v>
      </c>
      <c r="H570" s="132"/>
      <c r="I570" s="132">
        <v>9</v>
      </c>
      <c r="J570" s="132">
        <v>45.656959999999998</v>
      </c>
      <c r="K570" s="132"/>
      <c r="L570" s="232">
        <v>9</v>
      </c>
      <c r="M570" s="232">
        <v>45.656959999999998</v>
      </c>
      <c r="N570" s="6" t="s">
        <v>1216</v>
      </c>
      <c r="O570" s="133">
        <v>45433</v>
      </c>
      <c r="P570" s="33" t="str">
        <f>HYPERLINK("https://my.zakupivli.pro/remote/dispatcher/state_purchase_view/51125566", "UA-2024-05-21-002810-a")</f>
        <v>UA-2024-05-21-002810-a</v>
      </c>
      <c r="Q570" s="132"/>
      <c r="R570" s="232">
        <v>9</v>
      </c>
      <c r="S570" s="232">
        <v>45.656959999999998</v>
      </c>
      <c r="T570" s="133">
        <v>45432</v>
      </c>
      <c r="U570" s="132"/>
      <c r="V570" s="232" t="s">
        <v>59</v>
      </c>
    </row>
    <row r="571" spans="1:22" ht="62.4" x14ac:dyDescent="0.3">
      <c r="A571" s="132">
        <v>565</v>
      </c>
      <c r="B571" s="233" t="s">
        <v>21</v>
      </c>
      <c r="C571" s="239" t="s">
        <v>1218</v>
      </c>
      <c r="D571" s="132"/>
      <c r="E571" s="233" t="s">
        <v>75</v>
      </c>
      <c r="F571" s="236" t="s">
        <v>1217</v>
      </c>
      <c r="G571" s="132" t="s">
        <v>185</v>
      </c>
      <c r="H571" s="132"/>
      <c r="I571" s="132">
        <v>76</v>
      </c>
      <c r="J571" s="132">
        <v>215.93879999999999</v>
      </c>
      <c r="K571" s="132"/>
      <c r="L571" s="233">
        <v>76</v>
      </c>
      <c r="M571" s="233">
        <v>215.93879999999999</v>
      </c>
      <c r="N571" s="6" t="s">
        <v>1219</v>
      </c>
      <c r="O571" s="133">
        <v>45434</v>
      </c>
      <c r="P571" s="42" t="str">
        <f>HYPERLINK("https://my.zakupivli.pro/remote/dispatcher/state_purchase_view/51151129", "UA-2024-05-22-000727-a")</f>
        <v>UA-2024-05-22-000727-a</v>
      </c>
      <c r="Q571" s="132"/>
      <c r="R571" s="233">
        <v>76</v>
      </c>
      <c r="S571" s="233">
        <v>215.93879999999999</v>
      </c>
      <c r="T571" s="133">
        <v>45434</v>
      </c>
      <c r="U571" s="132"/>
      <c r="V571" s="233" t="s">
        <v>59</v>
      </c>
    </row>
    <row r="572" spans="1:22" ht="46.8" x14ac:dyDescent="0.3">
      <c r="A572" s="132">
        <v>566</v>
      </c>
      <c r="B572" s="43" t="s">
        <v>21</v>
      </c>
      <c r="C572" s="44" t="s">
        <v>1220</v>
      </c>
      <c r="D572" s="250" t="s">
        <v>58</v>
      </c>
      <c r="E572" s="234" t="s">
        <v>75</v>
      </c>
      <c r="F572" s="44" t="s">
        <v>1221</v>
      </c>
      <c r="G572" s="132" t="s">
        <v>1224</v>
      </c>
      <c r="H572" s="132"/>
      <c r="I572" s="132">
        <v>15</v>
      </c>
      <c r="J572" s="119">
        <v>1200</v>
      </c>
      <c r="K572" s="132"/>
      <c r="L572" s="234">
        <v>15</v>
      </c>
      <c r="M572" s="119">
        <v>1200</v>
      </c>
      <c r="N572" s="6" t="s">
        <v>1225</v>
      </c>
      <c r="O572" s="133">
        <v>45435</v>
      </c>
      <c r="P572" s="33" t="str">
        <f>HYPERLINK("https://my.zakupivli.pro/remote/dispatcher/state_purchase_view/51190701", "UA-2024-05-23-004824-a")</f>
        <v>UA-2024-05-23-004824-a</v>
      </c>
      <c r="Q572" s="132"/>
      <c r="R572" s="132">
        <v>15</v>
      </c>
      <c r="S572" s="119">
        <v>1000.5</v>
      </c>
      <c r="T572" s="133">
        <v>45467</v>
      </c>
      <c r="U572" s="132"/>
      <c r="V572" s="132"/>
    </row>
    <row r="573" spans="1:22" ht="62.4" x14ac:dyDescent="0.3">
      <c r="A573" s="132">
        <v>567</v>
      </c>
      <c r="B573" s="43" t="s">
        <v>21</v>
      </c>
      <c r="C573" s="44" t="s">
        <v>735</v>
      </c>
      <c r="D573" s="107"/>
      <c r="E573" s="234" t="s">
        <v>75</v>
      </c>
      <c r="F573" s="44" t="s">
        <v>1222</v>
      </c>
      <c r="G573" s="132" t="s">
        <v>185</v>
      </c>
      <c r="H573" s="132"/>
      <c r="I573" s="132">
        <v>60</v>
      </c>
      <c r="J573" s="119">
        <v>63.6</v>
      </c>
      <c r="K573" s="132"/>
      <c r="L573" s="234">
        <v>60</v>
      </c>
      <c r="M573" s="119">
        <v>63.6</v>
      </c>
      <c r="N573" s="6" t="s">
        <v>1226</v>
      </c>
      <c r="O573" s="133">
        <v>45435</v>
      </c>
      <c r="P573" s="33" t="str">
        <f>HYPERLINK("https://my.zakupivli.pro/remote/dispatcher/state_purchase_view/51180705", "UA-2024-05-23-000397-a")</f>
        <v>UA-2024-05-23-000397-a</v>
      </c>
      <c r="Q573" s="132"/>
      <c r="R573" s="234">
        <v>60</v>
      </c>
      <c r="S573" s="119">
        <v>63.6</v>
      </c>
      <c r="T573" s="235">
        <v>45434</v>
      </c>
      <c r="U573" s="132"/>
      <c r="V573" s="234" t="s">
        <v>59</v>
      </c>
    </row>
    <row r="574" spans="1:22" ht="62.4" x14ac:dyDescent="0.3">
      <c r="A574" s="132">
        <v>568</v>
      </c>
      <c r="B574" s="43" t="s">
        <v>21</v>
      </c>
      <c r="C574" s="44" t="s">
        <v>1134</v>
      </c>
      <c r="D574" s="107"/>
      <c r="E574" s="234" t="s">
        <v>75</v>
      </c>
      <c r="F574" s="44" t="s">
        <v>1223</v>
      </c>
      <c r="G574" s="132" t="s">
        <v>187</v>
      </c>
      <c r="H574" s="119">
        <v>93.8</v>
      </c>
      <c r="I574" s="132">
        <v>1</v>
      </c>
      <c r="J574" s="119">
        <v>93.8</v>
      </c>
      <c r="K574" s="119">
        <v>93.8</v>
      </c>
      <c r="L574" s="234">
        <v>1</v>
      </c>
      <c r="M574" s="119">
        <v>93.8</v>
      </c>
      <c r="N574" s="6" t="s">
        <v>1227</v>
      </c>
      <c r="O574" s="235">
        <v>45435</v>
      </c>
      <c r="P574" s="33" t="str">
        <f>HYPERLINK("https://my.zakupivli.pro/remote/dispatcher/state_purchase_view/51179925", "UA-2024-05-23-000094-a")</f>
        <v>UA-2024-05-23-000094-a</v>
      </c>
      <c r="Q574" s="119">
        <v>93.8</v>
      </c>
      <c r="R574" s="234">
        <v>1</v>
      </c>
      <c r="S574" s="119">
        <v>93.8</v>
      </c>
      <c r="T574" s="235">
        <v>45434</v>
      </c>
      <c r="U574" s="132"/>
      <c r="V574" s="234" t="s">
        <v>59</v>
      </c>
    </row>
    <row r="575" spans="1:22" ht="62.4" x14ac:dyDescent="0.3">
      <c r="A575" s="132">
        <v>569</v>
      </c>
      <c r="B575" s="43" t="s">
        <v>21</v>
      </c>
      <c r="C575" s="44" t="s">
        <v>36</v>
      </c>
      <c r="D575" s="132"/>
      <c r="E575" s="237" t="s">
        <v>75</v>
      </c>
      <c r="F575" s="44" t="s">
        <v>63</v>
      </c>
      <c r="G575" s="132" t="s">
        <v>185</v>
      </c>
      <c r="H575" s="132">
        <v>26.605779999999999</v>
      </c>
      <c r="I575" s="132">
        <v>2</v>
      </c>
      <c r="J575" s="132">
        <v>53.211559999999999</v>
      </c>
      <c r="K575" s="237">
        <v>26.605779999999999</v>
      </c>
      <c r="L575" s="237">
        <v>2</v>
      </c>
      <c r="M575" s="237">
        <v>53.211559999999999</v>
      </c>
      <c r="N575" s="6" t="s">
        <v>1235</v>
      </c>
      <c r="O575" s="133">
        <v>45439</v>
      </c>
      <c r="P575" s="33" t="str">
        <f>HYPERLINK("https://my.zakupivli.pro/remote/dispatcher/state_purchase_view/51263635", "UA-2024-05-27-011689-a")</f>
        <v>UA-2024-05-27-011689-a</v>
      </c>
      <c r="Q575" s="237">
        <v>26.605779999999999</v>
      </c>
      <c r="R575" s="237">
        <v>2</v>
      </c>
      <c r="S575" s="237">
        <v>53.211559999999999</v>
      </c>
      <c r="T575" s="238">
        <v>45439</v>
      </c>
      <c r="U575" s="132"/>
      <c r="V575" s="237" t="s">
        <v>59</v>
      </c>
    </row>
    <row r="576" spans="1:22" ht="62.4" x14ac:dyDescent="0.3">
      <c r="A576" s="132">
        <v>570</v>
      </c>
      <c r="B576" s="43" t="s">
        <v>40</v>
      </c>
      <c r="C576" s="44" t="s">
        <v>542</v>
      </c>
      <c r="D576" s="132"/>
      <c r="E576" s="237" t="s">
        <v>75</v>
      </c>
      <c r="F576" s="44" t="s">
        <v>1228</v>
      </c>
      <c r="G576" s="132" t="s">
        <v>184</v>
      </c>
      <c r="H576" s="119">
        <v>96.3</v>
      </c>
      <c r="I576" s="132">
        <v>1</v>
      </c>
      <c r="J576" s="119">
        <v>96.3</v>
      </c>
      <c r="K576" s="119">
        <v>96.3</v>
      </c>
      <c r="L576" s="237">
        <v>1</v>
      </c>
      <c r="M576" s="119">
        <v>96.3</v>
      </c>
      <c r="N576" s="6" t="s">
        <v>1236</v>
      </c>
      <c r="O576" s="238">
        <v>45439</v>
      </c>
      <c r="P576" s="33" t="str">
        <f>HYPERLINK("https://my.zakupivli.pro/remote/dispatcher/state_purchase_view/51253027", "UA-2024-05-27-006967-a")</f>
        <v>UA-2024-05-27-006967-a</v>
      </c>
      <c r="Q576" s="119">
        <v>96.3</v>
      </c>
      <c r="R576" s="237">
        <v>1</v>
      </c>
      <c r="S576" s="119">
        <v>96.3</v>
      </c>
      <c r="T576" s="238">
        <v>45439</v>
      </c>
      <c r="U576" s="132"/>
      <c r="V576" s="237" t="s">
        <v>59</v>
      </c>
    </row>
    <row r="577" spans="1:22" ht="62.4" x14ac:dyDescent="0.3">
      <c r="A577" s="132">
        <v>571</v>
      </c>
      <c r="B577" s="43" t="s">
        <v>40</v>
      </c>
      <c r="C577" s="44" t="s">
        <v>41</v>
      </c>
      <c r="D577" s="132"/>
      <c r="E577" s="237" t="s">
        <v>373</v>
      </c>
      <c r="F577" s="44" t="s">
        <v>1229</v>
      </c>
      <c r="G577" s="237" t="s">
        <v>184</v>
      </c>
      <c r="H577" s="132">
        <v>53.577910000000003</v>
      </c>
      <c r="I577" s="132">
        <v>1</v>
      </c>
      <c r="J577" s="237">
        <v>53.577910000000003</v>
      </c>
      <c r="K577" s="237">
        <v>53.577910000000003</v>
      </c>
      <c r="L577" s="237">
        <v>1</v>
      </c>
      <c r="M577" s="237">
        <v>53.577910000000003</v>
      </c>
      <c r="N577" s="6" t="s">
        <v>1237</v>
      </c>
      <c r="O577" s="238">
        <v>45439</v>
      </c>
      <c r="P577" s="33" t="str">
        <f>HYPERLINK("https://my.zakupivli.pro/remote/dispatcher/state_purchase_view/51251693", "UA-2024-05-27-006416-a")</f>
        <v>UA-2024-05-27-006416-a</v>
      </c>
      <c r="Q577" s="237">
        <v>53.577910000000003</v>
      </c>
      <c r="R577" s="237">
        <v>1</v>
      </c>
      <c r="S577" s="237">
        <v>53.577910000000003</v>
      </c>
      <c r="T577" s="238">
        <v>45439</v>
      </c>
      <c r="U577" s="132"/>
      <c r="V577" s="237" t="s">
        <v>59</v>
      </c>
    </row>
    <row r="578" spans="1:22" ht="78" x14ac:dyDescent="0.3">
      <c r="A578" s="132">
        <v>572</v>
      </c>
      <c r="B578" s="43" t="s">
        <v>40</v>
      </c>
      <c r="C578" s="44" t="s">
        <v>41</v>
      </c>
      <c r="D578" s="132"/>
      <c r="E578" s="237" t="s">
        <v>373</v>
      </c>
      <c r="F578" s="44" t="s">
        <v>1230</v>
      </c>
      <c r="G578" s="237" t="s">
        <v>184</v>
      </c>
      <c r="H578" s="132">
        <v>43.984520000000003</v>
      </c>
      <c r="I578" s="132">
        <v>1</v>
      </c>
      <c r="J578" s="237">
        <v>43.984520000000003</v>
      </c>
      <c r="K578" s="237">
        <v>43.984520000000003</v>
      </c>
      <c r="L578" s="237">
        <v>1</v>
      </c>
      <c r="M578" s="237">
        <v>43.984520000000003</v>
      </c>
      <c r="N578" s="6" t="s">
        <v>1238</v>
      </c>
      <c r="O578" s="238">
        <v>45439</v>
      </c>
      <c r="P578" s="33" t="str">
        <f>HYPERLINK("https://my.zakupivli.pro/remote/dispatcher/state_purchase_view/51251419", "UA-2024-05-27-006318-a")</f>
        <v>UA-2024-05-27-006318-a</v>
      </c>
      <c r="Q578" s="237">
        <v>43.984520000000003</v>
      </c>
      <c r="R578" s="237">
        <v>1</v>
      </c>
      <c r="S578" s="237">
        <v>43.984520000000003</v>
      </c>
      <c r="T578" s="238">
        <v>45439</v>
      </c>
      <c r="U578" s="132"/>
      <c r="V578" s="237" t="s">
        <v>59</v>
      </c>
    </row>
    <row r="579" spans="1:22" ht="62.4" x14ac:dyDescent="0.3">
      <c r="A579" s="132">
        <v>573</v>
      </c>
      <c r="B579" s="43" t="s">
        <v>40</v>
      </c>
      <c r="C579" s="44" t="s">
        <v>885</v>
      </c>
      <c r="D579" s="132"/>
      <c r="E579" s="237" t="s">
        <v>373</v>
      </c>
      <c r="F579" s="44" t="s">
        <v>1231</v>
      </c>
      <c r="G579" s="237" t="s">
        <v>184</v>
      </c>
      <c r="H579" s="132">
        <v>339.82227</v>
      </c>
      <c r="I579" s="132">
        <v>1</v>
      </c>
      <c r="J579" s="237">
        <v>339.82227</v>
      </c>
      <c r="K579" s="237">
        <v>339.82227</v>
      </c>
      <c r="L579" s="237">
        <v>1</v>
      </c>
      <c r="M579" s="237">
        <v>339.82227</v>
      </c>
      <c r="N579" s="6" t="s">
        <v>1239</v>
      </c>
      <c r="O579" s="238">
        <v>45439</v>
      </c>
      <c r="P579" s="33" t="str">
        <f>HYPERLINK("https://my.zakupivli.pro/remote/dispatcher/state_purchase_view/51251184", "UA-2024-05-27-006168-a")</f>
        <v>UA-2024-05-27-006168-a</v>
      </c>
      <c r="Q579" s="237">
        <v>339.82227</v>
      </c>
      <c r="R579" s="237">
        <v>1</v>
      </c>
      <c r="S579" s="237">
        <v>339.82227</v>
      </c>
      <c r="T579" s="238">
        <v>45439</v>
      </c>
      <c r="U579" s="132"/>
      <c r="V579" s="237" t="s">
        <v>59</v>
      </c>
    </row>
    <row r="580" spans="1:22" ht="62.4" x14ac:dyDescent="0.3">
      <c r="A580" s="132">
        <v>574</v>
      </c>
      <c r="B580" s="43" t="s">
        <v>40</v>
      </c>
      <c r="C580" s="44" t="s">
        <v>41</v>
      </c>
      <c r="D580" s="132"/>
      <c r="E580" s="237" t="s">
        <v>373</v>
      </c>
      <c r="F580" s="44" t="s">
        <v>1232</v>
      </c>
      <c r="G580" s="237" t="s">
        <v>184</v>
      </c>
      <c r="H580" s="132">
        <v>524.04791</v>
      </c>
      <c r="I580" s="132">
        <v>1</v>
      </c>
      <c r="J580" s="237">
        <v>524.04791</v>
      </c>
      <c r="K580" s="237">
        <v>524.04791</v>
      </c>
      <c r="L580" s="237">
        <v>1</v>
      </c>
      <c r="M580" s="237">
        <v>524.04791</v>
      </c>
      <c r="N580" s="6" t="s">
        <v>1240</v>
      </c>
      <c r="O580" s="238">
        <v>45439</v>
      </c>
      <c r="P580" s="33" t="str">
        <f>HYPERLINK("https://my.zakupivli.pro/remote/dispatcher/state_purchase_view/51251183", "UA-2024-05-27-006163-a")</f>
        <v>UA-2024-05-27-006163-a</v>
      </c>
      <c r="Q580" s="237">
        <v>524.04791</v>
      </c>
      <c r="R580" s="237">
        <v>1</v>
      </c>
      <c r="S580" s="237">
        <v>524.04791</v>
      </c>
      <c r="T580" s="238">
        <v>45439</v>
      </c>
      <c r="U580" s="132"/>
      <c r="V580" s="237" t="s">
        <v>59</v>
      </c>
    </row>
    <row r="581" spans="1:22" ht="109.2" x14ac:dyDescent="0.3">
      <c r="A581" s="132">
        <v>575</v>
      </c>
      <c r="B581" s="43" t="s">
        <v>40</v>
      </c>
      <c r="C581" s="44" t="s">
        <v>1234</v>
      </c>
      <c r="D581" s="132"/>
      <c r="E581" s="237" t="s">
        <v>373</v>
      </c>
      <c r="F581" s="44" t="s">
        <v>1233</v>
      </c>
      <c r="G581" s="237" t="s">
        <v>184</v>
      </c>
      <c r="H581" s="132">
        <v>365.49365</v>
      </c>
      <c r="I581" s="132">
        <v>1</v>
      </c>
      <c r="J581" s="237">
        <v>365.49365</v>
      </c>
      <c r="K581" s="237">
        <v>365.49365</v>
      </c>
      <c r="L581" s="237">
        <v>1</v>
      </c>
      <c r="M581" s="237">
        <v>365.49365</v>
      </c>
      <c r="N581" s="6" t="s">
        <v>1241</v>
      </c>
      <c r="O581" s="238">
        <v>45439</v>
      </c>
      <c r="P581" s="33" t="str">
        <f>HYPERLINK("https://my.zakupivli.pro/remote/dispatcher/state_purchase_view/51250880", "UA-2024-05-27-006049-a")</f>
        <v>UA-2024-05-27-006049-a</v>
      </c>
      <c r="Q581" s="237">
        <v>365.49365</v>
      </c>
      <c r="R581" s="237">
        <v>1</v>
      </c>
      <c r="S581" s="237">
        <v>365.49365</v>
      </c>
      <c r="T581" s="238">
        <v>45439</v>
      </c>
      <c r="U581" s="132"/>
      <c r="V581" s="237" t="s">
        <v>59</v>
      </c>
    </row>
    <row r="582" spans="1:22" ht="62.4" x14ac:dyDescent="0.3">
      <c r="A582" s="132">
        <v>576</v>
      </c>
      <c r="B582" s="43" t="s">
        <v>40</v>
      </c>
      <c r="C582" s="44" t="s">
        <v>73</v>
      </c>
      <c r="D582" s="132"/>
      <c r="E582" s="240" t="s">
        <v>75</v>
      </c>
      <c r="F582" s="44" t="s">
        <v>1242</v>
      </c>
      <c r="G582" s="240" t="s">
        <v>184</v>
      </c>
      <c r="H582" s="132">
        <v>316.29005000000001</v>
      </c>
      <c r="I582" s="132">
        <v>1</v>
      </c>
      <c r="J582" s="240">
        <v>316.29005000000001</v>
      </c>
      <c r="K582" s="240">
        <v>316.29005000000001</v>
      </c>
      <c r="L582" s="240">
        <v>1</v>
      </c>
      <c r="M582" s="240">
        <v>316.29005000000001</v>
      </c>
      <c r="N582" s="6" t="s">
        <v>1244</v>
      </c>
      <c r="O582" s="133">
        <v>45442</v>
      </c>
      <c r="P582" s="122" t="str">
        <f>HYPERLINK("https://my.zakupivli.pro/remote/dispatcher/state_purchase_view/51322354", "UA-2024-05-30-000099-a")</f>
        <v>UA-2024-05-30-000099-a</v>
      </c>
      <c r="Q582" s="240">
        <v>316.29005000000001</v>
      </c>
      <c r="R582" s="240">
        <v>1</v>
      </c>
      <c r="S582" s="240">
        <v>316.29005000000001</v>
      </c>
      <c r="T582" s="133">
        <v>45414</v>
      </c>
      <c r="U582" s="132"/>
      <c r="V582" s="240" t="s">
        <v>59</v>
      </c>
    </row>
    <row r="583" spans="1:22" ht="62.4" x14ac:dyDescent="0.3">
      <c r="A583" s="132">
        <v>577</v>
      </c>
      <c r="B583" s="43" t="s">
        <v>40</v>
      </c>
      <c r="C583" s="44" t="s">
        <v>73</v>
      </c>
      <c r="D583" s="132"/>
      <c r="E583" s="240" t="s">
        <v>75</v>
      </c>
      <c r="F583" s="44" t="s">
        <v>1243</v>
      </c>
      <c r="G583" s="240" t="s">
        <v>184</v>
      </c>
      <c r="H583" s="132">
        <v>368.45200999999997</v>
      </c>
      <c r="I583" s="132">
        <v>1</v>
      </c>
      <c r="J583" s="240">
        <v>368.45200999999997</v>
      </c>
      <c r="K583" s="240">
        <v>368.45200999999997</v>
      </c>
      <c r="L583" s="240">
        <v>1</v>
      </c>
      <c r="M583" s="240">
        <v>368.45200999999997</v>
      </c>
      <c r="N583" s="6" t="s">
        <v>1245</v>
      </c>
      <c r="O583" s="133">
        <v>45442</v>
      </c>
      <c r="P583" s="122" t="str">
        <f>HYPERLINK("https://my.zakupivli.pro/remote/dispatcher/state_purchase_view/51322404", "UA-2024-05-30-000116-a")</f>
        <v>UA-2024-05-30-000116-a</v>
      </c>
      <c r="Q583" s="240">
        <v>368.45200999999997</v>
      </c>
      <c r="R583" s="240">
        <v>1</v>
      </c>
      <c r="S583" s="240">
        <v>368.45200999999997</v>
      </c>
      <c r="T583" s="133">
        <v>45441</v>
      </c>
      <c r="U583" s="132"/>
      <c r="V583" s="240" t="s">
        <v>59</v>
      </c>
    </row>
    <row r="584" spans="1:22" ht="62.4" x14ac:dyDescent="0.3">
      <c r="A584" s="132">
        <v>578</v>
      </c>
      <c r="B584" s="43" t="s">
        <v>21</v>
      </c>
      <c r="C584" s="44" t="s">
        <v>1248</v>
      </c>
      <c r="D584" s="132"/>
      <c r="E584" s="242" t="s">
        <v>75</v>
      </c>
      <c r="F584" s="44" t="s">
        <v>1246</v>
      </c>
      <c r="G584" s="132" t="s">
        <v>186</v>
      </c>
      <c r="H584" s="132"/>
      <c r="I584" s="132">
        <v>4</v>
      </c>
      <c r="J584" s="132">
        <v>48.400799999999997</v>
      </c>
      <c r="K584" s="132"/>
      <c r="L584" s="242">
        <v>4</v>
      </c>
      <c r="M584" s="242">
        <v>48.400799999999997</v>
      </c>
      <c r="N584" s="6" t="s">
        <v>1250</v>
      </c>
      <c r="O584" s="133">
        <v>45443</v>
      </c>
      <c r="P584" s="33" t="str">
        <f>HYPERLINK("https://my.zakupivli.pro/remote/dispatcher/state_purchase_view/51354614", "UA-2024-05-31-003514-a")</f>
        <v>UA-2024-05-31-003514-a</v>
      </c>
      <c r="Q584" s="132"/>
      <c r="R584" s="242">
        <v>4</v>
      </c>
      <c r="S584" s="242">
        <v>48.400799999999997</v>
      </c>
      <c r="T584" s="241">
        <v>45443</v>
      </c>
      <c r="U584" s="132"/>
      <c r="V584" s="242" t="s">
        <v>59</v>
      </c>
    </row>
    <row r="585" spans="1:22" ht="62.4" x14ac:dyDescent="0.3">
      <c r="A585" s="132">
        <v>579</v>
      </c>
      <c r="B585" s="43" t="s">
        <v>40</v>
      </c>
      <c r="C585" s="44" t="s">
        <v>1249</v>
      </c>
      <c r="D585" s="132"/>
      <c r="E585" s="242" t="s">
        <v>75</v>
      </c>
      <c r="F585" s="44" t="s">
        <v>1247</v>
      </c>
      <c r="G585" s="242" t="s">
        <v>184</v>
      </c>
      <c r="H585" s="132">
        <v>287.89965999999998</v>
      </c>
      <c r="I585" s="132">
        <v>1</v>
      </c>
      <c r="J585" s="242">
        <v>287.89965999999998</v>
      </c>
      <c r="K585" s="242">
        <v>287.89965999999998</v>
      </c>
      <c r="L585" s="242">
        <v>1</v>
      </c>
      <c r="M585" s="242">
        <v>287.89965999999998</v>
      </c>
      <c r="N585" s="6" t="s">
        <v>1251</v>
      </c>
      <c r="O585" s="241">
        <v>45443</v>
      </c>
      <c r="P585" s="33" t="str">
        <f>HYPERLINK("https://my.zakupivli.pro/remote/dispatcher/state_purchase_view/51362144", "UA-2024-05-31-006948-a")</f>
        <v>UA-2024-05-31-006948-a</v>
      </c>
      <c r="Q585" s="242">
        <v>287.89965999999998</v>
      </c>
      <c r="R585" s="242">
        <v>1</v>
      </c>
      <c r="S585" s="242">
        <v>287.89965999999998</v>
      </c>
      <c r="T585" s="241">
        <v>45443</v>
      </c>
      <c r="U585" s="132"/>
      <c r="V585" s="242" t="s">
        <v>59</v>
      </c>
    </row>
    <row r="586" spans="1:22" ht="62.4" x14ac:dyDescent="0.3">
      <c r="A586" s="132">
        <v>580</v>
      </c>
      <c r="B586" s="43" t="s">
        <v>40</v>
      </c>
      <c r="C586" s="44" t="s">
        <v>73</v>
      </c>
      <c r="D586" s="132"/>
      <c r="E586" s="243" t="s">
        <v>75</v>
      </c>
      <c r="F586" s="44" t="s">
        <v>1252</v>
      </c>
      <c r="G586" s="243" t="s">
        <v>184</v>
      </c>
      <c r="H586" s="119">
        <v>79.86</v>
      </c>
      <c r="I586" s="132">
        <v>1</v>
      </c>
      <c r="J586" s="119">
        <v>79.86</v>
      </c>
      <c r="K586" s="119">
        <v>79.86</v>
      </c>
      <c r="L586" s="243">
        <v>1</v>
      </c>
      <c r="M586" s="119">
        <v>79.86</v>
      </c>
      <c r="N586" s="6" t="s">
        <v>1253</v>
      </c>
      <c r="O586" s="133">
        <v>45447</v>
      </c>
      <c r="P586" s="33" t="str">
        <f>HYPERLINK("https://my.zakupivli.pro/remote/dispatcher/state_purchase_view/51397532", "UA-2024-06-04-001790-a")</f>
        <v>UA-2024-06-04-001790-a</v>
      </c>
      <c r="Q586" s="119">
        <v>79.86</v>
      </c>
      <c r="R586" s="243">
        <v>1</v>
      </c>
      <c r="S586" s="119">
        <v>79.86</v>
      </c>
      <c r="T586" s="133">
        <v>45404</v>
      </c>
      <c r="U586" s="132"/>
      <c r="V586" s="243" t="s">
        <v>59</v>
      </c>
    </row>
    <row r="587" spans="1:22" ht="62.4" x14ac:dyDescent="0.3">
      <c r="A587" s="132">
        <v>581</v>
      </c>
      <c r="B587" s="43" t="s">
        <v>21</v>
      </c>
      <c r="C587" s="44" t="s">
        <v>175</v>
      </c>
      <c r="D587" s="132"/>
      <c r="E587" s="244" t="s">
        <v>75</v>
      </c>
      <c r="F587" s="225" t="s">
        <v>1254</v>
      </c>
      <c r="G587" s="132" t="s">
        <v>186</v>
      </c>
      <c r="H587" s="132"/>
      <c r="I587" s="132">
        <v>3</v>
      </c>
      <c r="J587" s="119">
        <v>52</v>
      </c>
      <c r="K587" s="132"/>
      <c r="L587" s="244">
        <v>3</v>
      </c>
      <c r="M587" s="119">
        <v>52</v>
      </c>
      <c r="N587" s="6" t="s">
        <v>1255</v>
      </c>
      <c r="O587" s="133">
        <v>45449</v>
      </c>
      <c r="P587" s="33" t="str">
        <f>HYPERLINK("https://my.zakupivli.pro/remote/dispatcher/state_purchase_view/51454131", "UA-2024-06-06-001299-a")</f>
        <v>UA-2024-06-06-001299-a</v>
      </c>
      <c r="Q587" s="132"/>
      <c r="R587" s="244">
        <v>3</v>
      </c>
      <c r="S587" s="119">
        <v>52</v>
      </c>
      <c r="T587" s="133">
        <v>45449</v>
      </c>
      <c r="U587" s="132"/>
      <c r="V587" s="244" t="s">
        <v>59</v>
      </c>
    </row>
    <row r="588" spans="1:22" ht="62.4" x14ac:dyDescent="0.3">
      <c r="A588" s="132">
        <v>582</v>
      </c>
      <c r="B588" s="43" t="s">
        <v>21</v>
      </c>
      <c r="C588" s="44" t="s">
        <v>413</v>
      </c>
      <c r="D588" s="132"/>
      <c r="E588" s="245" t="s">
        <v>75</v>
      </c>
      <c r="F588" s="225" t="s">
        <v>1256</v>
      </c>
      <c r="G588" s="132" t="s">
        <v>186</v>
      </c>
      <c r="H588" s="132"/>
      <c r="I588" s="132">
        <v>2</v>
      </c>
      <c r="J588" s="119">
        <v>82</v>
      </c>
      <c r="K588" s="132"/>
      <c r="L588" s="245">
        <v>2</v>
      </c>
      <c r="M588" s="119">
        <v>82</v>
      </c>
      <c r="N588" s="6" t="s">
        <v>1258</v>
      </c>
      <c r="O588" s="133">
        <v>45453</v>
      </c>
      <c r="P588" s="33" t="str">
        <f>HYPERLINK("https://my.zakupivli.pro/remote/dispatcher/state_purchase_view/51515216", "UA-2024-06-10-003519-a")</f>
        <v>UA-2024-06-10-003519-a</v>
      </c>
      <c r="Q588" s="132"/>
      <c r="R588" s="245">
        <v>2</v>
      </c>
      <c r="S588" s="119">
        <v>82</v>
      </c>
      <c r="T588" s="246">
        <v>45453</v>
      </c>
      <c r="U588" s="132"/>
      <c r="V588" s="245" t="s">
        <v>59</v>
      </c>
    </row>
    <row r="589" spans="1:22" ht="62.4" x14ac:dyDescent="0.3">
      <c r="A589" s="132">
        <v>583</v>
      </c>
      <c r="B589" s="43" t="s">
        <v>21</v>
      </c>
      <c r="C589" s="44" t="s">
        <v>30</v>
      </c>
      <c r="D589" s="132"/>
      <c r="E589" s="245" t="s">
        <v>75</v>
      </c>
      <c r="F589" s="225" t="s">
        <v>1257</v>
      </c>
      <c r="G589" s="132" t="s">
        <v>185</v>
      </c>
      <c r="H589" s="132"/>
      <c r="I589" s="132">
        <v>3</v>
      </c>
      <c r="J589" s="119">
        <v>76.95</v>
      </c>
      <c r="K589" s="132"/>
      <c r="L589" s="245">
        <v>3</v>
      </c>
      <c r="M589" s="119">
        <v>76.95</v>
      </c>
      <c r="N589" s="6" t="s">
        <v>1259</v>
      </c>
      <c r="O589" s="246">
        <v>45453</v>
      </c>
      <c r="P589" s="33" t="str">
        <f>HYPERLINK("https://my.zakupivli.pro/remote/dispatcher/state_purchase_view/51515365", "UA-2024-06-10-003597-a")</f>
        <v>UA-2024-06-10-003597-a</v>
      </c>
      <c r="Q589" s="132"/>
      <c r="R589" s="245">
        <v>3</v>
      </c>
      <c r="S589" s="119">
        <v>76.95</v>
      </c>
      <c r="T589" s="246">
        <v>45453</v>
      </c>
      <c r="U589" s="132"/>
      <c r="V589" s="245" t="s">
        <v>59</v>
      </c>
    </row>
    <row r="590" spans="1:22" ht="62.4" x14ac:dyDescent="0.3">
      <c r="A590" s="132">
        <v>584</v>
      </c>
      <c r="B590" s="43" t="s">
        <v>21</v>
      </c>
      <c r="C590" s="44" t="s">
        <v>173</v>
      </c>
      <c r="D590" s="132"/>
      <c r="E590" s="247" t="s">
        <v>75</v>
      </c>
      <c r="F590" s="225" t="s">
        <v>1260</v>
      </c>
      <c r="G590" s="132" t="s">
        <v>185</v>
      </c>
      <c r="H590" s="132"/>
      <c r="I590" s="132">
        <v>38</v>
      </c>
      <c r="J590" s="119">
        <v>78.09</v>
      </c>
      <c r="K590" s="132"/>
      <c r="L590" s="247">
        <v>38</v>
      </c>
      <c r="M590" s="119">
        <v>78.09</v>
      </c>
      <c r="N590" s="6" t="s">
        <v>1261</v>
      </c>
      <c r="O590" s="133">
        <v>45454</v>
      </c>
      <c r="P590" s="33" t="str">
        <f>HYPERLINK("https://my.zakupivli.pro/remote/dispatcher/state_purchase_view/51547469", "UA-2024-06-11-004453-a")</f>
        <v>UA-2024-06-11-004453-a</v>
      </c>
      <c r="Q590" s="132"/>
      <c r="R590" s="247">
        <v>38</v>
      </c>
      <c r="S590" s="119">
        <v>78.09</v>
      </c>
      <c r="T590" s="133">
        <v>45454</v>
      </c>
      <c r="U590" s="132"/>
      <c r="V590" s="247" t="s">
        <v>59</v>
      </c>
    </row>
    <row r="591" spans="1:22" ht="62.4" x14ac:dyDescent="0.3">
      <c r="A591" s="132">
        <v>585</v>
      </c>
      <c r="B591" s="43" t="s">
        <v>40</v>
      </c>
      <c r="C591" s="44" t="s">
        <v>885</v>
      </c>
      <c r="D591" s="132"/>
      <c r="E591" s="249" t="s">
        <v>75</v>
      </c>
      <c r="F591" s="44" t="s">
        <v>1262</v>
      </c>
      <c r="G591" s="249" t="s">
        <v>184</v>
      </c>
      <c r="H591" s="132">
        <v>259.27109999999999</v>
      </c>
      <c r="I591" s="132">
        <v>1</v>
      </c>
      <c r="J591" s="249">
        <v>259.27109999999999</v>
      </c>
      <c r="K591" s="249">
        <v>259.27109999999999</v>
      </c>
      <c r="L591" s="249">
        <v>1</v>
      </c>
      <c r="M591" s="249">
        <v>259.27109999999999</v>
      </c>
      <c r="N591" s="6" t="s">
        <v>1263</v>
      </c>
      <c r="O591" s="133">
        <v>45456</v>
      </c>
      <c r="P591" s="33" t="str">
        <f>HYPERLINK("https://my.zakupivli.pro/remote/dispatcher/state_purchase_view/51611381", "UA-2024-06-13-006939-a")</f>
        <v>UA-2024-06-13-006939-a</v>
      </c>
      <c r="Q591" s="249">
        <v>259.27109999999999</v>
      </c>
      <c r="R591" s="249">
        <v>1</v>
      </c>
      <c r="S591" s="249">
        <v>259.27109999999999</v>
      </c>
      <c r="T591" s="133">
        <v>45456</v>
      </c>
      <c r="U591" s="132"/>
      <c r="V591" s="249" t="s">
        <v>59</v>
      </c>
    </row>
    <row r="592" spans="1:22" ht="62.4" x14ac:dyDescent="0.3">
      <c r="A592" s="132">
        <v>586</v>
      </c>
      <c r="B592" s="43" t="s">
        <v>40</v>
      </c>
      <c r="C592" s="44" t="s">
        <v>41</v>
      </c>
      <c r="D592" s="132"/>
      <c r="E592" s="249" t="s">
        <v>75</v>
      </c>
      <c r="F592" s="44" t="s">
        <v>1264</v>
      </c>
      <c r="G592" s="249" t="s">
        <v>184</v>
      </c>
      <c r="H592" s="132">
        <v>72129.73</v>
      </c>
      <c r="I592" s="132">
        <v>1</v>
      </c>
      <c r="J592" s="249">
        <v>72129.73</v>
      </c>
      <c r="K592" s="249">
        <v>72129.73</v>
      </c>
      <c r="L592" s="249">
        <v>1</v>
      </c>
      <c r="M592" s="249">
        <v>72129.73</v>
      </c>
      <c r="N592" s="6" t="s">
        <v>1265</v>
      </c>
      <c r="O592" s="248">
        <v>45456</v>
      </c>
      <c r="P592" s="33" t="str">
        <f>HYPERLINK("https://my.zakupivli.pro/remote/dispatcher/state_purchase_view/51621292", "UA-2024-06-13-011394-a")</f>
        <v>UA-2024-06-13-011394-a</v>
      </c>
      <c r="Q592" s="249">
        <v>72129.73</v>
      </c>
      <c r="R592" s="249">
        <v>1</v>
      </c>
      <c r="S592" s="249">
        <v>72129.73</v>
      </c>
      <c r="T592" s="248">
        <v>45456</v>
      </c>
      <c r="U592" s="132"/>
      <c r="V592" s="249" t="s">
        <v>59</v>
      </c>
    </row>
    <row r="593" spans="1:22" ht="140.4" x14ac:dyDescent="0.3">
      <c r="A593" s="132">
        <v>587</v>
      </c>
      <c r="B593" s="43" t="s">
        <v>40</v>
      </c>
      <c r="C593" s="44" t="s">
        <v>41</v>
      </c>
      <c r="D593" s="250" t="s">
        <v>58</v>
      </c>
      <c r="E593" s="250" t="s">
        <v>373</v>
      </c>
      <c r="F593" s="44" t="s">
        <v>1266</v>
      </c>
      <c r="G593" s="250" t="s">
        <v>184</v>
      </c>
      <c r="H593" s="119">
        <v>1440</v>
      </c>
      <c r="I593" s="132">
        <v>1</v>
      </c>
      <c r="J593" s="119">
        <v>1440</v>
      </c>
      <c r="K593" s="119">
        <v>1440</v>
      </c>
      <c r="L593" s="250">
        <v>1</v>
      </c>
      <c r="M593" s="119">
        <v>1440</v>
      </c>
      <c r="N593" s="6" t="s">
        <v>1267</v>
      </c>
      <c r="O593" s="133">
        <v>45457</v>
      </c>
      <c r="P593" s="33" t="str">
        <f>HYPERLINK("https://my.zakupivli.pro/remote/dispatcher/state_purchase_view/51625477", "UA-2024-06-14-000434-a")</f>
        <v>UA-2024-06-14-000434-a</v>
      </c>
      <c r="Q593" s="119">
        <v>1368</v>
      </c>
      <c r="R593" s="132">
        <v>1</v>
      </c>
      <c r="S593" s="119">
        <v>1368</v>
      </c>
      <c r="T593" s="133">
        <v>45478</v>
      </c>
      <c r="U593" s="132"/>
      <c r="V593" s="132"/>
    </row>
    <row r="594" spans="1:22" ht="46.8" x14ac:dyDescent="0.3">
      <c r="A594" s="132">
        <v>588</v>
      </c>
      <c r="B594" s="43" t="s">
        <v>21</v>
      </c>
      <c r="C594" s="44" t="s">
        <v>36</v>
      </c>
      <c r="D594" s="251" t="s">
        <v>58</v>
      </c>
      <c r="E594" s="251" t="s">
        <v>75</v>
      </c>
      <c r="F594" s="44" t="s">
        <v>1268</v>
      </c>
      <c r="G594" s="132" t="s">
        <v>185</v>
      </c>
      <c r="H594" s="132"/>
      <c r="I594" s="132">
        <v>15</v>
      </c>
      <c r="J594" s="132">
        <v>1502.2974999999999</v>
      </c>
      <c r="K594" s="132"/>
      <c r="L594" s="251">
        <v>15</v>
      </c>
      <c r="M594" s="251">
        <v>1502.2974999999999</v>
      </c>
      <c r="N594" s="6" t="s">
        <v>1270</v>
      </c>
      <c r="O594" s="133">
        <v>45461</v>
      </c>
      <c r="P594" s="33" t="str">
        <f>HYPERLINK("https://my.zakupivli.pro/remote/dispatcher/state_purchase_view/51698131", "UA-2024-06-18-008358-a")</f>
        <v>UA-2024-06-18-008358-a</v>
      </c>
      <c r="Q594" s="132"/>
      <c r="R594" s="132">
        <v>15</v>
      </c>
      <c r="S594" s="132">
        <v>1495.6724999999999</v>
      </c>
      <c r="T594" s="133">
        <v>45476</v>
      </c>
      <c r="U594" s="132"/>
      <c r="V594" s="132"/>
    </row>
    <row r="595" spans="1:22" ht="109.2" x14ac:dyDescent="0.3">
      <c r="A595" s="132">
        <v>589</v>
      </c>
      <c r="B595" s="43" t="s">
        <v>21</v>
      </c>
      <c r="C595" s="44" t="s">
        <v>174</v>
      </c>
      <c r="D595" s="251" t="s">
        <v>58</v>
      </c>
      <c r="E595" s="251" t="s">
        <v>88</v>
      </c>
      <c r="F595" s="44" t="s">
        <v>1269</v>
      </c>
      <c r="G595" s="132" t="s">
        <v>187</v>
      </c>
      <c r="H595" s="132"/>
      <c r="I595" s="132">
        <v>33</v>
      </c>
      <c r="J595" s="119">
        <v>804.54</v>
      </c>
      <c r="K595" s="132"/>
      <c r="L595" s="251">
        <v>33</v>
      </c>
      <c r="M595" s="119">
        <v>804.54</v>
      </c>
      <c r="N595" s="6" t="s">
        <v>1271</v>
      </c>
      <c r="O595" s="252">
        <v>45461</v>
      </c>
      <c r="P595" s="33" t="str">
        <f>HYPERLINK("https://my.zakupivli.pro/remote/dispatcher/state_purchase_view/51701959", "UA-2024-06-18-010109-a")</f>
        <v>UA-2024-06-18-010109-a</v>
      </c>
      <c r="Q595" s="119">
        <v>686.4</v>
      </c>
      <c r="R595" s="132">
        <v>33</v>
      </c>
      <c r="S595" s="119">
        <v>686.4</v>
      </c>
      <c r="T595" s="133">
        <v>45495</v>
      </c>
      <c r="U595" s="132"/>
      <c r="V595" s="132"/>
    </row>
    <row r="596" spans="1:22" ht="62.4" x14ac:dyDescent="0.3">
      <c r="A596" s="132">
        <v>590</v>
      </c>
      <c r="B596" s="43" t="s">
        <v>21</v>
      </c>
      <c r="C596" s="44" t="s">
        <v>1144</v>
      </c>
      <c r="D596" s="132"/>
      <c r="E596" s="253" t="s">
        <v>75</v>
      </c>
      <c r="F596" s="44" t="s">
        <v>1142</v>
      </c>
      <c r="G596" s="132" t="s">
        <v>186</v>
      </c>
      <c r="H596" s="132"/>
      <c r="I596" s="132">
        <v>4</v>
      </c>
      <c r="J596" s="132">
        <v>75.792900000000003</v>
      </c>
      <c r="K596" s="132"/>
      <c r="L596" s="253">
        <v>4</v>
      </c>
      <c r="M596" s="253">
        <v>75.792900000000003</v>
      </c>
      <c r="N596" s="6" t="s">
        <v>1272</v>
      </c>
      <c r="O596" s="133">
        <v>45462</v>
      </c>
      <c r="P596" s="122" t="str">
        <f>HYPERLINK("https://my.zakupivli.pro/remote/dispatcher/state_purchase_view/51723896", "UA-2024-06-19-006845-a")</f>
        <v>UA-2024-06-19-006845-a</v>
      </c>
      <c r="Q596" s="132"/>
      <c r="R596" s="253">
        <v>4</v>
      </c>
      <c r="S596" s="253">
        <v>75.792900000000003</v>
      </c>
      <c r="T596" s="133">
        <v>45462</v>
      </c>
      <c r="U596" s="132"/>
      <c r="V596" s="253" t="s">
        <v>59</v>
      </c>
    </row>
    <row r="597" spans="1:22" ht="62.4" x14ac:dyDescent="0.3">
      <c r="A597" s="132">
        <v>591</v>
      </c>
      <c r="B597" s="43" t="s">
        <v>21</v>
      </c>
      <c r="C597" s="44" t="s">
        <v>413</v>
      </c>
      <c r="D597" s="132"/>
      <c r="E597" s="254" t="s">
        <v>75</v>
      </c>
      <c r="F597" s="225" t="s">
        <v>1273</v>
      </c>
      <c r="G597" s="132" t="s">
        <v>185</v>
      </c>
      <c r="H597" s="119">
        <v>8.1999999999999993</v>
      </c>
      <c r="I597" s="132">
        <v>10</v>
      </c>
      <c r="J597" s="119">
        <v>82</v>
      </c>
      <c r="K597" s="119">
        <v>8.1999999999999993</v>
      </c>
      <c r="L597" s="254">
        <v>10</v>
      </c>
      <c r="M597" s="119">
        <v>82</v>
      </c>
      <c r="N597" s="6" t="s">
        <v>1275</v>
      </c>
      <c r="O597" s="133">
        <v>45463</v>
      </c>
      <c r="P597" s="33" t="str">
        <f>HYPERLINK("https://my.zakupivli.pro/remote/dispatcher/state_purchase_view/51759699", "UA-2024-06-20-010267-a")</f>
        <v>UA-2024-06-20-010267-a</v>
      </c>
      <c r="Q597" s="119">
        <v>8.1999999999999993</v>
      </c>
      <c r="R597" s="254">
        <v>10</v>
      </c>
      <c r="S597" s="119">
        <v>82</v>
      </c>
      <c r="T597" s="255">
        <v>45463</v>
      </c>
      <c r="U597" s="132"/>
      <c r="V597" s="254" t="s">
        <v>59</v>
      </c>
    </row>
    <row r="598" spans="1:22" ht="62.4" x14ac:dyDescent="0.3">
      <c r="A598" s="132">
        <v>592</v>
      </c>
      <c r="B598" s="43" t="s">
        <v>21</v>
      </c>
      <c r="C598" s="44" t="s">
        <v>30</v>
      </c>
      <c r="D598" s="132"/>
      <c r="E598" s="254" t="s">
        <v>75</v>
      </c>
      <c r="F598" s="225" t="s">
        <v>909</v>
      </c>
      <c r="G598" s="132" t="s">
        <v>185</v>
      </c>
      <c r="H598" s="119">
        <v>25.65</v>
      </c>
      <c r="I598" s="132">
        <v>3</v>
      </c>
      <c r="J598" s="119">
        <v>76.95</v>
      </c>
      <c r="K598" s="119">
        <v>25.65</v>
      </c>
      <c r="L598" s="254">
        <v>3</v>
      </c>
      <c r="M598" s="119">
        <v>76.95</v>
      </c>
      <c r="N598" s="6" t="s">
        <v>1276</v>
      </c>
      <c r="O598" s="255">
        <v>45463</v>
      </c>
      <c r="P598" s="33" t="str">
        <f>HYPERLINK("https://my.zakupivli.pro/remote/dispatcher/state_purchase_view/51759838", "UA-2024-06-20-010243-a")</f>
        <v>UA-2024-06-20-010243-a</v>
      </c>
      <c r="Q598" s="119">
        <v>25.65</v>
      </c>
      <c r="R598" s="254">
        <v>3</v>
      </c>
      <c r="S598" s="119">
        <v>76.95</v>
      </c>
      <c r="T598" s="255">
        <v>45463</v>
      </c>
      <c r="U598" s="132"/>
      <c r="V598" s="254" t="s">
        <v>59</v>
      </c>
    </row>
    <row r="599" spans="1:22" ht="62.4" x14ac:dyDescent="0.3">
      <c r="A599" s="132">
        <v>593</v>
      </c>
      <c r="B599" s="43" t="s">
        <v>21</v>
      </c>
      <c r="C599" s="44" t="s">
        <v>32</v>
      </c>
      <c r="D599" s="132"/>
      <c r="E599" s="254" t="s">
        <v>75</v>
      </c>
      <c r="F599" s="225" t="s">
        <v>1274</v>
      </c>
      <c r="G599" s="132" t="s">
        <v>185</v>
      </c>
      <c r="H599" s="254">
        <v>59.770699999999998</v>
      </c>
      <c r="I599" s="132">
        <v>1</v>
      </c>
      <c r="J599" s="132">
        <v>59.770699999999998</v>
      </c>
      <c r="K599" s="254">
        <v>59.770699999999998</v>
      </c>
      <c r="L599" s="254">
        <v>1</v>
      </c>
      <c r="M599" s="254">
        <v>59.770699999999998</v>
      </c>
      <c r="N599" s="6" t="s">
        <v>1277</v>
      </c>
      <c r="O599" s="255">
        <v>45463</v>
      </c>
      <c r="P599" s="33" t="str">
        <f>HYPERLINK("https://my.zakupivli.pro/remote/dispatcher/state_purchase_view/51759365", "UA-2024-06-20-010026-a")</f>
        <v>UA-2024-06-20-010026-a</v>
      </c>
      <c r="Q599" s="254">
        <v>59.770699999999998</v>
      </c>
      <c r="R599" s="254">
        <v>1</v>
      </c>
      <c r="S599" s="254">
        <v>59.770699999999998</v>
      </c>
      <c r="T599" s="255">
        <v>45463</v>
      </c>
      <c r="U599" s="132"/>
      <c r="V599" s="254" t="s">
        <v>59</v>
      </c>
    </row>
    <row r="600" spans="1:22" ht="62.4" x14ac:dyDescent="0.3">
      <c r="A600" s="132">
        <v>594</v>
      </c>
      <c r="B600" s="43" t="s">
        <v>40</v>
      </c>
      <c r="C600" s="44" t="s">
        <v>885</v>
      </c>
      <c r="D600" s="132"/>
      <c r="E600" s="257" t="s">
        <v>373</v>
      </c>
      <c r="F600" s="44" t="s">
        <v>1278</v>
      </c>
      <c r="G600" s="132" t="s">
        <v>184</v>
      </c>
      <c r="H600" s="132">
        <v>133.03546</v>
      </c>
      <c r="I600" s="132">
        <v>1</v>
      </c>
      <c r="J600" s="257">
        <v>133.03546</v>
      </c>
      <c r="K600" s="257">
        <v>133.03546</v>
      </c>
      <c r="L600" s="257">
        <v>1</v>
      </c>
      <c r="M600" s="257">
        <v>133.03546</v>
      </c>
      <c r="N600" s="6" t="s">
        <v>1287</v>
      </c>
      <c r="O600" s="133">
        <v>45468</v>
      </c>
      <c r="P600" s="33" t="str">
        <f>HYPERLINK("https://my.zakupivli.pro/remote/dispatcher/state_purchase_view/51822469", "UA-2024-06-25-002869-a")</f>
        <v>UA-2024-06-25-002869-a</v>
      </c>
      <c r="Q600" s="257">
        <v>133.03546</v>
      </c>
      <c r="R600" s="257">
        <v>1</v>
      </c>
      <c r="S600" s="257">
        <v>133.03546</v>
      </c>
      <c r="T600" s="133">
        <v>45467</v>
      </c>
      <c r="U600" s="132"/>
      <c r="V600" s="257" t="s">
        <v>59</v>
      </c>
    </row>
    <row r="601" spans="1:22" ht="62.4" x14ac:dyDescent="0.3">
      <c r="A601" s="132">
        <v>595</v>
      </c>
      <c r="B601" s="43" t="s">
        <v>40</v>
      </c>
      <c r="C601" s="44" t="s">
        <v>885</v>
      </c>
      <c r="D601" s="132"/>
      <c r="E601" s="257" t="s">
        <v>373</v>
      </c>
      <c r="F601" s="44" t="s">
        <v>1279</v>
      </c>
      <c r="G601" s="257" t="s">
        <v>184</v>
      </c>
      <c r="H601" s="132">
        <v>140.55975000000001</v>
      </c>
      <c r="I601" s="132">
        <v>1</v>
      </c>
      <c r="J601" s="257">
        <v>140.55975000000001</v>
      </c>
      <c r="K601" s="257">
        <v>140.55975000000001</v>
      </c>
      <c r="L601" s="257">
        <v>1</v>
      </c>
      <c r="M601" s="257">
        <v>140.55975000000001</v>
      </c>
      <c r="N601" s="6" t="s">
        <v>1288</v>
      </c>
      <c r="O601" s="256">
        <v>45468</v>
      </c>
      <c r="P601" s="33" t="str">
        <f>HYPERLINK("https://my.zakupivli.pro/remote/dispatcher/state_purchase_view/51820402", "UA-2024-06-25-001923-a")</f>
        <v>UA-2024-06-25-001923-a</v>
      </c>
      <c r="Q601" s="257">
        <v>140.55975000000001</v>
      </c>
      <c r="R601" s="257">
        <v>1</v>
      </c>
      <c r="S601" s="257">
        <v>140.55975000000001</v>
      </c>
      <c r="T601" s="256">
        <v>45467</v>
      </c>
      <c r="U601" s="132"/>
      <c r="V601" s="257" t="s">
        <v>59</v>
      </c>
    </row>
    <row r="602" spans="1:22" ht="62.4" x14ac:dyDescent="0.3">
      <c r="A602" s="132">
        <v>596</v>
      </c>
      <c r="B602" s="43" t="s">
        <v>21</v>
      </c>
      <c r="C602" s="44" t="s">
        <v>1286</v>
      </c>
      <c r="D602" s="132"/>
      <c r="E602" s="257" t="s">
        <v>75</v>
      </c>
      <c r="F602" s="44" t="s">
        <v>1280</v>
      </c>
      <c r="G602" s="132" t="s">
        <v>186</v>
      </c>
      <c r="H602" s="257">
        <v>83.239199999999997</v>
      </c>
      <c r="I602" s="132">
        <v>1</v>
      </c>
      <c r="J602" s="132">
        <v>83.239199999999997</v>
      </c>
      <c r="K602" s="257">
        <v>83.239199999999997</v>
      </c>
      <c r="L602" s="257">
        <v>1</v>
      </c>
      <c r="M602" s="257">
        <v>83.239199999999997</v>
      </c>
      <c r="N602" s="6" t="s">
        <v>1289</v>
      </c>
      <c r="O602" s="256">
        <v>45468</v>
      </c>
      <c r="P602" s="33" t="str">
        <f>HYPERLINK("https://my.zakupivli.pro/remote/dispatcher/state_purchase_view/51818650", "UA-2024-06-25-001166-a")</f>
        <v>UA-2024-06-25-001166-a</v>
      </c>
      <c r="Q602" s="257">
        <v>83.239199999999997</v>
      </c>
      <c r="R602" s="257">
        <v>1</v>
      </c>
      <c r="S602" s="257">
        <v>83.239199999999997</v>
      </c>
      <c r="T602" s="256">
        <v>45468</v>
      </c>
      <c r="U602" s="132"/>
      <c r="V602" s="257" t="s">
        <v>59</v>
      </c>
    </row>
    <row r="603" spans="1:22" ht="78" x14ac:dyDescent="0.3">
      <c r="A603" s="132">
        <v>597</v>
      </c>
      <c r="B603" s="43" t="s">
        <v>40</v>
      </c>
      <c r="C603" s="44" t="s">
        <v>885</v>
      </c>
      <c r="D603" s="132"/>
      <c r="E603" s="257" t="s">
        <v>373</v>
      </c>
      <c r="F603" s="44" t="s">
        <v>1281</v>
      </c>
      <c r="G603" s="257" t="s">
        <v>184</v>
      </c>
      <c r="H603" s="132">
        <v>290.59892000000002</v>
      </c>
      <c r="I603" s="132">
        <v>1</v>
      </c>
      <c r="J603" s="257">
        <v>290.59892000000002</v>
      </c>
      <c r="K603" s="257">
        <v>290.59892000000002</v>
      </c>
      <c r="L603" s="257">
        <v>1</v>
      </c>
      <c r="M603" s="257">
        <v>290.59892000000002</v>
      </c>
      <c r="N603" s="6" t="s">
        <v>1290</v>
      </c>
      <c r="O603" s="256">
        <v>45468</v>
      </c>
      <c r="P603" s="33" t="str">
        <f>HYPERLINK("https://my.zakupivli.pro/remote/dispatcher/state_purchase_view/51817543", "UA-2024-06-25-000716-a")</f>
        <v>UA-2024-06-25-000716-a</v>
      </c>
      <c r="Q603" s="257">
        <v>290.59892000000002</v>
      </c>
      <c r="R603" s="257">
        <v>1</v>
      </c>
      <c r="S603" s="257">
        <v>290.59892000000002</v>
      </c>
      <c r="T603" s="256">
        <v>45467</v>
      </c>
      <c r="U603" s="132"/>
      <c r="V603" s="257" t="s">
        <v>59</v>
      </c>
    </row>
    <row r="604" spans="1:22" ht="78" x14ac:dyDescent="0.3">
      <c r="A604" s="132">
        <v>598</v>
      </c>
      <c r="B604" s="43" t="s">
        <v>40</v>
      </c>
      <c r="C604" s="44" t="s">
        <v>885</v>
      </c>
      <c r="D604" s="132"/>
      <c r="E604" s="257" t="s">
        <v>373</v>
      </c>
      <c r="F604" s="44" t="s">
        <v>1282</v>
      </c>
      <c r="G604" s="257" t="s">
        <v>184</v>
      </c>
      <c r="H604" s="132">
        <v>98.492909999999995</v>
      </c>
      <c r="I604" s="132">
        <v>1</v>
      </c>
      <c r="J604" s="257">
        <v>98.492909999999995</v>
      </c>
      <c r="K604" s="257">
        <v>98.492909999999995</v>
      </c>
      <c r="L604" s="257">
        <v>1</v>
      </c>
      <c r="M604" s="257">
        <v>98.492909999999995</v>
      </c>
      <c r="N604" s="6" t="s">
        <v>1291</v>
      </c>
      <c r="O604" s="256">
        <v>45468</v>
      </c>
      <c r="P604" s="33" t="str">
        <f>HYPERLINK("https://my.zakupivli.pro/remote/dispatcher/state_purchase_view/51817314", "UA-2024-06-25-000624-a")</f>
        <v>UA-2024-06-25-000624-a</v>
      </c>
      <c r="Q604" s="257">
        <v>98.492909999999995</v>
      </c>
      <c r="R604" s="257">
        <v>1</v>
      </c>
      <c r="S604" s="257">
        <v>98.492909999999995</v>
      </c>
      <c r="T604" s="256">
        <v>45467</v>
      </c>
      <c r="U604" s="132"/>
      <c r="V604" s="257" t="s">
        <v>59</v>
      </c>
    </row>
    <row r="605" spans="1:22" ht="78" x14ac:dyDescent="0.3">
      <c r="A605" s="132">
        <v>599</v>
      </c>
      <c r="B605" s="43" t="s">
        <v>40</v>
      </c>
      <c r="C605" s="44" t="s">
        <v>885</v>
      </c>
      <c r="D605" s="132"/>
      <c r="E605" s="257" t="s">
        <v>373</v>
      </c>
      <c r="F605" s="44" t="s">
        <v>1283</v>
      </c>
      <c r="G605" s="257" t="s">
        <v>184</v>
      </c>
      <c r="H605" s="132">
        <v>270.58053000000001</v>
      </c>
      <c r="I605" s="257">
        <v>1</v>
      </c>
      <c r="J605" s="257">
        <v>270.58053000000001</v>
      </c>
      <c r="K605" s="257">
        <v>270.58053000000001</v>
      </c>
      <c r="L605" s="257">
        <v>1</v>
      </c>
      <c r="M605" s="257">
        <v>270.58053000000001</v>
      </c>
      <c r="N605" s="6" t="s">
        <v>1292</v>
      </c>
      <c r="O605" s="256">
        <v>45468</v>
      </c>
      <c r="P605" s="33" t="str">
        <f>HYPERLINK("https://my.zakupivli.pro/remote/dispatcher/state_purchase_view/51817193", "UA-2024-06-25-000567-a")</f>
        <v>UA-2024-06-25-000567-a</v>
      </c>
      <c r="Q605" s="257">
        <v>270.58053000000001</v>
      </c>
      <c r="R605" s="257">
        <v>1</v>
      </c>
      <c r="S605" s="257">
        <v>270.58053000000001</v>
      </c>
      <c r="T605" s="256">
        <v>45467</v>
      </c>
      <c r="U605" s="132"/>
      <c r="V605" s="257" t="s">
        <v>59</v>
      </c>
    </row>
    <row r="606" spans="1:22" ht="62.4" x14ac:dyDescent="0.3">
      <c r="A606" s="132">
        <v>600</v>
      </c>
      <c r="B606" s="43" t="s">
        <v>40</v>
      </c>
      <c r="C606" s="44" t="s">
        <v>41</v>
      </c>
      <c r="D606" s="132"/>
      <c r="E606" s="257" t="s">
        <v>373</v>
      </c>
      <c r="F606" s="44" t="s">
        <v>1284</v>
      </c>
      <c r="G606" s="257" t="s">
        <v>184</v>
      </c>
      <c r="H606" s="132">
        <v>172.96986000000001</v>
      </c>
      <c r="I606" s="257">
        <v>1</v>
      </c>
      <c r="J606" s="257">
        <v>172.96986000000001</v>
      </c>
      <c r="K606" s="257">
        <v>172.96986000000001</v>
      </c>
      <c r="L606" s="257">
        <v>1</v>
      </c>
      <c r="M606" s="257">
        <v>172.96986000000001</v>
      </c>
      <c r="N606" s="6" t="s">
        <v>1293</v>
      </c>
      <c r="O606" s="256">
        <v>45468</v>
      </c>
      <c r="P606" s="33" t="str">
        <f>HYPERLINK("https://my.zakupivli.pro/remote/dispatcher/state_purchase_view/51817090", "UA-2024-06-25-000508-a")</f>
        <v>UA-2024-06-25-000508-a</v>
      </c>
      <c r="Q606" s="257">
        <v>172.96986000000001</v>
      </c>
      <c r="R606" s="257">
        <v>1</v>
      </c>
      <c r="S606" s="257">
        <v>172.96986000000001</v>
      </c>
      <c r="T606" s="256">
        <v>45467</v>
      </c>
      <c r="U606" s="132"/>
      <c r="V606" s="257" t="s">
        <v>59</v>
      </c>
    </row>
    <row r="607" spans="1:22" ht="78" x14ac:dyDescent="0.3">
      <c r="A607" s="132">
        <v>601</v>
      </c>
      <c r="B607" s="43" t="s">
        <v>40</v>
      </c>
      <c r="C607" s="44" t="s">
        <v>885</v>
      </c>
      <c r="D607" s="132"/>
      <c r="E607" s="257" t="s">
        <v>373</v>
      </c>
      <c r="F607" s="44" t="s">
        <v>1285</v>
      </c>
      <c r="G607" s="257" t="s">
        <v>184</v>
      </c>
      <c r="H607" s="132">
        <v>118.16503</v>
      </c>
      <c r="I607" s="257">
        <v>1</v>
      </c>
      <c r="J607" s="257">
        <v>118.16503</v>
      </c>
      <c r="K607" s="257">
        <v>118.16503</v>
      </c>
      <c r="L607" s="257">
        <v>1</v>
      </c>
      <c r="M607" s="257">
        <v>118.16503</v>
      </c>
      <c r="N607" s="6" t="s">
        <v>1294</v>
      </c>
      <c r="O607" s="256">
        <v>45468</v>
      </c>
      <c r="P607" s="33" t="str">
        <f>HYPERLINK("https://my.zakupivli.pro/remote/dispatcher/state_purchase_view/51816944", "UA-2024-06-25-000445-a")</f>
        <v>UA-2024-06-25-000445-a</v>
      </c>
      <c r="Q607" s="257">
        <v>118.16503</v>
      </c>
      <c r="R607" s="257">
        <v>1</v>
      </c>
      <c r="S607" s="257">
        <v>118.16503</v>
      </c>
      <c r="T607" s="256">
        <v>45467</v>
      </c>
      <c r="U607" s="132"/>
      <c r="V607" s="257" t="s">
        <v>59</v>
      </c>
    </row>
    <row r="608" spans="1:22" ht="62.4" x14ac:dyDescent="0.3">
      <c r="A608" s="132">
        <v>602</v>
      </c>
      <c r="B608" s="43" t="s">
        <v>40</v>
      </c>
      <c r="C608" s="44" t="s">
        <v>73</v>
      </c>
      <c r="D608" s="132"/>
      <c r="E608" s="258" t="s">
        <v>75</v>
      </c>
      <c r="F608" s="44" t="s">
        <v>1295</v>
      </c>
      <c r="G608" s="258" t="s">
        <v>184</v>
      </c>
      <c r="H608" s="132">
        <v>535.61528999999996</v>
      </c>
      <c r="I608" s="132">
        <v>1</v>
      </c>
      <c r="J608" s="258">
        <v>535.61528999999996</v>
      </c>
      <c r="K608" s="258">
        <v>535.61528999999996</v>
      </c>
      <c r="L608" s="258">
        <v>1</v>
      </c>
      <c r="M608" s="258">
        <v>535.61528999999996</v>
      </c>
      <c r="N608" s="6" t="s">
        <v>1296</v>
      </c>
      <c r="O608" s="133">
        <v>45469</v>
      </c>
      <c r="P608" s="33" t="str">
        <f>HYPERLINK("https://my.zakupivli.pro/remote/dispatcher/state_purchase_view/51864709", "UA-2024-06-26-010363-a")</f>
        <v>UA-2024-06-26-010363-a</v>
      </c>
      <c r="Q608" s="258">
        <v>535.61528999999996</v>
      </c>
      <c r="R608" s="258">
        <v>1</v>
      </c>
      <c r="S608" s="258">
        <v>535.61528999999996</v>
      </c>
      <c r="T608" s="133">
        <v>45469</v>
      </c>
      <c r="U608" s="132"/>
      <c r="V608" s="258" t="s">
        <v>59</v>
      </c>
    </row>
    <row r="609" spans="1:22" ht="62.4" x14ac:dyDescent="0.3">
      <c r="A609" s="132">
        <v>603</v>
      </c>
      <c r="B609" s="43" t="s">
        <v>21</v>
      </c>
      <c r="C609" s="44" t="s">
        <v>413</v>
      </c>
      <c r="D609" s="132"/>
      <c r="E609" s="259" t="s">
        <v>373</v>
      </c>
      <c r="F609" s="225" t="s">
        <v>1297</v>
      </c>
      <c r="G609" s="132" t="s">
        <v>185</v>
      </c>
      <c r="H609" s="132">
        <v>64.333330000000004</v>
      </c>
      <c r="I609" s="132">
        <v>1</v>
      </c>
      <c r="J609" s="259">
        <v>64.333330000000004</v>
      </c>
      <c r="K609" s="259">
        <v>64.333330000000004</v>
      </c>
      <c r="L609" s="259">
        <v>1</v>
      </c>
      <c r="M609" s="259">
        <v>64.333330000000004</v>
      </c>
      <c r="N609" s="6" t="s">
        <v>1298</v>
      </c>
      <c r="O609" s="133">
        <v>45474</v>
      </c>
      <c r="P609" s="33" t="str">
        <f>HYPERLINK("https://my.zakupivli.pro/remote/dispatcher/state_purchase_view/51920404", "UA-2024-07-01-004453-a")</f>
        <v>UA-2024-07-01-004453-a</v>
      </c>
      <c r="Q609" s="259">
        <v>64.333330000000004</v>
      </c>
      <c r="R609" s="259">
        <v>1</v>
      </c>
      <c r="S609" s="259">
        <v>64.333330000000004</v>
      </c>
      <c r="T609" s="133">
        <v>45474</v>
      </c>
      <c r="U609" s="132"/>
      <c r="V609" s="259" t="s">
        <v>59</v>
      </c>
    </row>
    <row r="610" spans="1:22" ht="62.4" x14ac:dyDescent="0.3">
      <c r="A610" s="132">
        <v>604</v>
      </c>
      <c r="B610" s="43" t="s">
        <v>40</v>
      </c>
      <c r="C610" s="44" t="s">
        <v>41</v>
      </c>
      <c r="D610" s="132"/>
      <c r="E610" s="260" t="s">
        <v>75</v>
      </c>
      <c r="F610" s="44" t="s">
        <v>1299</v>
      </c>
      <c r="G610" s="260" t="s">
        <v>184</v>
      </c>
      <c r="H610" s="132">
        <v>675.13612000000001</v>
      </c>
      <c r="I610" s="132">
        <v>1</v>
      </c>
      <c r="J610" s="260">
        <v>675.13612000000001</v>
      </c>
      <c r="K610" s="260">
        <v>675.13612000000001</v>
      </c>
      <c r="L610" s="260">
        <v>1</v>
      </c>
      <c r="M610" s="260">
        <v>675.13612000000001</v>
      </c>
      <c r="N610" s="6" t="s">
        <v>1300</v>
      </c>
      <c r="O610" s="133">
        <v>45475</v>
      </c>
      <c r="P610" s="122" t="str">
        <f>HYPERLINK("https://my.zakupivli.pro/remote/dispatcher/state_purchase_view/51931077", "UA-2024-07-02-000094-a")</f>
        <v>UA-2024-07-02-000094-a</v>
      </c>
      <c r="Q610" s="260">
        <v>675.13612000000001</v>
      </c>
      <c r="R610" s="260">
        <v>1</v>
      </c>
      <c r="S610" s="260">
        <v>675.13612000000001</v>
      </c>
      <c r="T610" s="133">
        <v>45475</v>
      </c>
      <c r="U610" s="132"/>
      <c r="V610" s="260" t="s">
        <v>59</v>
      </c>
    </row>
    <row r="611" spans="1:22" ht="62.4" x14ac:dyDescent="0.3">
      <c r="A611" s="132">
        <v>605</v>
      </c>
      <c r="B611" s="43" t="s">
        <v>21</v>
      </c>
      <c r="C611" s="44" t="s">
        <v>1303</v>
      </c>
      <c r="D611" s="132"/>
      <c r="E611" s="261" t="s">
        <v>75</v>
      </c>
      <c r="F611" s="44" t="s">
        <v>1301</v>
      </c>
      <c r="G611" s="132" t="s">
        <v>185</v>
      </c>
      <c r="H611" s="132">
        <v>71.025000000000006</v>
      </c>
      <c r="I611" s="132">
        <v>1</v>
      </c>
      <c r="J611" s="261">
        <v>71.025000000000006</v>
      </c>
      <c r="K611" s="261">
        <v>71.025000000000006</v>
      </c>
      <c r="L611" s="261">
        <v>1</v>
      </c>
      <c r="M611" s="261">
        <v>71.025000000000006</v>
      </c>
      <c r="N611" s="6" t="s">
        <v>1304</v>
      </c>
      <c r="O611" s="133">
        <v>45476</v>
      </c>
      <c r="P611" s="33" t="str">
        <f>HYPERLINK("https://my.zakupivli.pro/remote/dispatcher/state_purchase_view/51960186", "UA-2024-07-03-002336-a")</f>
        <v>UA-2024-07-03-002336-a</v>
      </c>
      <c r="Q611" s="261">
        <v>71.025000000000006</v>
      </c>
      <c r="R611" s="261">
        <v>1</v>
      </c>
      <c r="S611" s="261">
        <v>71.025000000000006</v>
      </c>
      <c r="T611" s="133">
        <v>45476</v>
      </c>
      <c r="U611" s="132"/>
      <c r="V611" s="261" t="s">
        <v>59</v>
      </c>
    </row>
    <row r="612" spans="1:22" ht="62.4" x14ac:dyDescent="0.3">
      <c r="A612" s="132">
        <v>606</v>
      </c>
      <c r="B612" s="43" t="s">
        <v>40</v>
      </c>
      <c r="C612" s="44" t="s">
        <v>73</v>
      </c>
      <c r="D612" s="132"/>
      <c r="E612" s="261" t="s">
        <v>75</v>
      </c>
      <c r="F612" s="44" t="s">
        <v>1302</v>
      </c>
      <c r="G612" s="132" t="s">
        <v>184</v>
      </c>
      <c r="H612" s="132">
        <v>184.85871</v>
      </c>
      <c r="I612" s="132">
        <v>1</v>
      </c>
      <c r="J612" s="261">
        <v>184.85871</v>
      </c>
      <c r="K612" s="261">
        <v>184.85871</v>
      </c>
      <c r="L612" s="261">
        <v>1</v>
      </c>
      <c r="M612" s="261">
        <v>184.85871</v>
      </c>
      <c r="N612" s="6" t="s">
        <v>1305</v>
      </c>
      <c r="O612" s="262">
        <v>45476</v>
      </c>
      <c r="P612" s="33" t="str">
        <f>HYPERLINK("https://my.zakupivli.pro/remote/dispatcher/state_purchase_view/51971165", "UA-2024-07-03-007270-a")</f>
        <v>UA-2024-07-03-007270-a</v>
      </c>
      <c r="Q612" s="261">
        <v>184.85871</v>
      </c>
      <c r="R612" s="261">
        <v>1</v>
      </c>
      <c r="S612" s="261">
        <v>184.85871</v>
      </c>
      <c r="T612" s="262">
        <v>45476</v>
      </c>
      <c r="U612" s="132"/>
      <c r="V612" s="261" t="s">
        <v>59</v>
      </c>
    </row>
    <row r="613" spans="1:22" ht="62.4" x14ac:dyDescent="0.3">
      <c r="A613" s="132">
        <v>607</v>
      </c>
      <c r="B613" s="43" t="s">
        <v>21</v>
      </c>
      <c r="C613" s="44" t="s">
        <v>895</v>
      </c>
      <c r="D613" s="132"/>
      <c r="E613" s="264" t="s">
        <v>75</v>
      </c>
      <c r="F613" s="44" t="s">
        <v>1306</v>
      </c>
      <c r="G613" s="132" t="s">
        <v>185</v>
      </c>
      <c r="H613" s="119">
        <v>16.5</v>
      </c>
      <c r="I613" s="132">
        <v>5</v>
      </c>
      <c r="J613" s="119">
        <v>82.5</v>
      </c>
      <c r="K613" s="119">
        <v>16.5</v>
      </c>
      <c r="L613" s="264">
        <v>5</v>
      </c>
      <c r="M613" s="119">
        <v>82.5</v>
      </c>
      <c r="N613" s="6" t="s">
        <v>1308</v>
      </c>
      <c r="O613" s="133">
        <v>45481</v>
      </c>
      <c r="P613" s="33" t="str">
        <f>HYPERLINK("https://my.zakupivli.pro/remote/dispatcher/state_purchase_view/52043167", "UA-2024-07-08-006396-a")</f>
        <v>UA-2024-07-08-006396-a</v>
      </c>
      <c r="Q613" s="119">
        <v>16.5</v>
      </c>
      <c r="R613" s="264">
        <v>5</v>
      </c>
      <c r="S613" s="119">
        <v>82.5</v>
      </c>
      <c r="T613" s="263">
        <v>45481</v>
      </c>
      <c r="U613" s="132"/>
      <c r="V613" s="264" t="s">
        <v>59</v>
      </c>
    </row>
    <row r="614" spans="1:22" ht="62.4" x14ac:dyDescent="0.3">
      <c r="A614" s="132">
        <v>608</v>
      </c>
      <c r="B614" s="43" t="s">
        <v>21</v>
      </c>
      <c r="C614" s="44" t="s">
        <v>32</v>
      </c>
      <c r="D614" s="132"/>
      <c r="E614" s="264" t="s">
        <v>75</v>
      </c>
      <c r="F614" s="44" t="s">
        <v>1307</v>
      </c>
      <c r="G614" s="132" t="s">
        <v>185</v>
      </c>
      <c r="H614" s="119">
        <v>36</v>
      </c>
      <c r="I614" s="132">
        <v>2</v>
      </c>
      <c r="J614" s="119">
        <v>72</v>
      </c>
      <c r="K614" s="119">
        <v>36</v>
      </c>
      <c r="L614" s="264">
        <v>2</v>
      </c>
      <c r="M614" s="119">
        <v>72</v>
      </c>
      <c r="N614" s="6" t="s">
        <v>1309</v>
      </c>
      <c r="O614" s="263">
        <v>45481</v>
      </c>
      <c r="P614" s="33" t="str">
        <f>HYPERLINK("https://my.zakupivli.pro/remote/dispatcher/state_purchase_view/52044369", "UA-2024-07-08-006915-a")</f>
        <v>UA-2024-07-08-006915-a</v>
      </c>
      <c r="Q614" s="119">
        <v>36</v>
      </c>
      <c r="R614" s="264">
        <v>2</v>
      </c>
      <c r="S614" s="119">
        <v>72</v>
      </c>
      <c r="T614" s="263">
        <v>45481</v>
      </c>
      <c r="U614" s="132"/>
      <c r="V614" s="264" t="s">
        <v>59</v>
      </c>
    </row>
    <row r="615" spans="1:22" ht="62.4" x14ac:dyDescent="0.3">
      <c r="A615" s="132">
        <v>609</v>
      </c>
      <c r="B615" s="43" t="s">
        <v>40</v>
      </c>
      <c r="C615" s="44" t="s">
        <v>73</v>
      </c>
      <c r="D615" s="132"/>
      <c r="E615" s="265" t="s">
        <v>75</v>
      </c>
      <c r="F615" s="44" t="s">
        <v>1310</v>
      </c>
      <c r="G615" s="265" t="s">
        <v>184</v>
      </c>
      <c r="H615" s="119">
        <v>98</v>
      </c>
      <c r="I615" s="132">
        <v>1</v>
      </c>
      <c r="J615" s="119">
        <v>98</v>
      </c>
      <c r="K615" s="119">
        <v>98</v>
      </c>
      <c r="L615" s="265">
        <v>1</v>
      </c>
      <c r="M615" s="119">
        <v>98</v>
      </c>
      <c r="N615" s="6" t="s">
        <v>1311</v>
      </c>
      <c r="O615" s="133">
        <v>45483</v>
      </c>
      <c r="P615" s="33" t="str">
        <f>HYPERLINK("https://my.zakupivli.pro/remote/dispatcher/state_purchase_view/52095853", "UA-2024-07-10-008265-a")</f>
        <v>UA-2024-07-10-008265-a</v>
      </c>
      <c r="Q615" s="119">
        <v>98</v>
      </c>
      <c r="R615" s="265">
        <v>1</v>
      </c>
      <c r="S615" s="119">
        <v>98</v>
      </c>
      <c r="T615" s="266">
        <v>45483</v>
      </c>
      <c r="U615" s="132"/>
      <c r="V615" s="265" t="s">
        <v>59</v>
      </c>
    </row>
    <row r="616" spans="1:22" ht="62.4" x14ac:dyDescent="0.3">
      <c r="A616" s="132">
        <v>610</v>
      </c>
      <c r="B616" s="43" t="s">
        <v>40</v>
      </c>
      <c r="C616" s="44" t="s">
        <v>885</v>
      </c>
      <c r="D616" s="132"/>
      <c r="E616" s="267" t="s">
        <v>373</v>
      </c>
      <c r="F616" s="44" t="s">
        <v>1312</v>
      </c>
      <c r="G616" s="267" t="s">
        <v>184</v>
      </c>
      <c r="H616" s="132">
        <v>961.83731999999998</v>
      </c>
      <c r="I616" s="132">
        <v>1</v>
      </c>
      <c r="J616" s="267">
        <v>961.83731999999998</v>
      </c>
      <c r="K616" s="267">
        <v>961.83731999999998</v>
      </c>
      <c r="L616" s="267">
        <v>1</v>
      </c>
      <c r="M616" s="267">
        <v>961.83731999999998</v>
      </c>
      <c r="N616" s="6" t="s">
        <v>1316</v>
      </c>
      <c r="O616" s="268">
        <v>45488</v>
      </c>
      <c r="P616" s="33" t="str">
        <f>HYPERLINK("https://my.zakupivli.pro/remote/dispatcher/state_purchase_view/52153166", "UA-2024-07-15-002029-a")</f>
        <v>UA-2024-07-15-002029-a</v>
      </c>
      <c r="Q616" s="267">
        <v>961.83731999999998</v>
      </c>
      <c r="R616" s="267">
        <v>1</v>
      </c>
      <c r="S616" s="267">
        <v>961.83731999999998</v>
      </c>
      <c r="T616" s="133">
        <v>45485</v>
      </c>
      <c r="U616" s="132"/>
      <c r="V616" s="267" t="s">
        <v>59</v>
      </c>
    </row>
    <row r="617" spans="1:22" ht="62.4" x14ac:dyDescent="0.3">
      <c r="A617" s="132">
        <v>611</v>
      </c>
      <c r="B617" s="43" t="s">
        <v>40</v>
      </c>
      <c r="C617" s="44" t="s">
        <v>885</v>
      </c>
      <c r="D617" s="132"/>
      <c r="E617" s="267" t="s">
        <v>373</v>
      </c>
      <c r="F617" s="44" t="s">
        <v>1313</v>
      </c>
      <c r="G617" s="267" t="s">
        <v>184</v>
      </c>
      <c r="H617" s="132">
        <v>270.08897000000002</v>
      </c>
      <c r="I617" s="132">
        <v>1</v>
      </c>
      <c r="J617" s="267">
        <v>270.08897000000002</v>
      </c>
      <c r="K617" s="267">
        <v>270.08897000000002</v>
      </c>
      <c r="L617" s="267">
        <v>1</v>
      </c>
      <c r="M617" s="267">
        <v>270.08897000000002</v>
      </c>
      <c r="N617" s="6" t="s">
        <v>1317</v>
      </c>
      <c r="O617" s="268">
        <v>45488</v>
      </c>
      <c r="P617" s="33" t="str">
        <f>HYPERLINK("https://my.zakupivli.pro/remote/dispatcher/state_purchase_view/52153696", "UA-2024-07-15-002322-a")</f>
        <v>UA-2024-07-15-002322-a</v>
      </c>
      <c r="Q617" s="267">
        <v>270.08897000000002</v>
      </c>
      <c r="R617" s="267">
        <v>1</v>
      </c>
      <c r="S617" s="267">
        <v>270.08897000000002</v>
      </c>
      <c r="T617" s="268">
        <v>45485</v>
      </c>
      <c r="U617" s="132"/>
      <c r="V617" s="267" t="s">
        <v>59</v>
      </c>
    </row>
    <row r="618" spans="1:22" ht="93.6" x14ac:dyDescent="0.3">
      <c r="A618" s="132">
        <v>612</v>
      </c>
      <c r="B618" s="43" t="s">
        <v>21</v>
      </c>
      <c r="C618" s="44" t="s">
        <v>1315</v>
      </c>
      <c r="D618" s="132"/>
      <c r="E618" s="267" t="s">
        <v>75</v>
      </c>
      <c r="F618" s="44" t="s">
        <v>1314</v>
      </c>
      <c r="G618" s="132" t="s">
        <v>186</v>
      </c>
      <c r="H618" s="132"/>
      <c r="I618" s="132">
        <v>14</v>
      </c>
      <c r="J618" s="132">
        <v>46.283360000000002</v>
      </c>
      <c r="K618" s="132"/>
      <c r="L618" s="267">
        <v>14</v>
      </c>
      <c r="M618" s="267">
        <v>46.283360000000002</v>
      </c>
      <c r="N618" s="6" t="s">
        <v>1318</v>
      </c>
      <c r="O618" s="268">
        <v>45488</v>
      </c>
      <c r="P618" s="33" t="str">
        <f>HYPERLINK("https://my.zakupivli.pro/remote/dispatcher/state_purchase_view/52158746", "UA-2024-07-15-004574-a")</f>
        <v>UA-2024-07-15-004574-a</v>
      </c>
      <c r="Q618" s="132"/>
      <c r="R618" s="267">
        <v>14</v>
      </c>
      <c r="S618" s="267">
        <v>46.283360000000002</v>
      </c>
      <c r="T618" s="133">
        <v>45488</v>
      </c>
      <c r="U618" s="132"/>
      <c r="V618" s="267" t="s">
        <v>59</v>
      </c>
    </row>
    <row r="619" spans="1:22" ht="62.4" x14ac:dyDescent="0.3">
      <c r="A619" s="132">
        <v>613</v>
      </c>
      <c r="B619" s="43" t="s">
        <v>40</v>
      </c>
      <c r="C619" s="44" t="s">
        <v>885</v>
      </c>
      <c r="D619" s="132"/>
      <c r="E619" s="269" t="s">
        <v>373</v>
      </c>
      <c r="F619" s="44" t="s">
        <v>1319</v>
      </c>
      <c r="G619" s="269" t="s">
        <v>184</v>
      </c>
      <c r="H619" s="132">
        <v>194.94922</v>
      </c>
      <c r="I619" s="132">
        <v>1</v>
      </c>
      <c r="J619" s="269">
        <v>194.94922</v>
      </c>
      <c r="K619" s="269">
        <v>194.94922</v>
      </c>
      <c r="L619" s="269">
        <v>1</v>
      </c>
      <c r="M619" s="269">
        <v>194.94922</v>
      </c>
      <c r="N619" s="6" t="s">
        <v>1320</v>
      </c>
      <c r="O619" s="133">
        <v>45489</v>
      </c>
      <c r="P619" s="33" t="str">
        <f>HYPERLINK("https://my.zakupivli.pro/remote/dispatcher/state_purchase_view/52186008", "UA-2024-07-16-006910-a")</f>
        <v>UA-2024-07-16-006910-a</v>
      </c>
      <c r="Q619" s="269">
        <v>194.94922</v>
      </c>
      <c r="R619" s="269">
        <v>1</v>
      </c>
      <c r="S619" s="269">
        <v>194.94922</v>
      </c>
      <c r="T619" s="270">
        <v>45489</v>
      </c>
      <c r="U619" s="132"/>
      <c r="V619" s="269" t="s">
        <v>59</v>
      </c>
    </row>
    <row r="620" spans="1:22" ht="62.4" x14ac:dyDescent="0.3">
      <c r="A620" s="132">
        <v>614</v>
      </c>
      <c r="B620" s="43" t="s">
        <v>1151</v>
      </c>
      <c r="C620" s="44" t="s">
        <v>1323</v>
      </c>
      <c r="D620" s="132"/>
      <c r="E620" s="271" t="s">
        <v>75</v>
      </c>
      <c r="F620" s="44" t="s">
        <v>1321</v>
      </c>
      <c r="G620" s="132" t="s">
        <v>1150</v>
      </c>
      <c r="H620" s="132">
        <v>83.293670000000006</v>
      </c>
      <c r="I620" s="132">
        <v>1</v>
      </c>
      <c r="J620" s="271">
        <v>83.293670000000006</v>
      </c>
      <c r="K620" s="271">
        <v>83.293670000000006</v>
      </c>
      <c r="L620" s="271">
        <v>1</v>
      </c>
      <c r="M620" s="271">
        <v>83.293670000000006</v>
      </c>
      <c r="N620" s="6" t="s">
        <v>1324</v>
      </c>
      <c r="O620" s="133">
        <v>45491</v>
      </c>
      <c r="P620" s="33" t="str">
        <f>HYPERLINK("https://my.zakupivli.pro/remote/dispatcher/state_purchase_view/52220424", "UA-2024-07-18-003108-a")</f>
        <v>UA-2024-07-18-003108-a</v>
      </c>
      <c r="Q620" s="271">
        <v>83.293670000000006</v>
      </c>
      <c r="R620" s="271">
        <v>1</v>
      </c>
      <c r="S620" s="271">
        <v>83.293670000000006</v>
      </c>
      <c r="T620" s="272">
        <v>45491</v>
      </c>
      <c r="U620" s="132"/>
      <c r="V620" s="271" t="s">
        <v>59</v>
      </c>
    </row>
    <row r="621" spans="1:22" ht="62.4" x14ac:dyDescent="0.3">
      <c r="A621" s="132">
        <v>615</v>
      </c>
      <c r="B621" s="43" t="s">
        <v>21</v>
      </c>
      <c r="C621" s="44" t="s">
        <v>1069</v>
      </c>
      <c r="D621" s="132"/>
      <c r="E621" s="271" t="s">
        <v>75</v>
      </c>
      <c r="F621" s="44" t="s">
        <v>1322</v>
      </c>
      <c r="G621" s="132" t="s">
        <v>185</v>
      </c>
      <c r="H621" s="132"/>
      <c r="I621" s="132">
        <v>44</v>
      </c>
      <c r="J621" s="132">
        <v>70.007000000000005</v>
      </c>
      <c r="K621" s="132"/>
      <c r="L621" s="271">
        <v>44</v>
      </c>
      <c r="M621" s="271">
        <v>70.007000000000005</v>
      </c>
      <c r="N621" s="6" t="s">
        <v>1325</v>
      </c>
      <c r="O621" s="272">
        <v>45491</v>
      </c>
      <c r="P621" s="33" t="str">
        <f>HYPERLINK("https://my.zakupivli.pro/remote/dispatcher/state_purchase_view/52221727", "UA-2024-07-18-003762-a")</f>
        <v>UA-2024-07-18-003762-a</v>
      </c>
      <c r="Q621" s="132"/>
      <c r="R621" s="271">
        <v>44</v>
      </c>
      <c r="S621" s="271">
        <v>70.007000000000005</v>
      </c>
      <c r="T621" s="272">
        <v>45491</v>
      </c>
      <c r="U621" s="132"/>
      <c r="V621" s="271" t="s">
        <v>59</v>
      </c>
    </row>
    <row r="622" spans="1:22" ht="62.4" x14ac:dyDescent="0.3">
      <c r="A622" s="132">
        <v>616</v>
      </c>
      <c r="B622" s="43" t="s">
        <v>40</v>
      </c>
      <c r="C622" s="44" t="s">
        <v>885</v>
      </c>
      <c r="D622" s="132"/>
      <c r="E622" s="273" t="s">
        <v>373</v>
      </c>
      <c r="F622" s="44" t="s">
        <v>1326</v>
      </c>
      <c r="G622" s="273" t="s">
        <v>184</v>
      </c>
      <c r="H622" s="132">
        <v>163.80811</v>
      </c>
      <c r="I622" s="132">
        <v>1</v>
      </c>
      <c r="J622" s="273">
        <v>163.80811</v>
      </c>
      <c r="K622" s="273">
        <v>163.80811</v>
      </c>
      <c r="L622" s="273">
        <v>1</v>
      </c>
      <c r="M622" s="273">
        <v>163.80811</v>
      </c>
      <c r="N622" s="6" t="s">
        <v>1331</v>
      </c>
      <c r="O622" s="133">
        <v>45495</v>
      </c>
      <c r="P622" s="33" t="str">
        <f>HYPERLINK("https://my.zakupivli.pro/remote/dispatcher/state_purchase_view/52265646", "UA-2024-07-22-001735-a")</f>
        <v>UA-2024-07-22-001735-a</v>
      </c>
      <c r="Q622" s="273">
        <v>163.80811</v>
      </c>
      <c r="R622" s="273">
        <v>1</v>
      </c>
      <c r="S622" s="273">
        <v>163.80811</v>
      </c>
      <c r="T622" s="274">
        <v>45492</v>
      </c>
      <c r="U622" s="132"/>
      <c r="V622" s="273" t="s">
        <v>59</v>
      </c>
    </row>
    <row r="623" spans="1:22" ht="62.4" x14ac:dyDescent="0.3">
      <c r="A623" s="132">
        <v>617</v>
      </c>
      <c r="B623" s="43" t="s">
        <v>40</v>
      </c>
      <c r="C623" s="44" t="s">
        <v>885</v>
      </c>
      <c r="D623" s="132"/>
      <c r="E623" s="273" t="s">
        <v>373</v>
      </c>
      <c r="F623" s="44" t="s">
        <v>1327</v>
      </c>
      <c r="G623" s="273" t="s">
        <v>184</v>
      </c>
      <c r="H623" s="132">
        <v>304.15636000000001</v>
      </c>
      <c r="I623" s="273">
        <v>1</v>
      </c>
      <c r="J623" s="273">
        <v>304.15636000000001</v>
      </c>
      <c r="K623" s="273">
        <v>304.15636000000001</v>
      </c>
      <c r="L623" s="273">
        <v>1</v>
      </c>
      <c r="M623" s="273">
        <v>304.15636000000001</v>
      </c>
      <c r="N623" s="6" t="s">
        <v>1332</v>
      </c>
      <c r="O623" s="274">
        <v>45495</v>
      </c>
      <c r="P623" s="33" t="str">
        <f>HYPERLINK("https://my.zakupivli.pro/remote/dispatcher/state_purchase_view/52266655", "UA-2024-07-22-002244-a")</f>
        <v>UA-2024-07-22-002244-a</v>
      </c>
      <c r="Q623" s="273">
        <v>304.15636000000001</v>
      </c>
      <c r="R623" s="273">
        <v>1</v>
      </c>
      <c r="S623" s="273">
        <v>304.15636000000001</v>
      </c>
      <c r="T623" s="274">
        <v>45492</v>
      </c>
      <c r="U623" s="132"/>
      <c r="V623" s="273" t="s">
        <v>59</v>
      </c>
    </row>
    <row r="624" spans="1:22" ht="62.4" x14ac:dyDescent="0.3">
      <c r="A624" s="132">
        <v>618</v>
      </c>
      <c r="B624" s="43" t="s">
        <v>21</v>
      </c>
      <c r="C624" s="44" t="s">
        <v>413</v>
      </c>
      <c r="D624" s="132"/>
      <c r="E624" s="273" t="s">
        <v>373</v>
      </c>
      <c r="F624" s="44" t="s">
        <v>1328</v>
      </c>
      <c r="G624" s="273" t="s">
        <v>185</v>
      </c>
      <c r="H624" s="119">
        <v>64.5</v>
      </c>
      <c r="I624" s="273">
        <v>1</v>
      </c>
      <c r="J624" s="119">
        <v>64.5</v>
      </c>
      <c r="K624" s="119">
        <v>64.5</v>
      </c>
      <c r="L624" s="273">
        <v>1</v>
      </c>
      <c r="M624" s="119">
        <v>64.5</v>
      </c>
      <c r="N624" s="6" t="s">
        <v>1333</v>
      </c>
      <c r="O624" s="274">
        <v>45495</v>
      </c>
      <c r="P624" s="33" t="str">
        <f>HYPERLINK("https://my.zakupivli.pro/remote/dispatcher/state_purchase_view/52281063", "UA-2024-07-22-008778-a")</f>
        <v>UA-2024-07-22-008778-a</v>
      </c>
      <c r="Q624" s="119">
        <v>64.5</v>
      </c>
      <c r="R624" s="273">
        <v>1</v>
      </c>
      <c r="S624" s="119">
        <v>64.5</v>
      </c>
      <c r="T624" s="274">
        <v>45495</v>
      </c>
      <c r="U624" s="132"/>
      <c r="V624" s="273" t="s">
        <v>59</v>
      </c>
    </row>
    <row r="625" spans="1:22" ht="62.4" x14ac:dyDescent="0.3">
      <c r="A625" s="132">
        <v>619</v>
      </c>
      <c r="B625" s="43" t="s">
        <v>40</v>
      </c>
      <c r="C625" s="44" t="s">
        <v>885</v>
      </c>
      <c r="D625" s="132"/>
      <c r="E625" s="273" t="s">
        <v>373</v>
      </c>
      <c r="F625" s="44" t="s">
        <v>1329</v>
      </c>
      <c r="G625" s="273" t="s">
        <v>184</v>
      </c>
      <c r="H625" s="132">
        <v>388.76083999999997</v>
      </c>
      <c r="I625" s="273">
        <v>1</v>
      </c>
      <c r="J625" s="273">
        <v>388.76083999999997</v>
      </c>
      <c r="K625" s="273">
        <v>388.76083999999997</v>
      </c>
      <c r="L625" s="273">
        <v>1</v>
      </c>
      <c r="M625" s="273">
        <v>388.76083999999997</v>
      </c>
      <c r="N625" s="6" t="s">
        <v>1334</v>
      </c>
      <c r="O625" s="274">
        <v>45495</v>
      </c>
      <c r="P625" s="33" t="str">
        <f>HYPERLINK("https://my.zakupivli.pro/remote/dispatcher/state_purchase_view/52281767", "UA-2024-07-22-009143-a")</f>
        <v>UA-2024-07-22-009143-a</v>
      </c>
      <c r="Q625" s="273">
        <v>388.76083999999997</v>
      </c>
      <c r="R625" s="273">
        <v>1</v>
      </c>
      <c r="S625" s="273">
        <v>388.76083999999997</v>
      </c>
      <c r="T625" s="133">
        <v>45485</v>
      </c>
      <c r="U625" s="132"/>
      <c r="V625" s="273" t="s">
        <v>59</v>
      </c>
    </row>
    <row r="626" spans="1:22" ht="62.4" x14ac:dyDescent="0.3">
      <c r="A626" s="132">
        <v>620</v>
      </c>
      <c r="B626" s="43" t="s">
        <v>40</v>
      </c>
      <c r="C626" s="44" t="s">
        <v>885</v>
      </c>
      <c r="D626" s="132"/>
      <c r="E626" s="273" t="s">
        <v>373</v>
      </c>
      <c r="F626" s="44" t="s">
        <v>1330</v>
      </c>
      <c r="G626" s="273" t="s">
        <v>184</v>
      </c>
      <c r="H626" s="132">
        <v>89.494219999999999</v>
      </c>
      <c r="I626" s="273">
        <v>1</v>
      </c>
      <c r="J626" s="273">
        <v>89.494219999999999</v>
      </c>
      <c r="K626" s="273">
        <v>89.494219999999999</v>
      </c>
      <c r="L626" s="273">
        <v>1</v>
      </c>
      <c r="M626" s="273">
        <v>89.494219999999999</v>
      </c>
      <c r="N626" s="6" t="s">
        <v>1335</v>
      </c>
      <c r="O626" s="274">
        <v>45495</v>
      </c>
      <c r="P626" s="33" t="str">
        <f>HYPERLINK("https://my.zakupivli.pro/remote/dispatcher/state_purchase_view/52282158", "UA-2024-07-22-009312-a")</f>
        <v>UA-2024-07-22-009312-a</v>
      </c>
      <c r="Q626" s="273">
        <v>89.494219999999999</v>
      </c>
      <c r="R626" s="273">
        <v>1</v>
      </c>
      <c r="S626" s="273">
        <v>89.494219999999999</v>
      </c>
      <c r="T626" s="274">
        <v>45485</v>
      </c>
      <c r="U626" s="132"/>
      <c r="V626" s="273" t="s">
        <v>59</v>
      </c>
    </row>
    <row r="627" spans="1:22" ht="62.4" x14ac:dyDescent="0.3">
      <c r="A627" s="132">
        <v>621</v>
      </c>
      <c r="B627" s="43" t="s">
        <v>40</v>
      </c>
      <c r="C627" s="44" t="s">
        <v>885</v>
      </c>
      <c r="D627" s="132"/>
      <c r="E627" s="275" t="s">
        <v>373</v>
      </c>
      <c r="F627" s="44" t="s">
        <v>1336</v>
      </c>
      <c r="G627" s="275" t="s">
        <v>184</v>
      </c>
      <c r="H627" s="132">
        <v>293.29867999999999</v>
      </c>
      <c r="I627" s="275">
        <v>1</v>
      </c>
      <c r="J627" s="275">
        <v>293.29867999999999</v>
      </c>
      <c r="K627" s="275">
        <v>293.29867999999999</v>
      </c>
      <c r="L627" s="275">
        <v>1</v>
      </c>
      <c r="M627" s="275">
        <v>293.29867999999999</v>
      </c>
      <c r="N627" s="6" t="s">
        <v>1338</v>
      </c>
      <c r="O627" s="133">
        <v>45496</v>
      </c>
      <c r="P627" s="33" t="str">
        <f>HYPERLINK("https://my.zakupivli.pro/remote/dispatcher/state_purchase_view/52298726", "UA-2024-07-23-006360-a")</f>
        <v>UA-2024-07-23-006360-a</v>
      </c>
      <c r="Q627" s="275">
        <v>293.29867999999999</v>
      </c>
      <c r="R627" s="275">
        <v>1</v>
      </c>
      <c r="S627" s="275">
        <v>293.29867999999999</v>
      </c>
      <c r="T627" s="276">
        <v>45496</v>
      </c>
      <c r="U627" s="132"/>
      <c r="V627" s="275" t="s">
        <v>59</v>
      </c>
    </row>
    <row r="628" spans="1:22" ht="62.4" x14ac:dyDescent="0.3">
      <c r="A628" s="132">
        <v>622</v>
      </c>
      <c r="B628" s="43" t="s">
        <v>40</v>
      </c>
      <c r="C628" s="44" t="s">
        <v>73</v>
      </c>
      <c r="D628" s="132"/>
      <c r="E628" s="275" t="s">
        <v>75</v>
      </c>
      <c r="F628" s="44" t="s">
        <v>1337</v>
      </c>
      <c r="G628" s="275" t="s">
        <v>184</v>
      </c>
      <c r="H628" s="132">
        <v>404.05291999999997</v>
      </c>
      <c r="I628" s="275">
        <v>1</v>
      </c>
      <c r="J628" s="275">
        <v>404.05291999999997</v>
      </c>
      <c r="K628" s="275">
        <v>404.05291999999997</v>
      </c>
      <c r="L628" s="275">
        <v>1</v>
      </c>
      <c r="M628" s="275">
        <v>404.05291999999997</v>
      </c>
      <c r="N628" s="6" t="s">
        <v>1339</v>
      </c>
      <c r="O628" s="276">
        <v>45496</v>
      </c>
      <c r="P628" s="33" t="str">
        <f>HYPERLINK("https://my.zakupivli.pro/remote/dispatcher/state_purchase_view/52299011", "UA-2024-07-23-006477-a")</f>
        <v>UA-2024-07-23-006477-a</v>
      </c>
      <c r="Q628" s="275">
        <v>404.05291999999997</v>
      </c>
      <c r="R628" s="275">
        <v>1</v>
      </c>
      <c r="S628" s="275">
        <v>404.05291999999997</v>
      </c>
      <c r="T628" s="276">
        <v>45496</v>
      </c>
      <c r="U628" s="132"/>
      <c r="V628" s="275" t="s">
        <v>59</v>
      </c>
    </row>
    <row r="629" spans="1:22" ht="78" x14ac:dyDescent="0.3">
      <c r="A629" s="132">
        <v>623</v>
      </c>
      <c r="B629" s="43" t="s">
        <v>40</v>
      </c>
      <c r="C629" s="44" t="s">
        <v>885</v>
      </c>
      <c r="D629" s="132"/>
      <c r="E629" s="277" t="s">
        <v>373</v>
      </c>
      <c r="F629" s="44" t="s">
        <v>1340</v>
      </c>
      <c r="G629" s="277" t="s">
        <v>184</v>
      </c>
      <c r="H629" s="132">
        <v>89.274900000000002</v>
      </c>
      <c r="I629" s="277">
        <v>1</v>
      </c>
      <c r="J629" s="277">
        <v>89.274900000000002</v>
      </c>
      <c r="K629" s="277">
        <v>89.274900000000002</v>
      </c>
      <c r="L629" s="277">
        <v>1</v>
      </c>
      <c r="M629" s="277">
        <v>89.274900000000002</v>
      </c>
      <c r="N629" s="6" t="s">
        <v>1344</v>
      </c>
      <c r="O629" s="133">
        <v>45497</v>
      </c>
      <c r="P629" s="281" t="str">
        <f>HYPERLINK("https://my.zakupivli.pro/remote/dispatcher/state_purchase_view/52314049", "UA-2024-07-24-001383-a")</f>
        <v>UA-2024-07-24-001383-a</v>
      </c>
      <c r="Q629" s="277">
        <v>89.274900000000002</v>
      </c>
      <c r="R629" s="277">
        <v>1</v>
      </c>
      <c r="S629" s="277">
        <v>89.274900000000002</v>
      </c>
      <c r="T629" s="278">
        <v>45496</v>
      </c>
      <c r="U629" s="132"/>
      <c r="V629" s="277" t="s">
        <v>59</v>
      </c>
    </row>
    <row r="630" spans="1:22" ht="78" x14ac:dyDescent="0.3">
      <c r="A630" s="132">
        <v>624</v>
      </c>
      <c r="B630" s="43" t="s">
        <v>40</v>
      </c>
      <c r="C630" s="44" t="s">
        <v>885</v>
      </c>
      <c r="D630" s="132"/>
      <c r="E630" s="277" t="s">
        <v>373</v>
      </c>
      <c r="F630" s="44" t="s">
        <v>1341</v>
      </c>
      <c r="G630" s="277" t="s">
        <v>184</v>
      </c>
      <c r="H630" s="132">
        <v>294.02537999999998</v>
      </c>
      <c r="I630" s="277">
        <v>1</v>
      </c>
      <c r="J630" s="277">
        <v>294.02537999999998</v>
      </c>
      <c r="K630" s="277">
        <v>294.02537999999998</v>
      </c>
      <c r="L630" s="277">
        <v>1</v>
      </c>
      <c r="M630" s="277">
        <v>294.02537999999998</v>
      </c>
      <c r="N630" s="6" t="s">
        <v>1345</v>
      </c>
      <c r="O630" s="278">
        <v>45497</v>
      </c>
      <c r="P630" s="281" t="str">
        <f>HYPERLINK("https://my.zakupivli.pro/remote/dispatcher/state_purchase_view/52314938", "UA-2024-07-24-001792-a")</f>
        <v>UA-2024-07-24-001792-a</v>
      </c>
      <c r="Q630" s="277">
        <v>294.02537999999998</v>
      </c>
      <c r="R630" s="277">
        <v>1</v>
      </c>
      <c r="S630" s="277">
        <v>294.02537999999998</v>
      </c>
      <c r="T630" s="278">
        <v>45496</v>
      </c>
      <c r="U630" s="132"/>
      <c r="V630" s="277" t="s">
        <v>59</v>
      </c>
    </row>
    <row r="631" spans="1:22" ht="78" x14ac:dyDescent="0.3">
      <c r="A631" s="132">
        <v>625</v>
      </c>
      <c r="B631" s="43" t="s">
        <v>40</v>
      </c>
      <c r="C631" s="44" t="s">
        <v>41</v>
      </c>
      <c r="D631" s="132"/>
      <c r="E631" s="277" t="s">
        <v>373</v>
      </c>
      <c r="F631" s="44" t="s">
        <v>1342</v>
      </c>
      <c r="G631" s="277" t="s">
        <v>184</v>
      </c>
      <c r="H631" s="132">
        <v>106.82431</v>
      </c>
      <c r="I631" s="277">
        <v>1</v>
      </c>
      <c r="J631" s="277">
        <v>106.82431</v>
      </c>
      <c r="K631" s="277">
        <v>106.82431</v>
      </c>
      <c r="L631" s="277">
        <v>1</v>
      </c>
      <c r="M631" s="277">
        <v>106.82431</v>
      </c>
      <c r="N631" s="6" t="s">
        <v>1346</v>
      </c>
      <c r="O631" s="278">
        <v>45497</v>
      </c>
      <c r="P631" s="281" t="str">
        <f>HYPERLINK("https://my.zakupivli.pro/remote/dispatcher/state_purchase_view/52315339", "UA-2024-07-24-001967-a")</f>
        <v>UA-2024-07-24-001967-a</v>
      </c>
      <c r="Q631" s="277">
        <v>106.82431</v>
      </c>
      <c r="R631" s="277">
        <v>1</v>
      </c>
      <c r="S631" s="277">
        <v>106.82431</v>
      </c>
      <c r="T631" s="278">
        <v>45496</v>
      </c>
      <c r="U631" s="132"/>
      <c r="V631" s="277" t="s">
        <v>59</v>
      </c>
    </row>
    <row r="632" spans="1:22" ht="140.4" x14ac:dyDescent="0.3">
      <c r="A632" s="132">
        <v>626</v>
      </c>
      <c r="B632" s="43" t="s">
        <v>40</v>
      </c>
      <c r="C632" s="44" t="s">
        <v>41</v>
      </c>
      <c r="D632" s="277" t="s">
        <v>58</v>
      </c>
      <c r="E632" s="277" t="s">
        <v>373</v>
      </c>
      <c r="F632" s="44" t="s">
        <v>1343</v>
      </c>
      <c r="G632" s="277" t="s">
        <v>184</v>
      </c>
      <c r="H632" s="132">
        <v>1809.5909999999999</v>
      </c>
      <c r="I632" s="277">
        <v>1</v>
      </c>
      <c r="J632" s="277">
        <v>1809.5909999999999</v>
      </c>
      <c r="K632" s="277">
        <v>1809.5909999999999</v>
      </c>
      <c r="L632" s="277">
        <v>1</v>
      </c>
      <c r="M632" s="277">
        <v>1809.5909999999999</v>
      </c>
      <c r="N632" s="6" t="s">
        <v>1347</v>
      </c>
      <c r="O632" s="278">
        <v>45497</v>
      </c>
      <c r="P632" s="281" t="str">
        <f>HYPERLINK("https://my.zakupivli.pro/remote/dispatcher/state_purchase_view/52333680", "UA-2024-07-24-010258-a")</f>
        <v>UA-2024-07-24-010258-a</v>
      </c>
      <c r="Q632" s="313">
        <v>1809.5909999999999</v>
      </c>
      <c r="R632" s="132">
        <v>1</v>
      </c>
      <c r="S632" s="132">
        <v>1809.5909999999999</v>
      </c>
      <c r="T632" s="133">
        <v>45512</v>
      </c>
      <c r="U632" s="132"/>
      <c r="V632" s="277"/>
    </row>
    <row r="633" spans="1:22" ht="78" x14ac:dyDescent="0.3">
      <c r="A633" s="132">
        <v>627</v>
      </c>
      <c r="B633" s="43" t="s">
        <v>40</v>
      </c>
      <c r="C633" s="44" t="s">
        <v>885</v>
      </c>
      <c r="D633" s="132"/>
      <c r="E633" s="291" t="s">
        <v>373</v>
      </c>
      <c r="F633" s="44" t="s">
        <v>1352</v>
      </c>
      <c r="G633" s="279" t="s">
        <v>184</v>
      </c>
      <c r="H633" s="132">
        <v>359.43135000000001</v>
      </c>
      <c r="I633" s="132">
        <v>1</v>
      </c>
      <c r="J633" s="279">
        <v>359.43135000000001</v>
      </c>
      <c r="K633" s="279">
        <v>359.43135000000001</v>
      </c>
      <c r="L633" s="279">
        <v>1</v>
      </c>
      <c r="M633" s="279">
        <v>359.43135000000001</v>
      </c>
      <c r="N633" s="6" t="s">
        <v>1353</v>
      </c>
      <c r="O633" s="133">
        <v>45498</v>
      </c>
      <c r="P633" s="33" t="str">
        <f>HYPERLINK("https://my.zakupivli.pro/remote/dispatcher/state_purchase_view/52342173", "UA-2024-07-25-002699-a")</f>
        <v>UA-2024-07-25-002699-a</v>
      </c>
      <c r="Q633" s="279">
        <v>359.43135000000001</v>
      </c>
      <c r="R633" s="279">
        <v>1</v>
      </c>
      <c r="S633" s="279">
        <v>359.43135000000001</v>
      </c>
      <c r="T633" s="280">
        <v>45497</v>
      </c>
      <c r="U633" s="132"/>
      <c r="V633" s="279" t="s">
        <v>59</v>
      </c>
    </row>
    <row r="634" spans="1:22" ht="78" x14ac:dyDescent="0.3">
      <c r="A634" s="132">
        <v>628</v>
      </c>
      <c r="B634" s="43" t="s">
        <v>40</v>
      </c>
      <c r="C634" s="44" t="s">
        <v>885</v>
      </c>
      <c r="D634" s="132"/>
      <c r="E634" s="291" t="s">
        <v>373</v>
      </c>
      <c r="F634" s="44" t="s">
        <v>1351</v>
      </c>
      <c r="G634" s="279" t="s">
        <v>184</v>
      </c>
      <c r="H634" s="132">
        <v>298.44211000000001</v>
      </c>
      <c r="I634" s="132">
        <v>1</v>
      </c>
      <c r="J634" s="279">
        <v>298.44211000000001</v>
      </c>
      <c r="K634" s="279">
        <v>298.44211000000001</v>
      </c>
      <c r="L634" s="279">
        <v>1</v>
      </c>
      <c r="M634" s="279">
        <v>298.44211000000001</v>
      </c>
      <c r="N634" s="6" t="s">
        <v>1354</v>
      </c>
      <c r="O634" s="280">
        <v>45498</v>
      </c>
      <c r="P634" s="33" t="str">
        <f>HYPERLINK("https://my.zakupivli.pro/remote/dispatcher/state_purchase_view/52343625", "UA-2024-07-25-003393-a")</f>
        <v>UA-2024-07-25-003393-a</v>
      </c>
      <c r="Q634" s="279">
        <v>298.44211000000001</v>
      </c>
      <c r="R634" s="279">
        <v>1</v>
      </c>
      <c r="S634" s="279">
        <v>298.44211000000001</v>
      </c>
      <c r="T634" s="280">
        <v>45497</v>
      </c>
      <c r="U634" s="132"/>
      <c r="V634" s="279" t="s">
        <v>59</v>
      </c>
    </row>
    <row r="635" spans="1:22" ht="78" x14ac:dyDescent="0.3">
      <c r="A635" s="132">
        <v>629</v>
      </c>
      <c r="B635" s="43" t="s">
        <v>40</v>
      </c>
      <c r="C635" s="44" t="s">
        <v>885</v>
      </c>
      <c r="D635" s="132"/>
      <c r="E635" s="291" t="s">
        <v>373</v>
      </c>
      <c r="F635" s="44" t="s">
        <v>1350</v>
      </c>
      <c r="G635" s="279" t="s">
        <v>184</v>
      </c>
      <c r="H635" s="132">
        <v>278.61887000000002</v>
      </c>
      <c r="I635" s="132">
        <v>1</v>
      </c>
      <c r="J635" s="279">
        <v>278.61887000000002</v>
      </c>
      <c r="K635" s="279">
        <v>278.61887000000002</v>
      </c>
      <c r="L635" s="279">
        <v>1</v>
      </c>
      <c r="M635" s="279">
        <v>278.61887000000002</v>
      </c>
      <c r="N635" s="6" t="s">
        <v>1355</v>
      </c>
      <c r="O635" s="280">
        <v>45498</v>
      </c>
      <c r="P635" s="33" t="str">
        <f>HYPERLINK("https://my.zakupivli.pro/remote/dispatcher/state_purchase_view/52344173", "UA-2024-07-25-003656-a")</f>
        <v>UA-2024-07-25-003656-a</v>
      </c>
      <c r="Q635" s="279">
        <v>278.61887000000002</v>
      </c>
      <c r="R635" s="279">
        <v>1</v>
      </c>
      <c r="S635" s="279">
        <v>278.61887000000002</v>
      </c>
      <c r="T635" s="280">
        <v>45497</v>
      </c>
      <c r="U635" s="132"/>
      <c r="V635" s="279" t="s">
        <v>59</v>
      </c>
    </row>
    <row r="636" spans="1:22" ht="62.4" x14ac:dyDescent="0.3">
      <c r="A636" s="132">
        <v>630</v>
      </c>
      <c r="B636" s="43" t="s">
        <v>21</v>
      </c>
      <c r="C636" s="44" t="s">
        <v>406</v>
      </c>
      <c r="D636" s="279" t="s">
        <v>58</v>
      </c>
      <c r="E636" s="291" t="s">
        <v>75</v>
      </c>
      <c r="F636" s="44" t="s">
        <v>1349</v>
      </c>
      <c r="G636" s="132" t="s">
        <v>185</v>
      </c>
      <c r="H636" s="119">
        <v>562.5</v>
      </c>
      <c r="I636" s="132">
        <v>1</v>
      </c>
      <c r="J636" s="119">
        <v>562.5</v>
      </c>
      <c r="K636" s="119">
        <v>562.5</v>
      </c>
      <c r="L636" s="279">
        <v>1</v>
      </c>
      <c r="M636" s="119">
        <v>562.5</v>
      </c>
      <c r="N636" s="6" t="s">
        <v>1356</v>
      </c>
      <c r="O636" s="280">
        <v>45498</v>
      </c>
      <c r="P636" s="33" t="str">
        <f>HYPERLINK("https://my.zakupivli.pro/remote/dispatcher/state_purchase_view/52349219", "UA-2024-07-25-005997-a")</f>
        <v>UA-2024-07-25-005997-a</v>
      </c>
      <c r="Q636" s="119">
        <v>350</v>
      </c>
      <c r="R636" s="132">
        <v>1</v>
      </c>
      <c r="S636" s="119">
        <v>350</v>
      </c>
      <c r="T636" s="133">
        <v>45538</v>
      </c>
      <c r="U636" s="132"/>
      <c r="V636" s="132"/>
    </row>
    <row r="637" spans="1:22" ht="62.4" x14ac:dyDescent="0.3">
      <c r="A637" s="132">
        <v>631</v>
      </c>
      <c r="B637" s="43" t="s">
        <v>21</v>
      </c>
      <c r="C637" s="44" t="s">
        <v>805</v>
      </c>
      <c r="D637" s="132"/>
      <c r="E637" s="291" t="s">
        <v>75</v>
      </c>
      <c r="F637" s="44" t="s">
        <v>1348</v>
      </c>
      <c r="G637" s="132" t="s">
        <v>185</v>
      </c>
      <c r="H637" s="132">
        <v>16.698</v>
      </c>
      <c r="I637" s="132">
        <v>4</v>
      </c>
      <c r="J637" s="132">
        <v>66.792000000000002</v>
      </c>
      <c r="K637" s="279">
        <v>16.698</v>
      </c>
      <c r="L637" s="279">
        <v>4</v>
      </c>
      <c r="M637" s="279">
        <v>66.792000000000002</v>
      </c>
      <c r="N637" s="6" t="s">
        <v>1357</v>
      </c>
      <c r="O637" s="280">
        <v>45498</v>
      </c>
      <c r="P637" s="33" t="str">
        <f>HYPERLINK("https://my.zakupivli.pro/remote/dispatcher/state_purchase_view/52353571", "UA-2024-07-25-008020-a")</f>
        <v>UA-2024-07-25-008020-a</v>
      </c>
      <c r="Q637" s="279">
        <v>16.698</v>
      </c>
      <c r="R637" s="279">
        <v>4</v>
      </c>
      <c r="S637" s="279">
        <v>66.792000000000002</v>
      </c>
      <c r="T637" s="280">
        <v>45498</v>
      </c>
      <c r="U637" s="132"/>
      <c r="V637" s="279" t="s">
        <v>59</v>
      </c>
    </row>
    <row r="638" spans="1:22" ht="62.4" x14ac:dyDescent="0.3">
      <c r="A638" s="132">
        <v>632</v>
      </c>
      <c r="B638" s="43" t="s">
        <v>21</v>
      </c>
      <c r="C638" s="44" t="s">
        <v>413</v>
      </c>
      <c r="D638" s="132"/>
      <c r="E638" s="282" t="s">
        <v>373</v>
      </c>
      <c r="F638" s="225" t="s">
        <v>1358</v>
      </c>
      <c r="G638" s="132" t="s">
        <v>185</v>
      </c>
      <c r="H638" s="119">
        <v>64.5</v>
      </c>
      <c r="I638" s="132">
        <v>1</v>
      </c>
      <c r="J638" s="119">
        <v>64.5</v>
      </c>
      <c r="K638" s="119">
        <v>64.5</v>
      </c>
      <c r="L638" s="282">
        <v>1</v>
      </c>
      <c r="M638" s="119">
        <v>64.5</v>
      </c>
      <c r="N638" s="6" t="s">
        <v>1359</v>
      </c>
      <c r="O638" s="133">
        <v>45502</v>
      </c>
      <c r="P638" s="33" t="str">
        <f>HYPERLINK("https://my.zakupivli.pro/remote/dispatcher/state_purchase_view/52388202", "UA-2024-07-29-002334-a")</f>
        <v>UA-2024-07-29-002334-a</v>
      </c>
      <c r="Q638" s="119">
        <v>64.5</v>
      </c>
      <c r="R638" s="282">
        <v>1</v>
      </c>
      <c r="S638" s="119">
        <v>64.5</v>
      </c>
      <c r="T638" s="283">
        <v>45502</v>
      </c>
      <c r="U638" s="132"/>
      <c r="V638" s="282" t="s">
        <v>59</v>
      </c>
    </row>
    <row r="639" spans="1:22" ht="62.4" x14ac:dyDescent="0.3">
      <c r="A639" s="132">
        <v>633</v>
      </c>
      <c r="B639" s="43" t="s">
        <v>40</v>
      </c>
      <c r="C639" s="44" t="s">
        <v>885</v>
      </c>
      <c r="D639" s="132"/>
      <c r="E639" s="284" t="s">
        <v>373</v>
      </c>
      <c r="F639" s="44" t="s">
        <v>1360</v>
      </c>
      <c r="G639" s="284" t="s">
        <v>184</v>
      </c>
      <c r="H639" s="132">
        <v>68.618139999999997</v>
      </c>
      <c r="I639" s="132">
        <v>1</v>
      </c>
      <c r="J639" s="284">
        <v>68.618139999999997</v>
      </c>
      <c r="K639" s="284">
        <v>68.618139999999997</v>
      </c>
      <c r="L639" s="284">
        <v>1</v>
      </c>
      <c r="M639" s="284">
        <v>68.618139999999997</v>
      </c>
      <c r="N639" s="6" t="s">
        <v>1361</v>
      </c>
      <c r="O639" s="133">
        <v>45505</v>
      </c>
      <c r="P639" s="33" t="str">
        <f>HYPERLINK("https://my.zakupivli.pro/remote/dispatcher/state_purchase_view/52465821", "UA-2024-08-01-006484-a")</f>
        <v>UA-2024-08-01-006484-a</v>
      </c>
      <c r="Q639" s="284">
        <v>68.618139999999997</v>
      </c>
      <c r="R639" s="284">
        <v>1</v>
      </c>
      <c r="S639" s="284">
        <v>68.618139999999997</v>
      </c>
      <c r="T639" s="133">
        <v>45505</v>
      </c>
      <c r="U639" s="132"/>
      <c r="V639" s="284" t="s">
        <v>59</v>
      </c>
    </row>
    <row r="640" spans="1:22" ht="62.4" x14ac:dyDescent="0.3">
      <c r="A640" s="132">
        <v>634</v>
      </c>
      <c r="B640" s="43" t="s">
        <v>40</v>
      </c>
      <c r="C640" s="44" t="s">
        <v>73</v>
      </c>
      <c r="D640" s="132"/>
      <c r="E640" s="285" t="s">
        <v>75</v>
      </c>
      <c r="F640" s="44" t="s">
        <v>1362</v>
      </c>
      <c r="G640" s="285" t="s">
        <v>184</v>
      </c>
      <c r="H640" s="132">
        <v>188.19801000000001</v>
      </c>
      <c r="I640" s="132">
        <v>1</v>
      </c>
      <c r="J640" s="285">
        <v>188.19801000000001</v>
      </c>
      <c r="K640" s="285">
        <v>188.19801000000001</v>
      </c>
      <c r="L640" s="285">
        <v>1</v>
      </c>
      <c r="M640" s="285">
        <v>188.19801000000001</v>
      </c>
      <c r="N640" s="6" t="s">
        <v>1366</v>
      </c>
      <c r="O640" s="133">
        <v>45509</v>
      </c>
      <c r="P640" s="33" t="str">
        <f>HYPERLINK("https://my.zakupivli.pro/remote/dispatcher/state_purchase_view/52516319", "UA-2024-08-05-006471-a")</f>
        <v>UA-2024-08-05-006471-a</v>
      </c>
      <c r="Q640" s="285">
        <v>188.19801000000001</v>
      </c>
      <c r="R640" s="285">
        <v>1</v>
      </c>
      <c r="S640" s="285">
        <v>188.19801000000001</v>
      </c>
      <c r="T640" s="286">
        <v>45509</v>
      </c>
      <c r="U640" s="132"/>
      <c r="V640" s="285" t="s">
        <v>59</v>
      </c>
    </row>
    <row r="641" spans="1:22" ht="62.4" x14ac:dyDescent="0.3">
      <c r="A641" s="132">
        <v>635</v>
      </c>
      <c r="B641" s="43" t="s">
        <v>40</v>
      </c>
      <c r="C641" s="44" t="s">
        <v>73</v>
      </c>
      <c r="D641" s="132"/>
      <c r="E641" s="285" t="s">
        <v>75</v>
      </c>
      <c r="F641" s="44" t="s">
        <v>1363</v>
      </c>
      <c r="G641" s="285" t="s">
        <v>184</v>
      </c>
      <c r="H641" s="132">
        <v>116.893</v>
      </c>
      <c r="I641" s="132">
        <v>1</v>
      </c>
      <c r="J641" s="285">
        <v>116.893</v>
      </c>
      <c r="K641" s="285">
        <v>116.893</v>
      </c>
      <c r="L641" s="285">
        <v>1</v>
      </c>
      <c r="M641" s="285">
        <v>116.893</v>
      </c>
      <c r="N641" s="6" t="s">
        <v>1367</v>
      </c>
      <c r="O641" s="286">
        <v>45509</v>
      </c>
      <c r="P641" s="33" t="str">
        <f>HYPERLINK("https://my.zakupivli.pro/remote/dispatcher/state_purchase_view/52516741", "UA-2024-08-05-006635-a")</f>
        <v>UA-2024-08-05-006635-a</v>
      </c>
      <c r="Q641" s="285">
        <v>116.893</v>
      </c>
      <c r="R641" s="285">
        <v>1</v>
      </c>
      <c r="S641" s="285">
        <v>116.893</v>
      </c>
      <c r="T641" s="286">
        <v>45509</v>
      </c>
      <c r="U641" s="132"/>
      <c r="V641" s="285" t="s">
        <v>59</v>
      </c>
    </row>
    <row r="642" spans="1:22" ht="93.6" x14ac:dyDescent="0.3">
      <c r="A642" s="132">
        <v>636</v>
      </c>
      <c r="B642" s="43" t="s">
        <v>21</v>
      </c>
      <c r="C642" s="44" t="s">
        <v>1315</v>
      </c>
      <c r="D642" s="132"/>
      <c r="E642" s="285" t="s">
        <v>75</v>
      </c>
      <c r="F642" s="44" t="s">
        <v>1314</v>
      </c>
      <c r="G642" s="132" t="s">
        <v>186</v>
      </c>
      <c r="H642" s="132"/>
      <c r="I642" s="132">
        <v>11</v>
      </c>
      <c r="J642" s="132">
        <v>51.401679999999999</v>
      </c>
      <c r="K642" s="132"/>
      <c r="L642" s="285">
        <v>11</v>
      </c>
      <c r="M642" s="285">
        <v>51.401679999999999</v>
      </c>
      <c r="N642" s="6" t="s">
        <v>1368</v>
      </c>
      <c r="O642" s="286">
        <v>45509</v>
      </c>
      <c r="P642" s="33" t="str">
        <f>HYPERLINK("https://my.zakupivli.pro/remote/dispatcher/state_purchase_view/52519045", "UA-2024-08-05-007656-a")</f>
        <v>UA-2024-08-05-007656-a</v>
      </c>
      <c r="Q642" s="132"/>
      <c r="R642" s="285">
        <v>11</v>
      </c>
      <c r="S642" s="285">
        <v>51.401679999999999</v>
      </c>
      <c r="T642" s="286">
        <v>45509</v>
      </c>
      <c r="U642" s="132"/>
      <c r="V642" s="285" t="s">
        <v>59</v>
      </c>
    </row>
    <row r="643" spans="1:22" ht="78" x14ac:dyDescent="0.3">
      <c r="A643" s="132">
        <v>637</v>
      </c>
      <c r="B643" s="43" t="s">
        <v>21</v>
      </c>
      <c r="C643" s="44" t="s">
        <v>1365</v>
      </c>
      <c r="D643" s="132"/>
      <c r="E643" s="285" t="s">
        <v>75</v>
      </c>
      <c r="F643" s="44" t="s">
        <v>1364</v>
      </c>
      <c r="G643" s="132" t="s">
        <v>186</v>
      </c>
      <c r="H643" s="132"/>
      <c r="I643" s="132">
        <v>6</v>
      </c>
      <c r="J643" s="132">
        <v>91.116</v>
      </c>
      <c r="K643" s="132"/>
      <c r="L643" s="285">
        <v>6</v>
      </c>
      <c r="M643" s="285">
        <v>91.116</v>
      </c>
      <c r="N643" s="6" t="s">
        <v>1369</v>
      </c>
      <c r="O643" s="286">
        <v>45509</v>
      </c>
      <c r="P643" s="33" t="str">
        <f>HYPERLINK("https://my.zakupivli.pro/remote/dispatcher/state_purchase_view/52524003", "UA-2024-08-05-009986-a")</f>
        <v>UA-2024-08-05-009986-a</v>
      </c>
      <c r="Q643" s="132"/>
      <c r="R643" s="285">
        <v>6</v>
      </c>
      <c r="S643" s="285">
        <v>91.116</v>
      </c>
      <c r="T643" s="286">
        <v>45509</v>
      </c>
      <c r="U643" s="132"/>
      <c r="V643" s="285" t="s">
        <v>59</v>
      </c>
    </row>
    <row r="644" spans="1:22" ht="62.4" x14ac:dyDescent="0.3">
      <c r="A644" s="132">
        <v>638</v>
      </c>
      <c r="B644" s="43" t="s">
        <v>21</v>
      </c>
      <c r="C644" s="44" t="s">
        <v>177</v>
      </c>
      <c r="D644" s="132"/>
      <c r="E644" s="287" t="s">
        <v>75</v>
      </c>
      <c r="F644" s="44" t="s">
        <v>1370</v>
      </c>
      <c r="G644" s="132" t="s">
        <v>185</v>
      </c>
      <c r="H644" s="132">
        <v>2.7027000000000001</v>
      </c>
      <c r="I644" s="132">
        <v>36</v>
      </c>
      <c r="J644" s="132">
        <v>97.297200000000004</v>
      </c>
      <c r="K644" s="287">
        <v>2.7027000000000001</v>
      </c>
      <c r="L644" s="287">
        <v>36</v>
      </c>
      <c r="M644" s="287">
        <v>97.297200000000004</v>
      </c>
      <c r="N644" s="6" t="s">
        <v>1374</v>
      </c>
      <c r="O644" s="133">
        <v>45512</v>
      </c>
      <c r="P644" s="33" t="str">
        <f>HYPERLINK("https://my.zakupivli.pro/remote/dispatcher/state_purchase_view/52587377", "UA-2024-08-08-003012-a")</f>
        <v>UA-2024-08-08-003012-a</v>
      </c>
      <c r="Q644" s="287">
        <v>2.7027000000000001</v>
      </c>
      <c r="R644" s="287">
        <v>36</v>
      </c>
      <c r="S644" s="287">
        <v>97.297200000000004</v>
      </c>
      <c r="T644" s="288">
        <v>45512</v>
      </c>
      <c r="U644" s="132"/>
      <c r="V644" s="287" t="s">
        <v>59</v>
      </c>
    </row>
    <row r="645" spans="1:22" ht="78" x14ac:dyDescent="0.3">
      <c r="A645" s="287">
        <v>639</v>
      </c>
      <c r="B645" s="43" t="s">
        <v>40</v>
      </c>
      <c r="C645" s="44" t="s">
        <v>885</v>
      </c>
      <c r="D645" s="287"/>
      <c r="E645" s="287" t="s">
        <v>373</v>
      </c>
      <c r="F645" s="44" t="s">
        <v>1371</v>
      </c>
      <c r="G645" s="287" t="s">
        <v>184</v>
      </c>
      <c r="H645" s="287">
        <v>182.08945</v>
      </c>
      <c r="I645" s="287">
        <v>1</v>
      </c>
      <c r="J645" s="287">
        <v>182.08945</v>
      </c>
      <c r="K645" s="287">
        <v>182.08945</v>
      </c>
      <c r="L645" s="287">
        <v>1</v>
      </c>
      <c r="M645" s="287">
        <v>182.08945</v>
      </c>
      <c r="N645" s="6" t="s">
        <v>1375</v>
      </c>
      <c r="O645" s="288">
        <v>45512</v>
      </c>
      <c r="P645" s="33" t="str">
        <f>HYPERLINK("https://my.zakupivli.pro/remote/dispatcher/state_purchase_view/52587767", "UA-2024-08-08-003155-a")</f>
        <v>UA-2024-08-08-003155-a</v>
      </c>
      <c r="Q645" s="287">
        <v>182.08945</v>
      </c>
      <c r="R645" s="287">
        <v>1</v>
      </c>
      <c r="S645" s="287">
        <v>182.08945</v>
      </c>
      <c r="T645" s="288">
        <v>45512</v>
      </c>
      <c r="U645" s="287"/>
      <c r="V645" s="287" t="s">
        <v>59</v>
      </c>
    </row>
    <row r="646" spans="1:22" ht="62.4" x14ac:dyDescent="0.3">
      <c r="A646" s="287">
        <v>640</v>
      </c>
      <c r="B646" s="43" t="s">
        <v>1151</v>
      </c>
      <c r="C646" s="44" t="s">
        <v>1373</v>
      </c>
      <c r="D646" s="287"/>
      <c r="E646" s="287" t="s">
        <v>75</v>
      </c>
      <c r="F646" s="44" t="s">
        <v>1372</v>
      </c>
      <c r="G646" s="287" t="s">
        <v>1150</v>
      </c>
      <c r="H646" s="287">
        <v>44.824170000000002</v>
      </c>
      <c r="I646" s="287">
        <v>1</v>
      </c>
      <c r="J646" s="287">
        <v>44.824170000000002</v>
      </c>
      <c r="K646" s="287">
        <v>44.824170000000002</v>
      </c>
      <c r="L646" s="287">
        <v>1</v>
      </c>
      <c r="M646" s="287">
        <v>44.824170000000002</v>
      </c>
      <c r="N646" s="6" t="s">
        <v>1376</v>
      </c>
      <c r="O646" s="288">
        <v>45512</v>
      </c>
      <c r="P646" s="33" t="str">
        <f>HYPERLINK("https://my.zakupivli.pro/remote/dispatcher/state_purchase_view/52589055", "UA-2024-08-08-003747-a")</f>
        <v>UA-2024-08-08-003747-a</v>
      </c>
      <c r="Q646" s="287">
        <v>44.824170000000002</v>
      </c>
      <c r="R646" s="287">
        <v>1</v>
      </c>
      <c r="S646" s="287">
        <v>44.824170000000002</v>
      </c>
      <c r="T646" s="288">
        <v>45512</v>
      </c>
      <c r="U646" s="287"/>
      <c r="V646" s="287" t="s">
        <v>59</v>
      </c>
    </row>
    <row r="647" spans="1:22" ht="78" x14ac:dyDescent="0.3">
      <c r="A647" s="289">
        <v>641</v>
      </c>
      <c r="B647" s="43" t="s">
        <v>40</v>
      </c>
      <c r="C647" s="44" t="s">
        <v>885</v>
      </c>
      <c r="D647" s="289"/>
      <c r="E647" s="289" t="s">
        <v>373</v>
      </c>
      <c r="F647" s="44" t="s">
        <v>1377</v>
      </c>
      <c r="G647" s="289" t="s">
        <v>184</v>
      </c>
      <c r="H647" s="289">
        <v>486.64211999999998</v>
      </c>
      <c r="I647" s="289">
        <v>1</v>
      </c>
      <c r="J647" s="289">
        <v>486.64211999999998</v>
      </c>
      <c r="K647" s="289">
        <v>486.64211999999998</v>
      </c>
      <c r="L647" s="289">
        <v>1</v>
      </c>
      <c r="M647" s="289">
        <v>486.64211999999998</v>
      </c>
      <c r="N647" s="6" t="s">
        <v>1381</v>
      </c>
      <c r="O647" s="290">
        <v>45512</v>
      </c>
      <c r="P647" s="33" t="str">
        <f>HYPERLINK("https://my.zakupivli.pro/remote/dispatcher/state_purchase_view/52604904", "UA-2024-08-08-010883-a")</f>
        <v>UA-2024-08-08-010883-a</v>
      </c>
      <c r="Q647" s="289">
        <v>486.64211999999998</v>
      </c>
      <c r="R647" s="289">
        <v>1</v>
      </c>
      <c r="S647" s="289">
        <v>486.64211999999998</v>
      </c>
      <c r="T647" s="290">
        <v>45512</v>
      </c>
      <c r="U647" s="289"/>
      <c r="V647" s="289" t="s">
        <v>59</v>
      </c>
    </row>
    <row r="648" spans="1:22" ht="62.4" x14ac:dyDescent="0.3">
      <c r="A648" s="289">
        <v>642</v>
      </c>
      <c r="B648" s="43" t="s">
        <v>40</v>
      </c>
      <c r="C648" s="44" t="s">
        <v>885</v>
      </c>
      <c r="D648" s="289"/>
      <c r="E648" s="289" t="s">
        <v>373</v>
      </c>
      <c r="F648" s="44" t="s">
        <v>1378</v>
      </c>
      <c r="G648" s="289" t="s">
        <v>184</v>
      </c>
      <c r="H648" s="289">
        <v>336.18543</v>
      </c>
      <c r="I648" s="289">
        <v>1</v>
      </c>
      <c r="J648" s="289">
        <v>336.18543</v>
      </c>
      <c r="K648" s="289">
        <v>336.18543</v>
      </c>
      <c r="L648" s="289">
        <v>1</v>
      </c>
      <c r="M648" s="289">
        <v>336.18543</v>
      </c>
      <c r="N648" s="6" t="s">
        <v>1382</v>
      </c>
      <c r="O648" s="290">
        <v>45512</v>
      </c>
      <c r="P648" s="33" t="str">
        <f>HYPERLINK("https://my.zakupivli.pro/remote/dispatcher/state_purchase_view/52605117", "UA-2024-08-08-010980-a")</f>
        <v>UA-2024-08-08-010980-a</v>
      </c>
      <c r="Q648" s="289">
        <v>336.18543</v>
      </c>
      <c r="R648" s="289">
        <v>1</v>
      </c>
      <c r="S648" s="289">
        <v>336.18543</v>
      </c>
      <c r="T648" s="290">
        <v>45512</v>
      </c>
      <c r="U648" s="289"/>
      <c r="V648" s="289" t="s">
        <v>59</v>
      </c>
    </row>
    <row r="649" spans="1:22" ht="62.4" x14ac:dyDescent="0.3">
      <c r="A649" s="289">
        <v>643</v>
      </c>
      <c r="B649" s="43" t="s">
        <v>40</v>
      </c>
      <c r="C649" s="44" t="s">
        <v>885</v>
      </c>
      <c r="D649" s="289"/>
      <c r="E649" s="289" t="s">
        <v>373</v>
      </c>
      <c r="F649" s="44" t="s">
        <v>1379</v>
      </c>
      <c r="G649" s="289" t="s">
        <v>184</v>
      </c>
      <c r="H649" s="289">
        <v>82.491569999999996</v>
      </c>
      <c r="I649" s="289">
        <v>1</v>
      </c>
      <c r="J649" s="289">
        <v>82.491569999999996</v>
      </c>
      <c r="K649" s="289">
        <v>82.491569999999996</v>
      </c>
      <c r="L649" s="289">
        <v>1</v>
      </c>
      <c r="M649" s="289">
        <v>82.491569999999996</v>
      </c>
      <c r="N649" s="6" t="s">
        <v>1383</v>
      </c>
      <c r="O649" s="290">
        <v>45512</v>
      </c>
      <c r="P649" s="33" t="str">
        <f>HYPERLINK("https://my.zakupivli.pro/remote/dispatcher/state_purchase_view/52605307", "UA-2024-08-08-011072-a")</f>
        <v>UA-2024-08-08-011072-a</v>
      </c>
      <c r="Q649" s="289">
        <v>82.491569999999996</v>
      </c>
      <c r="R649" s="289">
        <v>1</v>
      </c>
      <c r="S649" s="289">
        <v>82.491569999999996</v>
      </c>
      <c r="T649" s="290">
        <v>45512</v>
      </c>
      <c r="U649" s="289"/>
      <c r="V649" s="289" t="s">
        <v>59</v>
      </c>
    </row>
    <row r="650" spans="1:22" ht="62.4" x14ac:dyDescent="0.3">
      <c r="A650" s="289">
        <v>644</v>
      </c>
      <c r="B650" s="43" t="s">
        <v>40</v>
      </c>
      <c r="C650" s="44" t="s">
        <v>885</v>
      </c>
      <c r="D650" s="289"/>
      <c r="E650" s="289" t="s">
        <v>373</v>
      </c>
      <c r="F650" s="44" t="s">
        <v>1380</v>
      </c>
      <c r="G650" s="289" t="s">
        <v>184</v>
      </c>
      <c r="H650" s="289">
        <v>55.581209999999999</v>
      </c>
      <c r="I650" s="289">
        <v>1</v>
      </c>
      <c r="J650" s="289">
        <v>55.581209999999999</v>
      </c>
      <c r="K650" s="289">
        <v>55.581209999999999</v>
      </c>
      <c r="L650" s="289">
        <v>1</v>
      </c>
      <c r="M650" s="289">
        <v>55.581209999999999</v>
      </c>
      <c r="N650" s="6" t="s">
        <v>1384</v>
      </c>
      <c r="O650" s="290">
        <v>45512</v>
      </c>
      <c r="P650" s="33" t="str">
        <f>HYPERLINK("https://my.zakupivli.pro/remote/dispatcher/state_purchase_view/52605472", "UA-2024-08-08-011169-a")</f>
        <v>UA-2024-08-08-011169-a</v>
      </c>
      <c r="Q650" s="289">
        <v>55.581209999999999</v>
      </c>
      <c r="R650" s="289">
        <v>1</v>
      </c>
      <c r="S650" s="289">
        <v>55.581209999999999</v>
      </c>
      <c r="T650" s="290">
        <v>45512</v>
      </c>
      <c r="U650" s="289"/>
      <c r="V650" s="289" t="s">
        <v>59</v>
      </c>
    </row>
    <row r="651" spans="1:22" ht="62.4" x14ac:dyDescent="0.3">
      <c r="A651" s="291">
        <v>645</v>
      </c>
      <c r="B651" s="43" t="s">
        <v>40</v>
      </c>
      <c r="C651" s="44" t="s">
        <v>41</v>
      </c>
      <c r="D651" s="291"/>
      <c r="E651" s="291" t="s">
        <v>75</v>
      </c>
      <c r="F651" s="44" t="s">
        <v>1385</v>
      </c>
      <c r="G651" s="291" t="s">
        <v>184</v>
      </c>
      <c r="H651" s="291">
        <v>475.04106000000002</v>
      </c>
      <c r="I651" s="291">
        <v>1</v>
      </c>
      <c r="J651" s="291">
        <v>475.04106000000002</v>
      </c>
      <c r="K651" s="291">
        <v>475.04106000000002</v>
      </c>
      <c r="L651" s="291">
        <v>1</v>
      </c>
      <c r="M651" s="291">
        <v>475.04106000000002</v>
      </c>
      <c r="N651" s="6" t="s">
        <v>1404</v>
      </c>
      <c r="O651" s="292">
        <v>45526</v>
      </c>
      <c r="P651" s="33" t="str">
        <f>HYPERLINK("https://my.zakupivli.pro/remote/dispatcher/state_purchase_view/52855486", "UA-2024-08-22-004345-a")</f>
        <v>UA-2024-08-22-004345-a</v>
      </c>
      <c r="Q651" s="291">
        <v>475.04106000000002</v>
      </c>
      <c r="R651" s="291">
        <v>1</v>
      </c>
      <c r="S651" s="291">
        <v>475.04106000000002</v>
      </c>
      <c r="T651" s="292">
        <v>45526</v>
      </c>
      <c r="U651" s="291"/>
      <c r="V651" s="291" t="s">
        <v>59</v>
      </c>
    </row>
    <row r="652" spans="1:22" ht="62.4" x14ac:dyDescent="0.3">
      <c r="A652" s="291">
        <v>646</v>
      </c>
      <c r="B652" s="43" t="s">
        <v>40</v>
      </c>
      <c r="C652" s="44" t="s">
        <v>41</v>
      </c>
      <c r="D652" s="291"/>
      <c r="E652" s="291" t="s">
        <v>75</v>
      </c>
      <c r="F652" s="44" t="s">
        <v>1386</v>
      </c>
      <c r="G652" s="291" t="s">
        <v>184</v>
      </c>
      <c r="H652" s="291">
        <v>428.27992</v>
      </c>
      <c r="I652" s="291">
        <v>1</v>
      </c>
      <c r="J652" s="291">
        <v>428.27992</v>
      </c>
      <c r="K652" s="291">
        <v>428.27992</v>
      </c>
      <c r="L652" s="291">
        <v>1</v>
      </c>
      <c r="M652" s="291">
        <v>428.27992</v>
      </c>
      <c r="N652" s="6" t="s">
        <v>1405</v>
      </c>
      <c r="O652" s="292">
        <v>45526</v>
      </c>
      <c r="P652" s="33" t="str">
        <f>HYPERLINK("https://my.zakupivli.pro/remote/dispatcher/state_purchase_view/52855277", "UA-2024-08-22-004238-a")</f>
        <v>UA-2024-08-22-004238-a</v>
      </c>
      <c r="Q652" s="291">
        <v>428.27992</v>
      </c>
      <c r="R652" s="291">
        <v>1</v>
      </c>
      <c r="S652" s="291">
        <v>428.27992</v>
      </c>
      <c r="T652" s="292">
        <v>45526</v>
      </c>
      <c r="U652" s="291"/>
      <c r="V652" s="291" t="s">
        <v>59</v>
      </c>
    </row>
    <row r="653" spans="1:22" ht="62.4" x14ac:dyDescent="0.3">
      <c r="A653" s="291">
        <v>647</v>
      </c>
      <c r="B653" s="43" t="s">
        <v>21</v>
      </c>
      <c r="C653" s="44" t="s">
        <v>413</v>
      </c>
      <c r="D653" s="291"/>
      <c r="E653" s="291" t="s">
        <v>373</v>
      </c>
      <c r="F653" s="44" t="s">
        <v>1387</v>
      </c>
      <c r="G653" s="291" t="s">
        <v>185</v>
      </c>
      <c r="H653" s="119">
        <v>64.5</v>
      </c>
      <c r="I653" s="291">
        <v>1</v>
      </c>
      <c r="J653" s="119">
        <v>64.5</v>
      </c>
      <c r="K653" s="119">
        <v>64.5</v>
      </c>
      <c r="L653" s="291">
        <v>1</v>
      </c>
      <c r="M653" s="119">
        <v>64.5</v>
      </c>
      <c r="N653" s="6" t="s">
        <v>1406</v>
      </c>
      <c r="O653" s="292">
        <v>45526</v>
      </c>
      <c r="P653" s="33" t="str">
        <f>HYPERLINK("https://my.zakupivli.pro/remote/dispatcher/state_purchase_view/52854599", "UA-2024-08-22-003941-a")</f>
        <v>UA-2024-08-22-003941-a</v>
      </c>
      <c r="Q653" s="119">
        <v>64.5</v>
      </c>
      <c r="R653" s="291">
        <v>1</v>
      </c>
      <c r="S653" s="119">
        <v>64.5</v>
      </c>
      <c r="T653" s="292">
        <v>45526</v>
      </c>
      <c r="U653" s="291"/>
      <c r="V653" s="291" t="s">
        <v>59</v>
      </c>
    </row>
    <row r="654" spans="1:22" ht="62.4" x14ac:dyDescent="0.3">
      <c r="A654" s="291">
        <v>648</v>
      </c>
      <c r="B654" s="43" t="s">
        <v>40</v>
      </c>
      <c r="C654" s="44" t="s">
        <v>885</v>
      </c>
      <c r="D654" s="291"/>
      <c r="E654" s="291" t="s">
        <v>373</v>
      </c>
      <c r="F654" s="44" t="s">
        <v>1388</v>
      </c>
      <c r="G654" s="291" t="s">
        <v>184</v>
      </c>
      <c r="H654" s="291">
        <v>222.38373999999999</v>
      </c>
      <c r="I654" s="291">
        <v>1</v>
      </c>
      <c r="J654" s="291">
        <v>222.38373999999999</v>
      </c>
      <c r="K654" s="291">
        <v>222.38373999999999</v>
      </c>
      <c r="L654" s="291">
        <v>1</v>
      </c>
      <c r="M654" s="291">
        <v>222.38373999999999</v>
      </c>
      <c r="N654" s="6" t="s">
        <v>1407</v>
      </c>
      <c r="O654" s="292">
        <v>45525</v>
      </c>
      <c r="P654" s="33" t="str">
        <f>HYPERLINK("https://my.zakupivli.pro/remote/dispatcher/state_purchase_view/52826404", "UA-2024-08-21-003135-a")</f>
        <v>UA-2024-08-21-003135-a</v>
      </c>
      <c r="Q654" s="291">
        <v>222.38373999999999</v>
      </c>
      <c r="R654" s="291">
        <v>1</v>
      </c>
      <c r="S654" s="291">
        <v>222.38373999999999</v>
      </c>
      <c r="T654" s="292">
        <v>45525</v>
      </c>
      <c r="U654" s="291"/>
      <c r="V654" s="291" t="s">
        <v>59</v>
      </c>
    </row>
    <row r="655" spans="1:22" ht="62.4" x14ac:dyDescent="0.3">
      <c r="A655" s="291">
        <v>649</v>
      </c>
      <c r="B655" s="43" t="s">
        <v>40</v>
      </c>
      <c r="C655" s="44" t="s">
        <v>885</v>
      </c>
      <c r="D655" s="291"/>
      <c r="E655" s="291" t="s">
        <v>373</v>
      </c>
      <c r="F655" s="44" t="s">
        <v>1389</v>
      </c>
      <c r="G655" s="291" t="s">
        <v>184</v>
      </c>
      <c r="H655" s="291">
        <v>632.85871999999995</v>
      </c>
      <c r="I655" s="291">
        <v>1</v>
      </c>
      <c r="J655" s="291">
        <v>632.85871999999995</v>
      </c>
      <c r="K655" s="291">
        <v>632.85871999999995</v>
      </c>
      <c r="L655" s="291">
        <v>1</v>
      </c>
      <c r="M655" s="291">
        <v>632.85871999999995</v>
      </c>
      <c r="N655" s="6" t="s">
        <v>1408</v>
      </c>
      <c r="O655" s="292">
        <v>45525</v>
      </c>
      <c r="P655" s="33" t="str">
        <f>HYPERLINK("https://my.zakupivli.pro/remote/dispatcher/state_purchase_view/52828280", "UA-2024-08-21-003975-a")</f>
        <v>UA-2024-08-21-003975-a</v>
      </c>
      <c r="Q655" s="291">
        <v>632.85871999999995</v>
      </c>
      <c r="R655" s="291">
        <v>1</v>
      </c>
      <c r="S655" s="291">
        <v>632.85871999999995</v>
      </c>
      <c r="T655" s="292">
        <v>45525</v>
      </c>
      <c r="U655" s="291"/>
      <c r="V655" s="291" t="s">
        <v>59</v>
      </c>
    </row>
    <row r="656" spans="1:22" ht="62.4" x14ac:dyDescent="0.3">
      <c r="A656" s="291">
        <v>650</v>
      </c>
      <c r="B656" s="43" t="s">
        <v>40</v>
      </c>
      <c r="C656" s="44" t="s">
        <v>885</v>
      </c>
      <c r="D656" s="291"/>
      <c r="E656" s="291" t="s">
        <v>373</v>
      </c>
      <c r="F656" s="44" t="s">
        <v>1390</v>
      </c>
      <c r="G656" s="291" t="s">
        <v>184</v>
      </c>
      <c r="H656" s="291">
        <v>68.669600000000003</v>
      </c>
      <c r="I656" s="291">
        <v>1</v>
      </c>
      <c r="J656" s="291">
        <v>68.669600000000003</v>
      </c>
      <c r="K656" s="291">
        <v>68.669600000000003</v>
      </c>
      <c r="L656" s="291">
        <v>1</v>
      </c>
      <c r="M656" s="291">
        <v>68.669600000000003</v>
      </c>
      <c r="N656" s="6" t="s">
        <v>1409</v>
      </c>
      <c r="O656" s="292">
        <v>45525</v>
      </c>
      <c r="P656" s="33" t="str">
        <f>HYPERLINK("https://my.zakupivli.pro/remote/dispatcher/state_purchase_view/52827119", "UA-2024-08-21-003447-a")</f>
        <v>UA-2024-08-21-003447-a</v>
      </c>
      <c r="Q656" s="291">
        <v>68.669600000000003</v>
      </c>
      <c r="R656" s="291">
        <v>1</v>
      </c>
      <c r="S656" s="291">
        <v>68.669600000000003</v>
      </c>
      <c r="T656" s="292">
        <v>45525</v>
      </c>
      <c r="U656" s="291"/>
      <c r="V656" s="291" t="s">
        <v>59</v>
      </c>
    </row>
    <row r="657" spans="1:22" ht="62.4" x14ac:dyDescent="0.3">
      <c r="A657" s="291">
        <v>651</v>
      </c>
      <c r="B657" s="291" t="s">
        <v>1151</v>
      </c>
      <c r="C657" s="44" t="s">
        <v>1401</v>
      </c>
      <c r="D657" s="291"/>
      <c r="E657" s="291" t="s">
        <v>75</v>
      </c>
      <c r="F657" s="44" t="s">
        <v>1391</v>
      </c>
      <c r="G657" s="291" t="s">
        <v>1150</v>
      </c>
      <c r="H657" s="291">
        <v>76.848349999999996</v>
      </c>
      <c r="I657" s="291">
        <v>1</v>
      </c>
      <c r="J657" s="291">
        <v>76.848349999999996</v>
      </c>
      <c r="K657" s="291">
        <v>76.848349999999996</v>
      </c>
      <c r="L657" s="291">
        <v>1</v>
      </c>
      <c r="M657" s="291">
        <v>76.848349999999996</v>
      </c>
      <c r="N657" s="6" t="s">
        <v>1410</v>
      </c>
      <c r="O657" s="292">
        <v>45524</v>
      </c>
      <c r="P657" s="33" t="str">
        <f>HYPERLINK("https://my.zakupivli.pro/remote/dispatcher/state_purchase_view/52816266", "UA-2024-08-20-011009-a")</f>
        <v>UA-2024-08-20-011009-a</v>
      </c>
      <c r="Q657" s="291">
        <v>76.848349999999996</v>
      </c>
      <c r="R657" s="291">
        <v>1</v>
      </c>
      <c r="S657" s="291">
        <v>76.848349999999996</v>
      </c>
      <c r="T657" s="292">
        <v>45524</v>
      </c>
      <c r="U657" s="291"/>
      <c r="V657" s="291" t="s">
        <v>59</v>
      </c>
    </row>
    <row r="658" spans="1:22" ht="202.8" x14ac:dyDescent="0.3">
      <c r="A658" s="291">
        <v>652</v>
      </c>
      <c r="B658" s="291" t="s">
        <v>21</v>
      </c>
      <c r="C658" s="44" t="s">
        <v>174</v>
      </c>
      <c r="D658" s="315" t="s">
        <v>58</v>
      </c>
      <c r="E658" s="291" t="s">
        <v>88</v>
      </c>
      <c r="F658" s="44" t="s">
        <v>1392</v>
      </c>
      <c r="G658" s="291" t="s">
        <v>187</v>
      </c>
      <c r="H658" s="291"/>
      <c r="I658" s="291">
        <v>34</v>
      </c>
      <c r="J658" s="291">
        <v>921.16</v>
      </c>
      <c r="K658" s="291"/>
      <c r="L658" s="291">
        <v>34</v>
      </c>
      <c r="M658" s="291">
        <v>921.16</v>
      </c>
      <c r="N658" s="6" t="s">
        <v>1411</v>
      </c>
      <c r="O658" s="292">
        <v>45520</v>
      </c>
      <c r="P658" s="33" t="str">
        <f>HYPERLINK("https://my.zakupivli.pro/remote/dispatcher/state_purchase_view/52746547", "UA-2024-08-16-002910-a")</f>
        <v>UA-2024-08-16-002910-a</v>
      </c>
      <c r="Q658" s="291"/>
      <c r="R658" s="291">
        <v>34</v>
      </c>
      <c r="S658" s="291">
        <v>870.6</v>
      </c>
      <c r="T658" s="292">
        <v>45566</v>
      </c>
      <c r="U658" s="291"/>
      <c r="V658" s="291"/>
    </row>
    <row r="659" spans="1:22" ht="78" x14ac:dyDescent="0.3">
      <c r="A659" s="291">
        <v>653</v>
      </c>
      <c r="B659" s="291" t="s">
        <v>21</v>
      </c>
      <c r="C659" s="44" t="s">
        <v>1365</v>
      </c>
      <c r="D659" s="291"/>
      <c r="E659" s="291" t="s">
        <v>75</v>
      </c>
      <c r="F659" s="44" t="s">
        <v>1393</v>
      </c>
      <c r="G659" s="291" t="s">
        <v>185</v>
      </c>
      <c r="H659" s="119">
        <v>65</v>
      </c>
      <c r="I659" s="291">
        <v>1</v>
      </c>
      <c r="J659" s="119">
        <v>65</v>
      </c>
      <c r="K659" s="119">
        <v>65</v>
      </c>
      <c r="L659" s="291">
        <v>1</v>
      </c>
      <c r="M659" s="119">
        <v>65</v>
      </c>
      <c r="N659" s="6" t="s">
        <v>1412</v>
      </c>
      <c r="O659" s="292">
        <v>45519</v>
      </c>
      <c r="P659" s="33" t="str">
        <f>HYPERLINK("https://my.zakupivli.pro/remote/dispatcher/state_purchase_view/52745815", "UA-2024-08-16-002605-a")</f>
        <v>UA-2024-08-16-002605-a</v>
      </c>
      <c r="Q659" s="119">
        <v>65</v>
      </c>
      <c r="R659" s="291">
        <v>1</v>
      </c>
      <c r="S659" s="119">
        <v>65</v>
      </c>
      <c r="T659" s="292">
        <v>45519</v>
      </c>
      <c r="U659" s="291"/>
      <c r="V659" s="291" t="s">
        <v>59</v>
      </c>
    </row>
    <row r="660" spans="1:22" ht="62.4" x14ac:dyDescent="0.3">
      <c r="A660" s="291">
        <v>654</v>
      </c>
      <c r="B660" s="291" t="s">
        <v>21</v>
      </c>
      <c r="C660" s="44" t="s">
        <v>1402</v>
      </c>
      <c r="D660" s="291"/>
      <c r="E660" s="291" t="s">
        <v>75</v>
      </c>
      <c r="F660" s="44" t="s">
        <v>1394</v>
      </c>
      <c r="G660" s="291" t="s">
        <v>185</v>
      </c>
      <c r="H660" s="119">
        <v>87.6</v>
      </c>
      <c r="I660" s="291">
        <v>3</v>
      </c>
      <c r="J660" s="119">
        <v>87.6</v>
      </c>
      <c r="K660" s="119">
        <v>87.6</v>
      </c>
      <c r="L660" s="291">
        <v>3</v>
      </c>
      <c r="M660" s="119">
        <v>87.6</v>
      </c>
      <c r="N660" s="6" t="s">
        <v>1413</v>
      </c>
      <c r="O660" s="292">
        <v>45520</v>
      </c>
      <c r="P660" s="33" t="str">
        <f>HYPERLINK("https://my.zakupivli.pro/remote/dispatcher/state_purchase_view/52749428", "UA-2024-08-16-004297-a")</f>
        <v>UA-2024-08-16-004297-a</v>
      </c>
      <c r="Q660" s="119">
        <v>87.6</v>
      </c>
      <c r="R660" s="291">
        <v>3</v>
      </c>
      <c r="S660" s="119">
        <v>87.6</v>
      </c>
      <c r="T660" s="292">
        <v>45520</v>
      </c>
      <c r="U660" s="291"/>
      <c r="V660" s="291" t="s">
        <v>59</v>
      </c>
    </row>
    <row r="661" spans="1:22" ht="78" x14ac:dyDescent="0.3">
      <c r="A661" s="291">
        <v>655</v>
      </c>
      <c r="B661" s="291" t="s">
        <v>21</v>
      </c>
      <c r="C661" s="44" t="s">
        <v>176</v>
      </c>
      <c r="D661" s="315" t="s">
        <v>58</v>
      </c>
      <c r="E661" s="291" t="s">
        <v>88</v>
      </c>
      <c r="F661" s="44" t="s">
        <v>1395</v>
      </c>
      <c r="G661" s="291" t="s">
        <v>185</v>
      </c>
      <c r="H661" s="291"/>
      <c r="I661" s="291">
        <v>1374</v>
      </c>
      <c r="J661" s="119">
        <v>2486.4</v>
      </c>
      <c r="K661" s="291"/>
      <c r="L661" s="291">
        <v>1374</v>
      </c>
      <c r="M661" s="119">
        <v>2486.4</v>
      </c>
      <c r="N661" s="6" t="s">
        <v>1414</v>
      </c>
      <c r="O661" s="292">
        <v>45520</v>
      </c>
      <c r="P661" s="33" t="str">
        <f>HYPERLINK("https://my.zakupivli.pro/remote/dispatcher/state_purchase_view/52757356", "UA-2024-08-16-007878-a")</f>
        <v>UA-2024-08-16-007878-a</v>
      </c>
      <c r="Q661" s="291"/>
      <c r="R661" s="291">
        <v>1374</v>
      </c>
      <c r="S661" s="119">
        <v>2486.4</v>
      </c>
      <c r="T661" s="292">
        <v>45544</v>
      </c>
      <c r="U661" s="291"/>
      <c r="V661" s="291"/>
    </row>
    <row r="662" spans="1:22" ht="62.4" x14ac:dyDescent="0.3">
      <c r="A662" s="291">
        <v>656</v>
      </c>
      <c r="B662" s="291" t="s">
        <v>21</v>
      </c>
      <c r="C662" s="44" t="s">
        <v>406</v>
      </c>
      <c r="D662" s="315" t="s">
        <v>58</v>
      </c>
      <c r="E662" s="291" t="s">
        <v>88</v>
      </c>
      <c r="F662" s="44" t="s">
        <v>1396</v>
      </c>
      <c r="G662" s="291" t="s">
        <v>185</v>
      </c>
      <c r="H662" s="291"/>
      <c r="I662" s="291">
        <v>54</v>
      </c>
      <c r="J662" s="291">
        <v>8192.5128000000004</v>
      </c>
      <c r="K662" s="291"/>
      <c r="L662" s="291">
        <v>54</v>
      </c>
      <c r="M662" s="291">
        <v>8192.5128000000004</v>
      </c>
      <c r="N662" s="6" t="s">
        <v>1415</v>
      </c>
      <c r="O662" s="292">
        <v>45520</v>
      </c>
      <c r="P662" s="33" t="str">
        <f>HYPERLINK("https://my.zakupivli.pro/remote/dispatcher/state_purchase_view/52758416", "UA-2024-08-16-008358-a")</f>
        <v>UA-2024-08-16-008358-a</v>
      </c>
      <c r="Q662" s="291"/>
      <c r="R662" s="291">
        <v>54</v>
      </c>
      <c r="S662" s="291">
        <v>8166.96</v>
      </c>
      <c r="T662" s="292">
        <v>45543</v>
      </c>
      <c r="U662" s="291"/>
      <c r="V662" s="291"/>
    </row>
    <row r="663" spans="1:22" ht="62.4" x14ac:dyDescent="0.3">
      <c r="A663" s="291">
        <v>657</v>
      </c>
      <c r="B663" s="291" t="s">
        <v>21</v>
      </c>
      <c r="C663" s="44" t="s">
        <v>32</v>
      </c>
      <c r="D663" s="315" t="s">
        <v>58</v>
      </c>
      <c r="E663" s="291" t="s">
        <v>88</v>
      </c>
      <c r="F663" s="44" t="s">
        <v>1397</v>
      </c>
      <c r="G663" s="291" t="s">
        <v>185</v>
      </c>
      <c r="H663" s="291"/>
      <c r="I663" s="291">
        <v>129</v>
      </c>
      <c r="J663" s="291">
        <v>103.26</v>
      </c>
      <c r="K663" s="291"/>
      <c r="L663" s="291">
        <v>129</v>
      </c>
      <c r="M663" s="291">
        <v>103.26</v>
      </c>
      <c r="N663" s="6" t="s">
        <v>1416</v>
      </c>
      <c r="O663" s="292">
        <v>45520</v>
      </c>
      <c r="P663" s="33" t="str">
        <f>HYPERLINK("https://my.zakupivli.pro/remote/dispatcher/state_purchase_view/52758890", "UA-2024-08-16-008563-a")</f>
        <v>UA-2024-08-16-008563-a</v>
      </c>
      <c r="Q663" s="291"/>
      <c r="R663" s="291">
        <v>129</v>
      </c>
      <c r="S663" s="291">
        <v>102.61499999999999</v>
      </c>
      <c r="T663" s="314">
        <v>45544</v>
      </c>
      <c r="U663" s="291"/>
      <c r="V663" s="291"/>
    </row>
    <row r="664" spans="1:22" ht="62.4" x14ac:dyDescent="0.3">
      <c r="A664" s="291">
        <v>658</v>
      </c>
      <c r="B664" s="291" t="s">
        <v>40</v>
      </c>
      <c r="C664" s="44" t="s">
        <v>885</v>
      </c>
      <c r="D664" s="291"/>
      <c r="E664" s="291" t="s">
        <v>373</v>
      </c>
      <c r="F664" s="44" t="s">
        <v>1398</v>
      </c>
      <c r="G664" s="291" t="s">
        <v>184</v>
      </c>
      <c r="H664" s="291">
        <v>54.13823</v>
      </c>
      <c r="I664" s="291">
        <v>1</v>
      </c>
      <c r="J664" s="291">
        <v>54.13823</v>
      </c>
      <c r="K664" s="291">
        <v>54.13823</v>
      </c>
      <c r="L664" s="291">
        <v>1</v>
      </c>
      <c r="M664" s="291">
        <v>54.13823</v>
      </c>
      <c r="N664" s="6" t="s">
        <v>1417</v>
      </c>
      <c r="O664" s="292">
        <v>45519</v>
      </c>
      <c r="P664" s="33" t="str">
        <f>HYPERLINK("https://my.zakupivli.pro/remote/dispatcher/state_purchase_view/52723728", "UA-2024-08-15-004257-a")</f>
        <v>UA-2024-08-15-004257-a</v>
      </c>
      <c r="Q664" s="291">
        <v>54.13823</v>
      </c>
      <c r="R664" s="291">
        <v>1</v>
      </c>
      <c r="S664" s="291">
        <v>54.13823</v>
      </c>
      <c r="T664" s="292">
        <v>45519</v>
      </c>
      <c r="U664" s="291"/>
      <c r="V664" s="291" t="s">
        <v>59</v>
      </c>
    </row>
    <row r="665" spans="1:22" ht="62.4" x14ac:dyDescent="0.3">
      <c r="A665" s="291">
        <v>659</v>
      </c>
      <c r="B665" s="291" t="s">
        <v>40</v>
      </c>
      <c r="C665" s="44" t="s">
        <v>885</v>
      </c>
      <c r="D665" s="291"/>
      <c r="E665" s="291" t="s">
        <v>373</v>
      </c>
      <c r="F665" s="44" t="s">
        <v>1399</v>
      </c>
      <c r="G665" s="291" t="s">
        <v>184</v>
      </c>
      <c r="H665" s="291">
        <v>72.478120000000004</v>
      </c>
      <c r="I665" s="291">
        <v>1</v>
      </c>
      <c r="J665" s="291">
        <v>72.478120000000004</v>
      </c>
      <c r="K665" s="291">
        <v>72.478120000000004</v>
      </c>
      <c r="L665" s="291">
        <v>1</v>
      </c>
      <c r="M665" s="291">
        <v>72.478120000000004</v>
      </c>
      <c r="N665" s="6" t="s">
        <v>1418</v>
      </c>
      <c r="O665" s="292">
        <v>45519</v>
      </c>
      <c r="P665" s="33" t="str">
        <f>HYPERLINK("https://my.zakupivli.pro/remote/dispatcher/state_purchase_view/52723515", "UA-2024-08-15-004128-a")</f>
        <v>UA-2024-08-15-004128-a</v>
      </c>
      <c r="Q665" s="291">
        <v>72.478120000000004</v>
      </c>
      <c r="R665" s="291">
        <v>1</v>
      </c>
      <c r="S665" s="291">
        <v>72.478120000000004</v>
      </c>
      <c r="T665" s="292">
        <v>45519</v>
      </c>
      <c r="U665" s="291"/>
      <c r="V665" s="291" t="s">
        <v>59</v>
      </c>
    </row>
    <row r="666" spans="1:22" ht="62.4" x14ac:dyDescent="0.3">
      <c r="A666" s="291">
        <v>660</v>
      </c>
      <c r="B666" s="291" t="s">
        <v>21</v>
      </c>
      <c r="C666" s="44" t="s">
        <v>761</v>
      </c>
      <c r="D666" s="291"/>
      <c r="E666" s="291" t="s">
        <v>75</v>
      </c>
      <c r="F666" s="44" t="s">
        <v>1400</v>
      </c>
      <c r="G666" s="291" t="s">
        <v>185</v>
      </c>
      <c r="H666" s="291">
        <v>60.012999999999998</v>
      </c>
      <c r="I666" s="291">
        <v>1</v>
      </c>
      <c r="J666" s="291">
        <v>60.012999999999998</v>
      </c>
      <c r="K666" s="291">
        <v>60.012999999999998</v>
      </c>
      <c r="L666" s="291">
        <v>1</v>
      </c>
      <c r="M666" s="291">
        <v>60.012999999999998</v>
      </c>
      <c r="N666" s="6" t="s">
        <v>1419</v>
      </c>
      <c r="O666" s="292">
        <v>45519</v>
      </c>
      <c r="P666" s="33" t="str">
        <f>HYPERLINK("https://my.zakupivli.pro/remote/dispatcher/state_purchase_view/52687668", "UA-2024-08-14-000304-a")</f>
        <v>UA-2024-08-14-000304-a</v>
      </c>
      <c r="Q666" s="291">
        <v>60.012999999999998</v>
      </c>
      <c r="R666" s="291">
        <v>1</v>
      </c>
      <c r="S666" s="291">
        <v>60.012999999999998</v>
      </c>
      <c r="T666" s="292">
        <v>45519</v>
      </c>
      <c r="U666" s="291"/>
      <c r="V666" s="291" t="s">
        <v>59</v>
      </c>
    </row>
    <row r="667" spans="1:22" ht="78" x14ac:dyDescent="0.3">
      <c r="A667" s="291">
        <v>661</v>
      </c>
      <c r="B667" s="291" t="s">
        <v>40</v>
      </c>
      <c r="C667" s="44" t="s">
        <v>73</v>
      </c>
      <c r="D667" s="291"/>
      <c r="E667" s="291" t="s">
        <v>75</v>
      </c>
      <c r="F667" s="44" t="s">
        <v>1403</v>
      </c>
      <c r="G667" s="291" t="s">
        <v>184</v>
      </c>
      <c r="H667" s="291">
        <v>92.021000000000001</v>
      </c>
      <c r="I667" s="291">
        <v>1</v>
      </c>
      <c r="J667" s="291">
        <v>92.021000000000001</v>
      </c>
      <c r="K667" s="291">
        <v>92.021000000000001</v>
      </c>
      <c r="L667" s="291">
        <v>1</v>
      </c>
      <c r="M667" s="291">
        <v>92.021000000000001</v>
      </c>
      <c r="N667" s="6" t="s">
        <v>1420</v>
      </c>
      <c r="O667" s="292">
        <v>45518</v>
      </c>
      <c r="P667" s="33" t="str">
        <f>HYPERLINK("https://my.zakupivli.pro/remote/dispatcher/state_purchase_view/52706129", "UA-2024-08-14-008653-a")</f>
        <v>UA-2024-08-14-008653-a</v>
      </c>
      <c r="Q667" s="291">
        <v>92.021000000000001</v>
      </c>
      <c r="R667" s="291">
        <v>1</v>
      </c>
      <c r="S667" s="291">
        <v>92.021000000000001</v>
      </c>
      <c r="T667" s="292">
        <v>45518</v>
      </c>
      <c r="U667" s="291"/>
      <c r="V667" s="291" t="s">
        <v>59</v>
      </c>
    </row>
    <row r="668" spans="1:22" ht="62.4" x14ac:dyDescent="0.3">
      <c r="A668" s="291">
        <v>662</v>
      </c>
      <c r="B668" s="291" t="s">
        <v>21</v>
      </c>
      <c r="C668" s="44" t="s">
        <v>1144</v>
      </c>
      <c r="D668" s="291"/>
      <c r="E668" s="291" t="s">
        <v>75</v>
      </c>
      <c r="F668" s="44" t="s">
        <v>1142</v>
      </c>
      <c r="G668" s="291" t="s">
        <v>186</v>
      </c>
      <c r="H668" s="291"/>
      <c r="I668" s="291">
        <v>3</v>
      </c>
      <c r="J668" s="291">
        <v>52.291200000000003</v>
      </c>
      <c r="K668" s="291"/>
      <c r="L668" s="291">
        <v>3</v>
      </c>
      <c r="M668" s="291">
        <v>52.291200000000003</v>
      </c>
      <c r="N668" s="6" t="s">
        <v>1421</v>
      </c>
      <c r="O668" s="292">
        <v>45517</v>
      </c>
      <c r="P668" s="33" t="str">
        <f>HYPERLINK("https://my.zakupivli.pro/remote/dispatcher/state_purchase_view/52684518", "UA-2024-08-13-010928-a")</f>
        <v>UA-2024-08-13-010928-a</v>
      </c>
      <c r="Q668" s="291"/>
      <c r="R668" s="291">
        <v>3</v>
      </c>
      <c r="S668" s="291">
        <v>52.291200000000003</v>
      </c>
      <c r="T668" s="292">
        <v>45517</v>
      </c>
      <c r="U668" s="291"/>
      <c r="V668" s="291" t="s">
        <v>59</v>
      </c>
    </row>
    <row r="669" spans="1:22" ht="62.4" x14ac:dyDescent="0.3">
      <c r="A669" s="291">
        <v>663</v>
      </c>
      <c r="B669" s="291" t="s">
        <v>21</v>
      </c>
      <c r="C669" s="44" t="s">
        <v>413</v>
      </c>
      <c r="D669" s="291"/>
      <c r="E669" s="291" t="s">
        <v>373</v>
      </c>
      <c r="F669" s="44" t="s">
        <v>1297</v>
      </c>
      <c r="G669" s="291" t="s">
        <v>185</v>
      </c>
      <c r="H669" s="119">
        <v>64.5</v>
      </c>
      <c r="I669" s="291">
        <v>1</v>
      </c>
      <c r="J669" s="119">
        <v>64.5</v>
      </c>
      <c r="K669" s="119">
        <v>64.5</v>
      </c>
      <c r="L669" s="291">
        <v>1</v>
      </c>
      <c r="M669" s="119">
        <v>64.5</v>
      </c>
      <c r="N669" s="6" t="s">
        <v>1422</v>
      </c>
      <c r="O669" s="292">
        <v>45516</v>
      </c>
      <c r="P669" s="33" t="str">
        <f>HYPERLINK("https://my.zakupivli.pro/remote/dispatcher/state_purchase_view/52648015", "UA-2024-08-12-006182-a")</f>
        <v>UA-2024-08-12-006182-a</v>
      </c>
      <c r="Q669" s="119">
        <v>64.5</v>
      </c>
      <c r="R669" s="291">
        <v>1</v>
      </c>
      <c r="S669" s="119">
        <v>64.5</v>
      </c>
      <c r="T669" s="292">
        <v>45516</v>
      </c>
      <c r="U669" s="291"/>
      <c r="V669" s="291" t="s">
        <v>59</v>
      </c>
    </row>
    <row r="670" spans="1:22" ht="62.4" x14ac:dyDescent="0.3">
      <c r="A670" s="291">
        <v>664</v>
      </c>
      <c r="B670" s="291" t="s">
        <v>21</v>
      </c>
      <c r="C670" s="44" t="s">
        <v>761</v>
      </c>
      <c r="D670" s="291"/>
      <c r="E670" s="291" t="s">
        <v>75</v>
      </c>
      <c r="F670" s="44" t="s">
        <v>1400</v>
      </c>
      <c r="G670" s="291" t="s">
        <v>185</v>
      </c>
      <c r="H670" s="291">
        <v>66.013000000000005</v>
      </c>
      <c r="I670" s="291">
        <v>1</v>
      </c>
      <c r="J670" s="291">
        <v>66.013000000000005</v>
      </c>
      <c r="K670" s="291">
        <v>66.013000000000005</v>
      </c>
      <c r="L670" s="291">
        <v>1</v>
      </c>
      <c r="M670" s="291">
        <v>66.013000000000005</v>
      </c>
      <c r="N670" s="6" t="s">
        <v>1423</v>
      </c>
      <c r="O670" s="292">
        <v>45513</v>
      </c>
      <c r="P670" s="33" t="str">
        <f>HYPERLINK("https://my.zakupivli.pro/remote/dispatcher/state_purchase_view/52614637", "UA-2024-08-09-003010-a")</f>
        <v>UA-2024-08-09-003010-a</v>
      </c>
      <c r="Q670" s="291">
        <v>66.013000000000005</v>
      </c>
      <c r="R670" s="291">
        <v>1</v>
      </c>
      <c r="S670" s="291">
        <v>66.013000000000005</v>
      </c>
      <c r="T670" s="292">
        <v>45513</v>
      </c>
      <c r="U670" s="291"/>
      <c r="V670" s="291" t="s">
        <v>59</v>
      </c>
    </row>
    <row r="671" spans="1:22" ht="62.4" x14ac:dyDescent="0.3">
      <c r="A671" s="291">
        <v>665</v>
      </c>
      <c r="B671" s="293" t="s">
        <v>21</v>
      </c>
      <c r="C671" s="44" t="s">
        <v>1426</v>
      </c>
      <c r="D671" s="315" t="s">
        <v>58</v>
      </c>
      <c r="E671" s="293" t="s">
        <v>88</v>
      </c>
      <c r="F671" s="44" t="s">
        <v>1424</v>
      </c>
      <c r="G671" s="291" t="s">
        <v>185</v>
      </c>
      <c r="H671" s="291"/>
      <c r="I671" s="291">
        <v>17</v>
      </c>
      <c r="J671" s="291">
        <v>1144.2850000000001</v>
      </c>
      <c r="K671" s="291"/>
      <c r="L671" s="293">
        <v>17</v>
      </c>
      <c r="M671" s="293">
        <v>1144.2850000000001</v>
      </c>
      <c r="N671" s="6" t="s">
        <v>1428</v>
      </c>
      <c r="O671" s="292">
        <v>45533</v>
      </c>
      <c r="P671" s="33" t="str">
        <f>HYPERLINK("https://my.zakupivli.pro/remote/dispatcher/state_purchase_view/52989866", "UA-2024-08-29-007868-a")</f>
        <v>UA-2024-08-29-007868-a</v>
      </c>
      <c r="Q671" s="291"/>
      <c r="R671" s="291">
        <v>17</v>
      </c>
      <c r="S671" s="291">
        <v>1144.2850000000001</v>
      </c>
      <c r="T671" s="292">
        <v>45588</v>
      </c>
      <c r="U671" s="291"/>
      <c r="V671" s="291"/>
    </row>
    <row r="672" spans="1:22" ht="78" x14ac:dyDescent="0.3">
      <c r="A672" s="291">
        <v>666</v>
      </c>
      <c r="B672" s="293" t="s">
        <v>21</v>
      </c>
      <c r="C672" s="44" t="s">
        <v>1427</v>
      </c>
      <c r="D672" s="315" t="s">
        <v>58</v>
      </c>
      <c r="E672" s="293" t="s">
        <v>88</v>
      </c>
      <c r="F672" s="44" t="s">
        <v>1425</v>
      </c>
      <c r="G672" s="291" t="s">
        <v>185</v>
      </c>
      <c r="H672" s="291"/>
      <c r="I672" s="291">
        <v>16</v>
      </c>
      <c r="J672" s="291">
        <v>457.49416000000002</v>
      </c>
      <c r="K672" s="291"/>
      <c r="L672" s="293">
        <v>16</v>
      </c>
      <c r="M672" s="293">
        <v>457.49416000000002</v>
      </c>
      <c r="N672" s="6" t="s">
        <v>1429</v>
      </c>
      <c r="O672" s="294">
        <v>45533</v>
      </c>
      <c r="P672" s="33" t="str">
        <f>HYPERLINK("https://my.zakupivli.pro/remote/dispatcher/state_purchase_view/52990788", "UA-2024-08-29-008281-a")</f>
        <v>UA-2024-08-29-008281-a</v>
      </c>
      <c r="Q672" s="291"/>
      <c r="R672" s="291">
        <v>16</v>
      </c>
      <c r="S672" s="291">
        <v>457.49417</v>
      </c>
      <c r="T672" s="292">
        <v>45551</v>
      </c>
      <c r="U672" s="291"/>
      <c r="V672" s="291"/>
    </row>
    <row r="673" spans="1:22" ht="62.4" x14ac:dyDescent="0.3">
      <c r="A673" s="291">
        <v>667</v>
      </c>
      <c r="B673" s="291" t="s">
        <v>1151</v>
      </c>
      <c r="C673" s="41" t="s">
        <v>1401</v>
      </c>
      <c r="D673" s="291"/>
      <c r="E673" s="296" t="s">
        <v>75</v>
      </c>
      <c r="F673" s="52" t="s">
        <v>1430</v>
      </c>
      <c r="G673" s="291" t="s">
        <v>1150</v>
      </c>
      <c r="H673" s="119">
        <v>78</v>
      </c>
      <c r="I673" s="291">
        <v>1</v>
      </c>
      <c r="J673" s="119">
        <v>78</v>
      </c>
      <c r="K673" s="119">
        <v>78</v>
      </c>
      <c r="L673" s="296">
        <v>1</v>
      </c>
      <c r="M673" s="119">
        <v>78</v>
      </c>
      <c r="N673" s="6" t="s">
        <v>1431</v>
      </c>
      <c r="O673" s="292">
        <v>45537</v>
      </c>
      <c r="P673" s="42" t="str">
        <f>HYPERLINK("https://my.zakupivli.pro/remote/dispatcher/state_purchase_view/53031151", "UA-2024-09-02-005487-a")</f>
        <v>UA-2024-09-02-005487-a</v>
      </c>
      <c r="Q673" s="119">
        <v>78</v>
      </c>
      <c r="R673" s="296">
        <v>1</v>
      </c>
      <c r="S673" s="119">
        <v>78</v>
      </c>
      <c r="T673" s="295">
        <v>45537</v>
      </c>
      <c r="U673" s="291"/>
      <c r="V673" s="296" t="s">
        <v>59</v>
      </c>
    </row>
    <row r="674" spans="1:22" ht="62.4" x14ac:dyDescent="0.3">
      <c r="A674" s="291">
        <v>668</v>
      </c>
      <c r="B674" s="291" t="s">
        <v>21</v>
      </c>
      <c r="C674" s="44" t="s">
        <v>30</v>
      </c>
      <c r="D674" s="291"/>
      <c r="E674" s="297" t="s">
        <v>75</v>
      </c>
      <c r="F674" s="225" t="s">
        <v>1432</v>
      </c>
      <c r="G674" s="291" t="s">
        <v>186</v>
      </c>
      <c r="H674" s="291"/>
      <c r="I674" s="291">
        <v>2</v>
      </c>
      <c r="J674" s="291">
        <v>79.25</v>
      </c>
      <c r="K674" s="291"/>
      <c r="L674" s="297">
        <v>2</v>
      </c>
      <c r="M674" s="297">
        <v>79.25</v>
      </c>
      <c r="N674" s="6" t="s">
        <v>1433</v>
      </c>
      <c r="O674" s="292">
        <v>45541</v>
      </c>
      <c r="P674" s="33" t="str">
        <f>HYPERLINK("https://my.zakupivli.pro/remote/dispatcher/state_purchase_view/53131375", "UA-2024-09-06-000103-a")</f>
        <v>UA-2024-09-06-000103-a</v>
      </c>
      <c r="Q674" s="291"/>
      <c r="R674" s="297">
        <v>2</v>
      </c>
      <c r="S674" s="297">
        <v>79.25</v>
      </c>
      <c r="T674" s="292">
        <v>45540</v>
      </c>
      <c r="U674" s="291"/>
      <c r="V674" s="297" t="s">
        <v>59</v>
      </c>
    </row>
    <row r="675" spans="1:22" ht="109.2" x14ac:dyDescent="0.3">
      <c r="A675" s="291">
        <v>669</v>
      </c>
      <c r="B675" s="298" t="s">
        <v>21</v>
      </c>
      <c r="C675" s="44" t="s">
        <v>1436</v>
      </c>
      <c r="D675" s="315" t="s">
        <v>58</v>
      </c>
      <c r="E675" s="298" t="s">
        <v>88</v>
      </c>
      <c r="F675" s="44" t="s">
        <v>1434</v>
      </c>
      <c r="G675" s="291" t="s">
        <v>185</v>
      </c>
      <c r="H675" s="291"/>
      <c r="I675" s="291">
        <v>33</v>
      </c>
      <c r="J675" s="291">
        <v>566.9425</v>
      </c>
      <c r="K675" s="291"/>
      <c r="L675" s="298">
        <v>33</v>
      </c>
      <c r="M675" s="298">
        <v>566.9425</v>
      </c>
      <c r="N675" s="6" t="s">
        <v>1437</v>
      </c>
      <c r="O675" s="299">
        <v>45544</v>
      </c>
      <c r="P675" s="33" t="str">
        <f>HYPERLINK("https://my.zakupivli.pro/remote/dispatcher/state_purchase_view/53177341", "UA-2024-09-09-007168-a")</f>
        <v>UA-2024-09-09-007168-a</v>
      </c>
      <c r="Q675" s="291"/>
      <c r="R675" s="291">
        <v>33</v>
      </c>
      <c r="S675" s="291"/>
      <c r="T675" s="292"/>
      <c r="U675" s="291" t="s">
        <v>1490</v>
      </c>
      <c r="V675" s="291"/>
    </row>
    <row r="676" spans="1:22" ht="78" x14ac:dyDescent="0.3">
      <c r="A676" s="291">
        <v>670</v>
      </c>
      <c r="B676" s="298" t="s">
        <v>40</v>
      </c>
      <c r="C676" s="44" t="s">
        <v>41</v>
      </c>
      <c r="D676" s="291"/>
      <c r="E676" s="298" t="s">
        <v>373</v>
      </c>
      <c r="F676" s="44" t="s">
        <v>1435</v>
      </c>
      <c r="G676" s="291" t="s">
        <v>184</v>
      </c>
      <c r="H676" s="291">
        <v>608.66445999999996</v>
      </c>
      <c r="I676" s="291">
        <v>1</v>
      </c>
      <c r="J676" s="298">
        <v>608.66445999999996</v>
      </c>
      <c r="K676" s="298">
        <v>608.66445999999996</v>
      </c>
      <c r="L676" s="298">
        <v>1</v>
      </c>
      <c r="M676" s="298">
        <v>608.66445999999996</v>
      </c>
      <c r="N676" s="6" t="s">
        <v>1438</v>
      </c>
      <c r="O676" s="292">
        <v>45544</v>
      </c>
      <c r="P676" s="33" t="str">
        <f>HYPERLINK("https://my.zakupivli.pro/remote/dispatcher/state_purchase_view/53189619", "UA-2024-09-09-012658-a")</f>
        <v>UA-2024-09-09-012658-a</v>
      </c>
      <c r="Q676" s="298">
        <v>608.66445999999996</v>
      </c>
      <c r="R676" s="298">
        <v>1</v>
      </c>
      <c r="S676" s="298">
        <v>608.66445999999996</v>
      </c>
      <c r="T676" s="299">
        <v>45544</v>
      </c>
      <c r="U676" s="291"/>
      <c r="V676" s="298" t="s">
        <v>59</v>
      </c>
    </row>
    <row r="677" spans="1:22" ht="62.4" x14ac:dyDescent="0.3">
      <c r="A677" s="291">
        <v>671</v>
      </c>
      <c r="B677" s="300" t="s">
        <v>40</v>
      </c>
      <c r="C677" s="44" t="s">
        <v>73</v>
      </c>
      <c r="D677" s="291"/>
      <c r="E677" s="300" t="s">
        <v>75</v>
      </c>
      <c r="F677" s="44" t="s">
        <v>1439</v>
      </c>
      <c r="G677" s="291" t="s">
        <v>184</v>
      </c>
      <c r="H677" s="291">
        <v>127.15318000000001</v>
      </c>
      <c r="I677" s="291">
        <v>1</v>
      </c>
      <c r="J677" s="300">
        <v>127.15318000000001</v>
      </c>
      <c r="K677" s="300">
        <v>127.15318000000001</v>
      </c>
      <c r="L677" s="300">
        <v>1</v>
      </c>
      <c r="M677" s="300">
        <v>127.15318000000001</v>
      </c>
      <c r="N677" s="6" t="s">
        <v>1440</v>
      </c>
      <c r="O677" s="301">
        <v>45544</v>
      </c>
      <c r="P677" s="33" t="str">
        <f>HYPERLINK("https://my.zakupivli.pro/remote/dispatcher/state_purchase_view/53208764", "UA-2024-09-10-007035-a")</f>
        <v>UA-2024-09-10-007035-a</v>
      </c>
      <c r="Q677" s="300">
        <v>127.15318000000001</v>
      </c>
      <c r="R677" s="300">
        <v>1</v>
      </c>
      <c r="S677" s="300">
        <v>127.15318000000001</v>
      </c>
      <c r="T677" s="301">
        <v>45544</v>
      </c>
      <c r="U677" s="291"/>
      <c r="V677" s="300" t="s">
        <v>59</v>
      </c>
    </row>
    <row r="678" spans="1:22" ht="62.4" x14ac:dyDescent="0.3">
      <c r="A678" s="291">
        <v>672</v>
      </c>
      <c r="B678" s="302" t="s">
        <v>21</v>
      </c>
      <c r="C678" s="44" t="s">
        <v>406</v>
      </c>
      <c r="D678" s="291"/>
      <c r="E678" s="302" t="s">
        <v>88</v>
      </c>
      <c r="F678" s="44" t="s">
        <v>1441</v>
      </c>
      <c r="G678" s="291" t="s">
        <v>185</v>
      </c>
      <c r="I678" s="291">
        <v>30</v>
      </c>
      <c r="J678" s="291">
        <v>505.92</v>
      </c>
      <c r="K678" s="291"/>
      <c r="L678" s="302">
        <v>30</v>
      </c>
      <c r="M678" s="302">
        <v>505.92</v>
      </c>
      <c r="N678" s="6" t="s">
        <v>1442</v>
      </c>
      <c r="O678" s="292">
        <v>45546</v>
      </c>
      <c r="P678" s="33" t="str">
        <f>HYPERLINK("https://my.zakupivli.pro/remote/dispatcher/state_purchase_view/53237037", "UA-2024-09-11-004952-a")</f>
        <v>UA-2024-09-11-004952-a</v>
      </c>
      <c r="Q678" s="291"/>
      <c r="R678" s="291">
        <v>30</v>
      </c>
      <c r="S678" s="291">
        <v>505.92</v>
      </c>
      <c r="T678" s="292">
        <v>45565</v>
      </c>
      <c r="U678" s="291"/>
      <c r="V678" s="291"/>
    </row>
    <row r="679" spans="1:22" ht="62.4" x14ac:dyDescent="0.3">
      <c r="A679" s="291">
        <v>673</v>
      </c>
      <c r="B679" s="303" t="s">
        <v>21</v>
      </c>
      <c r="C679" s="44" t="s">
        <v>894</v>
      </c>
      <c r="D679" s="291"/>
      <c r="E679" s="303" t="s">
        <v>88</v>
      </c>
      <c r="F679" s="44" t="s">
        <v>1443</v>
      </c>
      <c r="G679" s="291" t="s">
        <v>185</v>
      </c>
      <c r="H679" s="291"/>
      <c r="I679" s="291">
        <v>30</v>
      </c>
      <c r="J679" s="119">
        <v>1174</v>
      </c>
      <c r="K679" s="291"/>
      <c r="L679" s="303">
        <v>30</v>
      </c>
      <c r="M679" s="119">
        <v>1174</v>
      </c>
      <c r="N679" s="6" t="s">
        <v>1446</v>
      </c>
      <c r="O679" s="292">
        <v>45547</v>
      </c>
      <c r="P679" s="33" t="str">
        <f>HYPERLINK("https://my.zakupivli.pro/remote/dispatcher/state_purchase_view/53279231", "UA-2024-09-12-009706-a")</f>
        <v>UA-2024-09-12-009706-a</v>
      </c>
      <c r="Q679" s="291"/>
      <c r="R679" s="291">
        <v>30</v>
      </c>
      <c r="S679" s="119">
        <v>1103.5999999999999</v>
      </c>
      <c r="T679" s="292">
        <v>45561</v>
      </c>
      <c r="U679" s="291"/>
      <c r="V679" s="291"/>
    </row>
    <row r="680" spans="1:22" ht="78" x14ac:dyDescent="0.3">
      <c r="A680" s="291">
        <v>674</v>
      </c>
      <c r="B680" s="303" t="s">
        <v>21</v>
      </c>
      <c r="C680" s="44" t="s">
        <v>1445</v>
      </c>
      <c r="D680" s="291"/>
      <c r="E680" s="303" t="s">
        <v>75</v>
      </c>
      <c r="F680" s="44" t="s">
        <v>1444</v>
      </c>
      <c r="G680" s="291" t="s">
        <v>186</v>
      </c>
      <c r="H680" s="291"/>
      <c r="I680" s="291">
        <v>7</v>
      </c>
      <c r="J680" s="119">
        <v>557.5</v>
      </c>
      <c r="K680" s="291"/>
      <c r="L680" s="303">
        <v>7</v>
      </c>
      <c r="M680" s="119">
        <v>557.5</v>
      </c>
      <c r="N680" s="6" t="s">
        <v>1447</v>
      </c>
      <c r="O680" s="304">
        <v>45547</v>
      </c>
      <c r="P680" s="33" t="str">
        <f>HYPERLINK("https://my.zakupivli.pro/remote/dispatcher/state_purchase_view/53281103", "UA-2024-09-12-010471-a")</f>
        <v>UA-2024-09-12-010471-a</v>
      </c>
      <c r="Q680" s="291"/>
      <c r="R680" s="291"/>
      <c r="S680" s="291"/>
      <c r="T680" s="292"/>
      <c r="U680" s="313" t="s">
        <v>93</v>
      </c>
      <c r="V680" s="291"/>
    </row>
    <row r="681" spans="1:22" ht="62.4" x14ac:dyDescent="0.3">
      <c r="A681" s="306">
        <v>675</v>
      </c>
      <c r="B681" s="306" t="s">
        <v>21</v>
      </c>
      <c r="C681" s="44" t="s">
        <v>30</v>
      </c>
      <c r="D681" s="306"/>
      <c r="E681" s="306" t="s">
        <v>75</v>
      </c>
      <c r="F681" s="44" t="s">
        <v>1448</v>
      </c>
      <c r="G681" s="306" t="s">
        <v>186</v>
      </c>
      <c r="I681" s="306">
        <v>3</v>
      </c>
      <c r="J681" s="306">
        <v>82.756500000000003</v>
      </c>
      <c r="K681" s="306"/>
      <c r="L681" s="306">
        <v>3</v>
      </c>
      <c r="M681" s="306">
        <v>82.756500000000003</v>
      </c>
      <c r="N681" s="6" t="s">
        <v>1453</v>
      </c>
      <c r="O681" s="305">
        <v>45548</v>
      </c>
      <c r="P681" s="33" t="str">
        <f>HYPERLINK("https://my.zakupivli.pro/remote/dispatcher/state_purchase_view/53295317", "UA-2024-09-13-002771-a")</f>
        <v>UA-2024-09-13-002771-a</v>
      </c>
      <c r="Q681" s="306"/>
      <c r="R681" s="306">
        <v>3</v>
      </c>
      <c r="S681" s="306">
        <v>82.756500000000003</v>
      </c>
      <c r="T681" s="305">
        <v>45548</v>
      </c>
      <c r="U681" s="306"/>
      <c r="V681" s="306" t="s">
        <v>59</v>
      </c>
    </row>
    <row r="682" spans="1:22" ht="78" x14ac:dyDescent="0.3">
      <c r="A682" s="306">
        <v>676</v>
      </c>
      <c r="B682" s="306" t="s">
        <v>40</v>
      </c>
      <c r="C682" s="44" t="s">
        <v>885</v>
      </c>
      <c r="D682" s="306"/>
      <c r="E682" s="306" t="s">
        <v>373</v>
      </c>
      <c r="F682" s="44" t="s">
        <v>1449</v>
      </c>
      <c r="G682" s="306" t="s">
        <v>184</v>
      </c>
      <c r="H682" s="306">
        <v>174.4562</v>
      </c>
      <c r="I682" s="306">
        <v>1</v>
      </c>
      <c r="J682" s="306">
        <v>174.4562</v>
      </c>
      <c r="K682" s="306">
        <v>174.4562</v>
      </c>
      <c r="L682" s="306">
        <v>1</v>
      </c>
      <c r="M682" s="306">
        <v>174.4562</v>
      </c>
      <c r="N682" s="6" t="s">
        <v>1454</v>
      </c>
      <c r="O682" s="305">
        <v>45548</v>
      </c>
      <c r="P682" s="33" t="str">
        <f>HYPERLINK("https://my.zakupivli.pro/remote/dispatcher/state_purchase_view/53297243", "UA-2024-09-13-003709-a")</f>
        <v>UA-2024-09-13-003709-a</v>
      </c>
      <c r="Q682" s="306">
        <v>174.4562</v>
      </c>
      <c r="R682" s="306">
        <v>1</v>
      </c>
      <c r="S682" s="306">
        <v>174.4562</v>
      </c>
      <c r="T682" s="305">
        <v>45548</v>
      </c>
      <c r="U682" s="306"/>
      <c r="V682" s="306" t="s">
        <v>59</v>
      </c>
    </row>
    <row r="683" spans="1:22" ht="62.4" x14ac:dyDescent="0.3">
      <c r="A683" s="306">
        <v>677</v>
      </c>
      <c r="B683" s="306" t="s">
        <v>40</v>
      </c>
      <c r="C683" s="44" t="s">
        <v>885</v>
      </c>
      <c r="D683" s="306"/>
      <c r="E683" s="306" t="s">
        <v>373</v>
      </c>
      <c r="F683" s="44" t="s">
        <v>1450</v>
      </c>
      <c r="G683" s="306" t="s">
        <v>184</v>
      </c>
      <c r="H683" s="306">
        <v>118.7747</v>
      </c>
      <c r="I683" s="306">
        <v>1</v>
      </c>
      <c r="J683" s="306">
        <v>118.7747</v>
      </c>
      <c r="K683" s="306">
        <v>118.7747</v>
      </c>
      <c r="L683" s="306">
        <v>1</v>
      </c>
      <c r="M683" s="306">
        <v>118.7747</v>
      </c>
      <c r="N683" s="6" t="s">
        <v>1455</v>
      </c>
      <c r="O683" s="305">
        <v>45548</v>
      </c>
      <c r="P683" s="33" t="str">
        <f>HYPERLINK("https://my.zakupivli.pro/remote/dispatcher/state_purchase_view/53311753", "UA-2024-09-13-010422-a")</f>
        <v>UA-2024-09-13-010422-a</v>
      </c>
      <c r="Q683" s="306">
        <v>118.7747</v>
      </c>
      <c r="R683" s="306">
        <v>1</v>
      </c>
      <c r="S683" s="306">
        <v>118.7747</v>
      </c>
      <c r="T683" s="305">
        <v>45548</v>
      </c>
      <c r="U683" s="306"/>
      <c r="V683" s="306" t="s">
        <v>59</v>
      </c>
    </row>
    <row r="684" spans="1:22" ht="62.4" x14ac:dyDescent="0.3">
      <c r="A684" s="306">
        <v>678</v>
      </c>
      <c r="B684" s="306" t="s">
        <v>21</v>
      </c>
      <c r="C684" s="44" t="s">
        <v>1452</v>
      </c>
      <c r="D684" s="315" t="s">
        <v>58</v>
      </c>
      <c r="E684" s="306" t="s">
        <v>88</v>
      </c>
      <c r="F684" s="44" t="s">
        <v>1451</v>
      </c>
      <c r="G684" s="306" t="s">
        <v>185</v>
      </c>
      <c r="H684" s="306"/>
      <c r="I684" s="306">
        <v>445</v>
      </c>
      <c r="J684" s="306">
        <v>665.88</v>
      </c>
      <c r="K684" s="306"/>
      <c r="L684" s="306">
        <v>445</v>
      </c>
      <c r="M684" s="306">
        <v>665.88</v>
      </c>
      <c r="N684" s="6" t="s">
        <v>1456</v>
      </c>
      <c r="O684" s="305">
        <v>45548</v>
      </c>
      <c r="P684" s="33" t="str">
        <f>HYPERLINK("https://my.zakupivli.pro/remote/dispatcher/state_purchase_view/53313149", "UA-2024-09-13-010785-a")</f>
        <v>UA-2024-09-13-010785-a</v>
      </c>
      <c r="Q684" s="306"/>
      <c r="R684" s="306">
        <v>445</v>
      </c>
      <c r="S684" s="306">
        <v>622.28399999999999</v>
      </c>
      <c r="T684" s="305">
        <v>45568</v>
      </c>
      <c r="U684" s="306"/>
      <c r="V684" s="306"/>
    </row>
    <row r="685" spans="1:22" ht="62.4" x14ac:dyDescent="0.3">
      <c r="A685" s="307">
        <v>679</v>
      </c>
      <c r="B685" s="307" t="s">
        <v>21</v>
      </c>
      <c r="C685" s="44" t="s">
        <v>1459</v>
      </c>
      <c r="D685" s="315" t="s">
        <v>58</v>
      </c>
      <c r="E685" s="307" t="s">
        <v>88</v>
      </c>
      <c r="F685" s="44" t="s">
        <v>1457</v>
      </c>
      <c r="G685" s="307" t="s">
        <v>186</v>
      </c>
      <c r="H685" s="307"/>
      <c r="I685" s="307">
        <v>8</v>
      </c>
      <c r="J685" s="307">
        <v>324.30833000000001</v>
      </c>
      <c r="K685" s="307"/>
      <c r="L685" s="307">
        <v>8</v>
      </c>
      <c r="M685" s="307">
        <v>324.30833000000001</v>
      </c>
      <c r="N685" s="6" t="s">
        <v>1460</v>
      </c>
      <c r="O685" s="308">
        <v>45555</v>
      </c>
      <c r="P685" s="122" t="str">
        <f>HYPERLINK("https://my.zakupivli.pro/remote/dispatcher/state_purchase_view/53457069", "UA-2024-09-20-001099-a")</f>
        <v>UA-2024-09-20-001099-a</v>
      </c>
      <c r="Q685" s="307"/>
      <c r="R685" s="307">
        <v>8</v>
      </c>
      <c r="S685" s="307">
        <v>312.8689</v>
      </c>
      <c r="T685" s="308">
        <v>45579</v>
      </c>
      <c r="U685" s="307"/>
      <c r="V685" s="307"/>
    </row>
    <row r="686" spans="1:22" ht="46.8" x14ac:dyDescent="0.3">
      <c r="A686" s="307">
        <v>680</v>
      </c>
      <c r="B686" s="307" t="s">
        <v>21</v>
      </c>
      <c r="C686" s="44" t="s">
        <v>1436</v>
      </c>
      <c r="D686" s="315" t="s">
        <v>58</v>
      </c>
      <c r="E686" s="307" t="s">
        <v>88</v>
      </c>
      <c r="F686" s="44" t="s">
        <v>1458</v>
      </c>
      <c r="G686" s="307" t="s">
        <v>185</v>
      </c>
      <c r="H686" s="307"/>
      <c r="I686" s="307">
        <v>33</v>
      </c>
      <c r="J686" s="307">
        <v>566.92449999999997</v>
      </c>
      <c r="K686" s="307"/>
      <c r="L686" s="307">
        <v>33</v>
      </c>
      <c r="M686" s="307">
        <v>566.92449999999997</v>
      </c>
      <c r="N686" s="6" t="s">
        <v>1461</v>
      </c>
      <c r="O686" s="308">
        <v>45554</v>
      </c>
      <c r="P686" s="122" t="str">
        <f>HYPERLINK("https://my.zakupivli.pro/remote/dispatcher/state_purchase_view/53451774", "UA-2024-09-19-013922-a")</f>
        <v>UA-2024-09-19-013922-a</v>
      </c>
      <c r="Q686" s="307"/>
      <c r="R686" s="307">
        <v>33</v>
      </c>
      <c r="S686" s="307">
        <v>547.15606000000002</v>
      </c>
      <c r="T686" s="308">
        <v>45568</v>
      </c>
      <c r="U686" s="307"/>
      <c r="V686" s="307"/>
    </row>
    <row r="687" spans="1:22" ht="62.4" x14ac:dyDescent="0.3">
      <c r="A687" s="307">
        <v>681</v>
      </c>
      <c r="B687" s="309" t="s">
        <v>40</v>
      </c>
      <c r="C687" s="44" t="s">
        <v>885</v>
      </c>
      <c r="D687" s="307"/>
      <c r="E687" s="309" t="s">
        <v>373</v>
      </c>
      <c r="F687" s="44" t="s">
        <v>1462</v>
      </c>
      <c r="G687" s="307" t="s">
        <v>184</v>
      </c>
      <c r="H687" s="307">
        <v>52.655290000000001</v>
      </c>
      <c r="I687" s="307">
        <v>1</v>
      </c>
      <c r="J687" s="309">
        <v>52.655290000000001</v>
      </c>
      <c r="K687" s="309">
        <v>52.655290000000001</v>
      </c>
      <c r="L687" s="309">
        <v>1</v>
      </c>
      <c r="M687" s="309">
        <v>52.655290000000001</v>
      </c>
      <c r="N687" s="6" t="s">
        <v>1468</v>
      </c>
      <c r="O687" s="308">
        <v>45558</v>
      </c>
      <c r="P687" s="33" t="str">
        <f>HYPERLINK("https://my.zakupivli.pro/remote/dispatcher/state_purchase_view/53509367", "UA-2024-09-23-009602-a")</f>
        <v>UA-2024-09-23-009602-a</v>
      </c>
      <c r="Q687" s="309">
        <v>52.655290000000001</v>
      </c>
      <c r="R687" s="309">
        <v>1</v>
      </c>
      <c r="S687" s="309">
        <v>52.655290000000001</v>
      </c>
      <c r="T687" s="310">
        <v>45558</v>
      </c>
      <c r="U687" s="307"/>
      <c r="V687" s="309" t="s">
        <v>59</v>
      </c>
    </row>
    <row r="688" spans="1:22" ht="78" x14ac:dyDescent="0.3">
      <c r="A688" s="307">
        <v>682</v>
      </c>
      <c r="B688" s="309" t="s">
        <v>40</v>
      </c>
      <c r="C688" s="44" t="s">
        <v>885</v>
      </c>
      <c r="D688" s="307"/>
      <c r="E688" s="309" t="s">
        <v>373</v>
      </c>
      <c r="F688" s="44" t="s">
        <v>1463</v>
      </c>
      <c r="G688" s="307" t="s">
        <v>184</v>
      </c>
      <c r="H688" s="307">
        <v>78.539169999999999</v>
      </c>
      <c r="I688" s="309">
        <v>1</v>
      </c>
      <c r="J688" s="309">
        <v>78.539169999999999</v>
      </c>
      <c r="K688" s="309">
        <v>78.539169999999999</v>
      </c>
      <c r="L688" s="309">
        <v>1</v>
      </c>
      <c r="M688" s="309">
        <v>78.539169999999999</v>
      </c>
      <c r="N688" s="6" t="s">
        <v>1469</v>
      </c>
      <c r="O688" s="310">
        <v>45558</v>
      </c>
      <c r="P688" s="33" t="str">
        <f>HYPERLINK("https://my.zakupivli.pro/remote/dispatcher/state_purchase_view/53498923", "UA-2024-09-23-004972-a")</f>
        <v>UA-2024-09-23-004972-a</v>
      </c>
      <c r="Q688" s="309">
        <v>78.539169999999999</v>
      </c>
      <c r="R688" s="309">
        <v>1</v>
      </c>
      <c r="S688" s="309">
        <v>78.539169999999999</v>
      </c>
      <c r="T688" s="310">
        <v>45558</v>
      </c>
      <c r="U688" s="307"/>
      <c r="V688" s="309" t="s">
        <v>59</v>
      </c>
    </row>
    <row r="689" spans="1:22" ht="62.4" x14ac:dyDescent="0.3">
      <c r="A689" s="307">
        <v>683</v>
      </c>
      <c r="B689" s="309" t="s">
        <v>40</v>
      </c>
      <c r="C689" s="44" t="s">
        <v>885</v>
      </c>
      <c r="D689" s="307"/>
      <c r="E689" s="309" t="s">
        <v>373</v>
      </c>
      <c r="F689" s="44" t="s">
        <v>1464</v>
      </c>
      <c r="G689" s="307" t="s">
        <v>184</v>
      </c>
      <c r="H689" s="307">
        <v>112.74850000000001</v>
      </c>
      <c r="I689" s="309">
        <v>1</v>
      </c>
      <c r="J689" s="309">
        <v>112.74850000000001</v>
      </c>
      <c r="K689" s="309">
        <v>112.74850000000001</v>
      </c>
      <c r="L689" s="309">
        <v>1</v>
      </c>
      <c r="M689" s="309">
        <v>112.74850000000001</v>
      </c>
      <c r="N689" s="6" t="s">
        <v>1470</v>
      </c>
      <c r="O689" s="310">
        <v>45558</v>
      </c>
      <c r="P689" s="33" t="str">
        <f>HYPERLINK("https://my.zakupivli.pro/remote/dispatcher/state_purchase_view/53497297", "UA-2024-09-23-004311-a")</f>
        <v>UA-2024-09-23-004311-a</v>
      </c>
      <c r="Q689" s="309">
        <v>112.74850000000001</v>
      </c>
      <c r="R689" s="309">
        <v>1</v>
      </c>
      <c r="S689" s="309">
        <v>112.74850000000001</v>
      </c>
      <c r="T689" s="310">
        <v>45558</v>
      </c>
      <c r="U689" s="307"/>
      <c r="V689" s="309" t="s">
        <v>59</v>
      </c>
    </row>
    <row r="690" spans="1:22" ht="62.4" x14ac:dyDescent="0.3">
      <c r="A690" s="307">
        <v>684</v>
      </c>
      <c r="B690" s="309" t="s">
        <v>40</v>
      </c>
      <c r="C690" s="44" t="s">
        <v>1467</v>
      </c>
      <c r="D690" s="307"/>
      <c r="E690" s="309" t="s">
        <v>75</v>
      </c>
      <c r="F690" s="44" t="s">
        <v>1465</v>
      </c>
      <c r="G690" s="307" t="s">
        <v>1150</v>
      </c>
      <c r="H690" s="119">
        <v>83.3</v>
      </c>
      <c r="I690" s="309">
        <v>1</v>
      </c>
      <c r="J690" s="119">
        <v>83.3</v>
      </c>
      <c r="K690" s="119">
        <v>83.3</v>
      </c>
      <c r="L690" s="309">
        <v>1</v>
      </c>
      <c r="M690" s="119">
        <v>83.3</v>
      </c>
      <c r="N690" s="6" t="s">
        <v>1471</v>
      </c>
      <c r="O690" s="310">
        <v>45558</v>
      </c>
      <c r="P690" s="33" t="str">
        <f>HYPERLINK("https://my.zakupivli.pro/remote/dispatcher/state_purchase_view/53492810", "UA-2024-09-23-002326-a")</f>
        <v>UA-2024-09-23-002326-a</v>
      </c>
      <c r="Q690" s="119">
        <v>83.3</v>
      </c>
      <c r="R690" s="309">
        <v>1</v>
      </c>
      <c r="S690" s="119">
        <v>83.3</v>
      </c>
      <c r="T690" s="308">
        <v>45554</v>
      </c>
      <c r="U690" s="307"/>
      <c r="V690" s="309" t="s">
        <v>59</v>
      </c>
    </row>
    <row r="691" spans="1:22" ht="62.4" x14ac:dyDescent="0.3">
      <c r="A691" s="307">
        <v>685</v>
      </c>
      <c r="B691" s="309" t="s">
        <v>40</v>
      </c>
      <c r="C691" s="44" t="s">
        <v>1467</v>
      </c>
      <c r="D691" s="307"/>
      <c r="E691" s="309" t="s">
        <v>75</v>
      </c>
      <c r="F691" s="44" t="s">
        <v>1466</v>
      </c>
      <c r="G691" s="307" t="s">
        <v>1150</v>
      </c>
      <c r="H691" s="307">
        <v>99.29</v>
      </c>
      <c r="I691" s="309">
        <v>1</v>
      </c>
      <c r="J691" s="309">
        <v>99.29</v>
      </c>
      <c r="K691" s="309">
        <v>99.29</v>
      </c>
      <c r="L691" s="309">
        <v>1</v>
      </c>
      <c r="M691" s="309">
        <v>99.29</v>
      </c>
      <c r="N691" s="6" t="s">
        <v>1472</v>
      </c>
      <c r="O691" s="310">
        <v>45558</v>
      </c>
      <c r="P691" s="33" t="str">
        <f>HYPERLINK("https://my.zakupivli.pro/remote/dispatcher/state_purchase_view/53490995", "UA-2024-09-23-001580-a")</f>
        <v>UA-2024-09-23-001580-a</v>
      </c>
      <c r="Q691" s="309">
        <v>99.29</v>
      </c>
      <c r="R691" s="309">
        <v>1</v>
      </c>
      <c r="S691" s="309">
        <v>99.29</v>
      </c>
      <c r="T691" s="308">
        <v>45552</v>
      </c>
      <c r="U691" s="307"/>
      <c r="V691" s="309" t="s">
        <v>59</v>
      </c>
    </row>
    <row r="692" spans="1:22" ht="62.4" x14ac:dyDescent="0.3">
      <c r="A692" s="307">
        <v>686</v>
      </c>
      <c r="B692" s="311" t="s">
        <v>40</v>
      </c>
      <c r="C692" s="44" t="s">
        <v>885</v>
      </c>
      <c r="D692" s="307"/>
      <c r="E692" s="311" t="s">
        <v>373</v>
      </c>
      <c r="F692" s="44" t="s">
        <v>1473</v>
      </c>
      <c r="G692" s="311" t="s">
        <v>184</v>
      </c>
      <c r="H692" s="307">
        <v>296.12436000000002</v>
      </c>
      <c r="I692" s="307">
        <v>1</v>
      </c>
      <c r="J692" s="311">
        <v>296.12436000000002</v>
      </c>
      <c r="K692" s="311">
        <v>296.12436000000002</v>
      </c>
      <c r="L692" s="311">
        <v>1</v>
      </c>
      <c r="M692" s="311">
        <v>296.12436000000002</v>
      </c>
      <c r="N692" s="6" t="s">
        <v>1480</v>
      </c>
      <c r="O692" s="308">
        <v>45560</v>
      </c>
      <c r="P692" s="33" t="str">
        <f>HYPERLINK("https://my.zakupivli.pro/remote/dispatcher/state_purchase_view/53583248", "UA-2024-09-25-012201-a")</f>
        <v>UA-2024-09-25-012201-a</v>
      </c>
      <c r="Q692" s="311">
        <v>296.12436000000002</v>
      </c>
      <c r="R692" s="311">
        <v>1</v>
      </c>
      <c r="S692" s="311">
        <v>296.12436000000002</v>
      </c>
      <c r="T692" s="308">
        <v>45559</v>
      </c>
      <c r="U692" s="307"/>
      <c r="V692" s="311" t="s">
        <v>59</v>
      </c>
    </row>
    <row r="693" spans="1:22" ht="62.4" x14ac:dyDescent="0.3">
      <c r="A693" s="307">
        <v>687</v>
      </c>
      <c r="B693" s="311" t="s">
        <v>21</v>
      </c>
      <c r="C693" s="44" t="s">
        <v>1218</v>
      </c>
      <c r="D693" s="307"/>
      <c r="E693" s="311" t="s">
        <v>75</v>
      </c>
      <c r="F693" s="44" t="s">
        <v>1474</v>
      </c>
      <c r="G693" s="307" t="s">
        <v>185</v>
      </c>
      <c r="H693" s="307"/>
      <c r="I693" s="307">
        <v>142</v>
      </c>
      <c r="J693" s="307">
        <v>2096.3649999999998</v>
      </c>
      <c r="K693" s="307"/>
      <c r="L693" s="311">
        <v>142</v>
      </c>
      <c r="M693" s="311">
        <v>2096.3649999999998</v>
      </c>
      <c r="N693" s="6" t="s">
        <v>1481</v>
      </c>
      <c r="O693" s="312">
        <v>45560</v>
      </c>
      <c r="P693" s="33" t="str">
        <f>HYPERLINK("https://my.zakupivli.pro/remote/dispatcher/state_purchase_view/53577857", "UA-2024-09-25-009794-a")</f>
        <v>UA-2024-09-25-009794-a</v>
      </c>
      <c r="R693" s="307">
        <v>142</v>
      </c>
      <c r="S693" s="307">
        <v>1684.4880000000001</v>
      </c>
      <c r="T693" s="308">
        <v>45586</v>
      </c>
      <c r="U693" s="307"/>
      <c r="V693" s="307"/>
    </row>
    <row r="694" spans="1:22" ht="62.4" x14ac:dyDescent="0.3">
      <c r="A694" s="307">
        <v>688</v>
      </c>
      <c r="B694" s="311" t="s">
        <v>40</v>
      </c>
      <c r="C694" s="44" t="s">
        <v>885</v>
      </c>
      <c r="D694" s="307"/>
      <c r="E694" s="311" t="s">
        <v>373</v>
      </c>
      <c r="F694" s="44" t="s">
        <v>1475</v>
      </c>
      <c r="G694" s="311" t="s">
        <v>184</v>
      </c>
      <c r="H694" s="307">
        <v>137.95366999999999</v>
      </c>
      <c r="I694" s="307">
        <v>1</v>
      </c>
      <c r="J694" s="311">
        <v>137.95366999999999</v>
      </c>
      <c r="K694" s="311">
        <v>137.95366999999999</v>
      </c>
      <c r="L694" s="311">
        <v>1</v>
      </c>
      <c r="M694" s="311">
        <v>137.95366999999999</v>
      </c>
      <c r="N694" s="6" t="s">
        <v>1482</v>
      </c>
      <c r="O694" s="312">
        <v>45560</v>
      </c>
      <c r="P694" s="33" t="str">
        <f>HYPERLINK("https://my.zakupivli.pro/remote/dispatcher/state_purchase_view/53556779", "UA-2024-09-25-000210-a")</f>
        <v>UA-2024-09-25-000210-a</v>
      </c>
      <c r="Q694" s="311">
        <v>137.95366999999999</v>
      </c>
      <c r="R694" s="311">
        <v>1</v>
      </c>
      <c r="S694" s="311">
        <v>137.95366999999999</v>
      </c>
      <c r="T694" s="312">
        <v>45559</v>
      </c>
      <c r="U694" s="307"/>
      <c r="V694" s="311" t="s">
        <v>59</v>
      </c>
    </row>
    <row r="695" spans="1:22" ht="62.4" x14ac:dyDescent="0.3">
      <c r="A695" s="307">
        <v>689</v>
      </c>
      <c r="B695" s="311" t="s">
        <v>40</v>
      </c>
      <c r="C695" s="44" t="s">
        <v>885</v>
      </c>
      <c r="D695" s="307"/>
      <c r="E695" s="311" t="s">
        <v>373</v>
      </c>
      <c r="F695" s="44" t="s">
        <v>1476</v>
      </c>
      <c r="G695" s="311" t="s">
        <v>184</v>
      </c>
      <c r="H695" s="307">
        <v>364.10131000000001</v>
      </c>
      <c r="I695" s="307">
        <v>1</v>
      </c>
      <c r="J695" s="311">
        <v>364.10131000000001</v>
      </c>
      <c r="K695" s="311">
        <v>364.10131000000001</v>
      </c>
      <c r="L695" s="311">
        <v>1</v>
      </c>
      <c r="M695" s="311">
        <v>364.10131000000001</v>
      </c>
      <c r="N695" s="6" t="s">
        <v>1483</v>
      </c>
      <c r="O695" s="312">
        <v>45560</v>
      </c>
      <c r="P695" s="33" t="str">
        <f>HYPERLINK("https://my.zakupivli.pro/remote/dispatcher/state_purchase_view/53556554", "UA-2024-09-25-000110-a")</f>
        <v>UA-2024-09-25-000110-a</v>
      </c>
      <c r="Q695" s="311">
        <v>364.10131000000001</v>
      </c>
      <c r="R695" s="311">
        <v>1</v>
      </c>
      <c r="S695" s="311">
        <v>364.10131000000001</v>
      </c>
      <c r="T695" s="312">
        <v>45559</v>
      </c>
      <c r="U695" s="307"/>
      <c r="V695" s="311" t="s">
        <v>59</v>
      </c>
    </row>
    <row r="696" spans="1:22" ht="62.4" x14ac:dyDescent="0.3">
      <c r="A696" s="307">
        <v>690</v>
      </c>
      <c r="B696" s="311" t="s">
        <v>21</v>
      </c>
      <c r="C696" s="44" t="s">
        <v>1479</v>
      </c>
      <c r="D696" s="307"/>
      <c r="E696" s="311" t="s">
        <v>88</v>
      </c>
      <c r="F696" s="44" t="s">
        <v>1477</v>
      </c>
      <c r="G696" s="307" t="s">
        <v>185</v>
      </c>
      <c r="H696" s="307"/>
      <c r="I696" s="307">
        <v>3</v>
      </c>
      <c r="J696" s="119">
        <v>75</v>
      </c>
      <c r="K696" s="307"/>
      <c r="L696" s="311">
        <v>3</v>
      </c>
      <c r="M696" s="119">
        <v>75</v>
      </c>
      <c r="N696" s="6" t="s">
        <v>1484</v>
      </c>
      <c r="O696" s="312">
        <v>45560</v>
      </c>
      <c r="P696" s="33" t="str">
        <f>HYPERLINK("https://my.zakupivli.pro/remote/dispatcher/state_purchase_view/53556470", "UA-2024-09-25-000091-a")</f>
        <v>UA-2024-09-25-000091-a</v>
      </c>
      <c r="Q696" s="307"/>
      <c r="R696" s="311">
        <v>3</v>
      </c>
      <c r="S696" s="119">
        <v>75</v>
      </c>
      <c r="T696" s="312">
        <v>45559</v>
      </c>
      <c r="U696" s="307"/>
      <c r="V696" s="311" t="s">
        <v>59</v>
      </c>
    </row>
    <row r="697" spans="1:22" ht="62.4" x14ac:dyDescent="0.3">
      <c r="A697" s="307">
        <v>691</v>
      </c>
      <c r="B697" s="311" t="s">
        <v>21</v>
      </c>
      <c r="C697" s="44" t="s">
        <v>406</v>
      </c>
      <c r="D697" s="307"/>
      <c r="E697" s="311" t="s">
        <v>88</v>
      </c>
      <c r="F697" s="44" t="s">
        <v>1478</v>
      </c>
      <c r="G697" s="307" t="s">
        <v>185</v>
      </c>
      <c r="H697" s="307"/>
      <c r="I697" s="307">
        <v>15</v>
      </c>
      <c r="J697" s="307">
        <v>56.25</v>
      </c>
      <c r="K697" s="307"/>
      <c r="L697" s="311">
        <v>15</v>
      </c>
      <c r="M697" s="311">
        <v>56.25</v>
      </c>
      <c r="N697" s="6" t="s">
        <v>1485</v>
      </c>
      <c r="O697" s="312">
        <v>45560</v>
      </c>
      <c r="P697" s="33" t="str">
        <f>HYPERLINK("https://my.zakupivli.pro/remote/dispatcher/state_purchase_view/53556454", "UA-2024-09-25-000083-a")</f>
        <v>UA-2024-09-25-000083-a</v>
      </c>
      <c r="Q697" s="307"/>
      <c r="R697" s="311">
        <v>15</v>
      </c>
      <c r="S697" s="311">
        <v>56.25</v>
      </c>
      <c r="T697" s="312">
        <v>45559</v>
      </c>
      <c r="U697" s="307"/>
      <c r="V697" s="311" t="s">
        <v>59</v>
      </c>
    </row>
    <row r="698" spans="1:22" ht="78" x14ac:dyDescent="0.3">
      <c r="A698" s="307">
        <v>692</v>
      </c>
      <c r="B698" s="313" t="s">
        <v>40</v>
      </c>
      <c r="C698" s="44" t="s">
        <v>885</v>
      </c>
      <c r="D698" s="307"/>
      <c r="E698" s="313" t="s">
        <v>373</v>
      </c>
      <c r="F698" s="44" t="s">
        <v>1486</v>
      </c>
      <c r="G698" s="313" t="s">
        <v>184</v>
      </c>
      <c r="H698" s="307">
        <v>192.17121</v>
      </c>
      <c r="I698" s="307">
        <v>1</v>
      </c>
      <c r="J698" s="313">
        <v>192.17121</v>
      </c>
      <c r="K698" s="313">
        <v>192.17121</v>
      </c>
      <c r="L698" s="313">
        <v>1</v>
      </c>
      <c r="M698" s="313">
        <v>192.17121</v>
      </c>
      <c r="N698" s="6" t="s">
        <v>1488</v>
      </c>
      <c r="O698" s="308">
        <v>45562</v>
      </c>
      <c r="P698" s="33" t="str">
        <f>HYPERLINK("https://my.zakupivli.pro/remote/dispatcher/state_purchase_view/53622436", "UA-2024-09-27-000167-a")</f>
        <v>UA-2024-09-27-000167-a</v>
      </c>
      <c r="Q698" s="313">
        <v>192.17121</v>
      </c>
      <c r="R698" s="313">
        <v>1</v>
      </c>
      <c r="S698" s="313">
        <v>192.17121</v>
      </c>
      <c r="T698" s="308">
        <v>45561</v>
      </c>
      <c r="U698" s="307"/>
      <c r="V698" s="313" t="s">
        <v>59</v>
      </c>
    </row>
    <row r="699" spans="1:22" ht="78" x14ac:dyDescent="0.3">
      <c r="A699" s="307">
        <v>693</v>
      </c>
      <c r="B699" s="313" t="s">
        <v>40</v>
      </c>
      <c r="C699" s="44" t="s">
        <v>885</v>
      </c>
      <c r="D699" s="307"/>
      <c r="E699" s="313" t="s">
        <v>373</v>
      </c>
      <c r="F699" s="44" t="s">
        <v>1487</v>
      </c>
      <c r="G699" s="313" t="s">
        <v>184</v>
      </c>
      <c r="H699" s="307">
        <v>97.990600000000001</v>
      </c>
      <c r="I699" s="307">
        <v>1</v>
      </c>
      <c r="J699" s="313">
        <v>97.990600000000001</v>
      </c>
      <c r="K699" s="313">
        <v>97.990600000000001</v>
      </c>
      <c r="L699" s="313">
        <v>1</v>
      </c>
      <c r="M699" s="313">
        <v>97.990600000000001</v>
      </c>
      <c r="N699" s="6" t="s">
        <v>1489</v>
      </c>
      <c r="O699" s="314">
        <v>45562</v>
      </c>
      <c r="P699" s="33" t="str">
        <f>HYPERLINK("https://my.zakupivli.pro/remote/dispatcher/state_purchase_view/53622364", "UA-2024-09-27-000136-a")</f>
        <v>UA-2024-09-27-000136-a</v>
      </c>
      <c r="Q699" s="313">
        <v>97.990600000000001</v>
      </c>
      <c r="R699" s="313">
        <v>1</v>
      </c>
      <c r="S699" s="313">
        <v>97.990600000000001</v>
      </c>
      <c r="T699" s="314">
        <v>45561</v>
      </c>
      <c r="U699" s="307"/>
      <c r="V699" s="313" t="s">
        <v>59</v>
      </c>
    </row>
    <row r="700" spans="1:22" ht="62.4" x14ac:dyDescent="0.3">
      <c r="A700" s="307">
        <v>694</v>
      </c>
      <c r="B700" s="307" t="s">
        <v>1151</v>
      </c>
      <c r="C700" s="307"/>
      <c r="D700" s="315" t="s">
        <v>58</v>
      </c>
      <c r="E700" s="315" t="s">
        <v>75</v>
      </c>
      <c r="F700" s="44" t="s">
        <v>1491</v>
      </c>
      <c r="G700" s="307" t="s">
        <v>1150</v>
      </c>
      <c r="H700" s="119">
        <v>875</v>
      </c>
      <c r="I700" s="307">
        <v>1</v>
      </c>
      <c r="J700" s="119">
        <v>875</v>
      </c>
      <c r="K700" s="119">
        <v>875</v>
      </c>
      <c r="L700" s="315">
        <v>1</v>
      </c>
      <c r="M700" s="119">
        <v>875</v>
      </c>
      <c r="N700" s="6" t="s">
        <v>1493</v>
      </c>
      <c r="O700" s="308">
        <v>45568</v>
      </c>
      <c r="P700" s="33" t="str">
        <f>HYPERLINK("https://my.zakupivli.pro/remote/dispatcher/state_purchase_view/53763368", "UA-2024-10-03-012179-a")</f>
        <v>UA-2024-10-03-012179-a</v>
      </c>
      <c r="Q700" s="119">
        <v>840</v>
      </c>
      <c r="R700" s="307">
        <v>1</v>
      </c>
      <c r="S700" s="119">
        <v>840</v>
      </c>
      <c r="T700" s="308">
        <v>45582</v>
      </c>
      <c r="U700" s="307"/>
      <c r="V700" s="307"/>
    </row>
    <row r="701" spans="1:22" ht="46.8" x14ac:dyDescent="0.3">
      <c r="A701" s="307">
        <v>695</v>
      </c>
      <c r="B701" s="307" t="s">
        <v>40</v>
      </c>
      <c r="C701" s="307"/>
      <c r="D701" s="315" t="s">
        <v>58</v>
      </c>
      <c r="E701" s="315" t="s">
        <v>373</v>
      </c>
      <c r="F701" s="44" t="s">
        <v>1492</v>
      </c>
      <c r="G701" s="307" t="s">
        <v>184</v>
      </c>
      <c r="H701" s="119">
        <v>443.67</v>
      </c>
      <c r="I701" s="307">
        <v>1</v>
      </c>
      <c r="J701" s="119">
        <v>443.67</v>
      </c>
      <c r="K701" s="119">
        <v>443.67</v>
      </c>
      <c r="L701" s="315">
        <v>1</v>
      </c>
      <c r="M701" s="119">
        <v>443.67</v>
      </c>
      <c r="N701" s="6" t="s">
        <v>1494</v>
      </c>
      <c r="O701" s="316">
        <v>45568</v>
      </c>
      <c r="P701" s="33" t="str">
        <f>HYPERLINK("https://my.zakupivli.pro/remote/dispatcher/state_purchase_view/53763004", "UA-2024-10-03-012005-a")</f>
        <v>UA-2024-10-03-012005-a</v>
      </c>
      <c r="Q701" s="307">
        <v>434.02</v>
      </c>
      <c r="R701" s="307">
        <v>1</v>
      </c>
      <c r="S701" s="329">
        <v>434.02</v>
      </c>
      <c r="T701" s="308">
        <v>45582</v>
      </c>
      <c r="U701" s="307"/>
      <c r="V701" s="307"/>
    </row>
    <row r="702" spans="1:22" ht="62.4" x14ac:dyDescent="0.3">
      <c r="A702" s="307">
        <v>696</v>
      </c>
      <c r="B702" s="317" t="s">
        <v>21</v>
      </c>
      <c r="C702" s="44" t="s">
        <v>1452</v>
      </c>
      <c r="D702" s="307"/>
      <c r="E702" s="317" t="s">
        <v>88</v>
      </c>
      <c r="F702" s="44" t="s">
        <v>1495</v>
      </c>
      <c r="G702" s="307" t="s">
        <v>186</v>
      </c>
      <c r="H702" s="307"/>
      <c r="I702" s="307">
        <v>6</v>
      </c>
      <c r="J702" s="307">
        <v>65.058850000000007</v>
      </c>
      <c r="K702" s="307"/>
      <c r="L702" s="317">
        <v>6</v>
      </c>
      <c r="M702" s="317">
        <v>65.058850000000007</v>
      </c>
      <c r="N702" s="6" t="s">
        <v>1496</v>
      </c>
      <c r="O702" s="308">
        <v>45574</v>
      </c>
      <c r="P702" s="122" t="str">
        <f>HYPERLINK("https://my.zakupivli.pro/remote/dispatcher/state_purchase_view/53861267", "UA-2024-10-09-000575-a")</f>
        <v>UA-2024-10-09-000575-a</v>
      </c>
      <c r="Q702" s="307"/>
      <c r="R702" s="317">
        <v>6</v>
      </c>
      <c r="S702" s="317">
        <v>65.058850000000007</v>
      </c>
      <c r="T702" s="308">
        <v>45574</v>
      </c>
      <c r="U702" s="307"/>
      <c r="V702" s="317" t="s">
        <v>59</v>
      </c>
    </row>
    <row r="703" spans="1:22" ht="78" x14ac:dyDescent="0.3">
      <c r="A703" s="307">
        <v>697</v>
      </c>
      <c r="B703" s="318" t="s">
        <v>1151</v>
      </c>
      <c r="C703" s="44" t="s">
        <v>1499</v>
      </c>
      <c r="D703" s="307"/>
      <c r="E703" s="318" t="s">
        <v>75</v>
      </c>
      <c r="F703" s="44" t="s">
        <v>1497</v>
      </c>
      <c r="G703" s="307" t="s">
        <v>1150</v>
      </c>
      <c r="H703" s="119">
        <v>1483</v>
      </c>
      <c r="I703" s="307">
        <v>1</v>
      </c>
      <c r="J703" s="119">
        <v>1483</v>
      </c>
      <c r="K703" s="119">
        <v>1483</v>
      </c>
      <c r="L703" s="318">
        <v>1</v>
      </c>
      <c r="M703" s="119">
        <v>1483</v>
      </c>
      <c r="N703" s="6" t="s">
        <v>1500</v>
      </c>
      <c r="O703" s="308">
        <v>45579</v>
      </c>
      <c r="P703" s="33" t="str">
        <f>HYPERLINK("https://my.zakupivli.pro/remote/dispatcher/state_purchase_view/53984270", "UA-2024-10-14-011744-a")</f>
        <v>UA-2024-10-14-011744-a</v>
      </c>
      <c r="Q703" s="119">
        <v>1483</v>
      </c>
      <c r="R703" s="318">
        <v>1</v>
      </c>
      <c r="S703" s="119">
        <v>1483</v>
      </c>
      <c r="T703" s="319">
        <v>45579</v>
      </c>
      <c r="U703" s="307"/>
      <c r="V703" s="318" t="s">
        <v>59</v>
      </c>
    </row>
    <row r="704" spans="1:22" ht="62.4" x14ac:dyDescent="0.3">
      <c r="A704" s="307">
        <v>698</v>
      </c>
      <c r="B704" s="318" t="s">
        <v>40</v>
      </c>
      <c r="C704" s="44" t="s">
        <v>73</v>
      </c>
      <c r="D704" s="307"/>
      <c r="E704" s="318" t="s">
        <v>75</v>
      </c>
      <c r="F704" s="44" t="s">
        <v>1498</v>
      </c>
      <c r="G704" s="307" t="s">
        <v>184</v>
      </c>
      <c r="H704" s="307">
        <v>74.103059999999999</v>
      </c>
      <c r="I704" s="307">
        <v>1</v>
      </c>
      <c r="J704" s="320">
        <v>74.103059999999999</v>
      </c>
      <c r="K704" s="320">
        <v>74.103059999999999</v>
      </c>
      <c r="L704" s="320">
        <v>1</v>
      </c>
      <c r="M704" s="320">
        <v>74.103059999999999</v>
      </c>
      <c r="N704" s="6" t="s">
        <v>1501</v>
      </c>
      <c r="O704" s="308">
        <v>45576</v>
      </c>
      <c r="P704" s="33" t="str">
        <f>HYPERLINK("https://my.zakupivli.pro/remote/dispatcher/state_purchase_view/53959780", "UA-2024-10-14-000539-a")</f>
        <v>UA-2024-10-14-000539-a</v>
      </c>
      <c r="Q704" s="320">
        <v>74.103059999999999</v>
      </c>
      <c r="R704" s="320">
        <v>1</v>
      </c>
      <c r="S704" s="320">
        <v>74.103059999999999</v>
      </c>
      <c r="T704" s="308">
        <v>45576</v>
      </c>
      <c r="U704" s="307"/>
      <c r="V704" s="318" t="s">
        <v>59</v>
      </c>
    </row>
    <row r="705" spans="1:22" ht="62.4" x14ac:dyDescent="0.3">
      <c r="A705" s="307">
        <v>699</v>
      </c>
      <c r="B705" s="321" t="s">
        <v>1151</v>
      </c>
      <c r="C705" s="44" t="s">
        <v>1401</v>
      </c>
      <c r="D705" s="307"/>
      <c r="E705" s="321" t="s">
        <v>75</v>
      </c>
      <c r="F705" s="44" t="s">
        <v>1502</v>
      </c>
      <c r="G705" s="307" t="s">
        <v>1150</v>
      </c>
      <c r="H705" s="119">
        <v>59</v>
      </c>
      <c r="I705" s="307">
        <v>1</v>
      </c>
      <c r="J705" s="119">
        <v>59</v>
      </c>
      <c r="K705" s="119">
        <v>59</v>
      </c>
      <c r="L705" s="321">
        <v>1</v>
      </c>
      <c r="M705" s="119">
        <v>59</v>
      </c>
      <c r="N705" s="6" t="s">
        <v>1503</v>
      </c>
      <c r="O705" s="308">
        <v>45581</v>
      </c>
      <c r="P705" s="122" t="str">
        <f>HYPERLINK("https://my.zakupivli.pro/remote/dispatcher/state_purchase_view/54054503", "UA-2024-10-16-012402-a")</f>
        <v>UA-2024-10-16-012402-a</v>
      </c>
      <c r="Q705" s="119">
        <v>59</v>
      </c>
      <c r="R705" s="321">
        <v>1</v>
      </c>
      <c r="S705" s="119">
        <v>59</v>
      </c>
      <c r="T705" s="322">
        <v>45581</v>
      </c>
      <c r="U705" s="307"/>
      <c r="V705" s="321" t="s">
        <v>59</v>
      </c>
    </row>
    <row r="706" spans="1:22" ht="62.4" x14ac:dyDescent="0.3">
      <c r="A706" s="307">
        <v>700</v>
      </c>
      <c r="B706" s="323" t="s">
        <v>40</v>
      </c>
      <c r="C706" s="44" t="s">
        <v>885</v>
      </c>
      <c r="D706" s="307"/>
      <c r="E706" s="323" t="s">
        <v>373</v>
      </c>
      <c r="F706" s="44" t="s">
        <v>1504</v>
      </c>
      <c r="G706" s="323" t="s">
        <v>184</v>
      </c>
      <c r="H706" s="307">
        <v>634.78561999999999</v>
      </c>
      <c r="I706" s="323">
        <v>1</v>
      </c>
      <c r="J706" s="323">
        <v>634.78561999999999</v>
      </c>
      <c r="K706" s="323">
        <v>634.78561999999999</v>
      </c>
      <c r="L706" s="323">
        <v>1</v>
      </c>
      <c r="M706" s="323">
        <v>634.78561999999999</v>
      </c>
      <c r="N706" s="6" t="s">
        <v>1508</v>
      </c>
      <c r="O706" s="308">
        <v>45582</v>
      </c>
      <c r="P706" s="33" t="str">
        <f>HYPERLINK("https://my.zakupivli.pro/remote/dispatcher/state_purchase_view/54095106", "UA-2024-10-17-014832-a")</f>
        <v>UA-2024-10-17-014832-a</v>
      </c>
      <c r="Q706" s="323">
        <v>634.78561999999999</v>
      </c>
      <c r="R706" s="323">
        <v>1</v>
      </c>
      <c r="S706" s="323">
        <v>634.78561999999999</v>
      </c>
      <c r="T706" s="324">
        <v>45582</v>
      </c>
      <c r="U706" s="307"/>
      <c r="V706" s="323" t="s">
        <v>59</v>
      </c>
    </row>
    <row r="707" spans="1:22" ht="93.6" x14ac:dyDescent="0.3">
      <c r="A707" s="307">
        <v>701</v>
      </c>
      <c r="B707" s="323" t="s">
        <v>40</v>
      </c>
      <c r="C707" s="44" t="s">
        <v>885</v>
      </c>
      <c r="D707" s="307"/>
      <c r="E707" s="323" t="s">
        <v>373</v>
      </c>
      <c r="F707" s="44" t="s">
        <v>1505</v>
      </c>
      <c r="G707" s="323" t="s">
        <v>184</v>
      </c>
      <c r="H707" s="307">
        <v>87.939769999999996</v>
      </c>
      <c r="I707" s="323">
        <v>1</v>
      </c>
      <c r="J707" s="323">
        <v>87.939769999999996</v>
      </c>
      <c r="K707" s="323">
        <v>87.939769999999996</v>
      </c>
      <c r="L707" s="323">
        <v>1</v>
      </c>
      <c r="M707" s="323">
        <v>87.939769999999996</v>
      </c>
      <c r="N707" s="6" t="s">
        <v>1509</v>
      </c>
      <c r="O707" s="324">
        <v>45582</v>
      </c>
      <c r="P707" s="33" t="str">
        <f>HYPERLINK("https://my.zakupivli.pro/remote/dispatcher/state_purchase_view/54094727", "UA-2024-10-17-014759-a")</f>
        <v>UA-2024-10-17-014759-a</v>
      </c>
      <c r="Q707" s="323">
        <v>87.939769999999996</v>
      </c>
      <c r="R707" s="323">
        <v>1</v>
      </c>
      <c r="S707" s="323">
        <v>87.939769999999996</v>
      </c>
      <c r="T707" s="324">
        <v>45582</v>
      </c>
      <c r="U707" s="307"/>
      <c r="V707" s="323" t="s">
        <v>59</v>
      </c>
    </row>
    <row r="708" spans="1:22" ht="62.4" x14ac:dyDescent="0.3">
      <c r="A708" s="307">
        <v>702</v>
      </c>
      <c r="B708" s="323" t="s">
        <v>40</v>
      </c>
      <c r="C708" s="44" t="s">
        <v>885</v>
      </c>
      <c r="D708" s="307"/>
      <c r="E708" s="323" t="s">
        <v>373</v>
      </c>
      <c r="F708" s="44" t="s">
        <v>1506</v>
      </c>
      <c r="G708" s="323" t="s">
        <v>184</v>
      </c>
      <c r="H708" s="307">
        <v>695.75840000000005</v>
      </c>
      <c r="I708" s="323">
        <v>1</v>
      </c>
      <c r="J708" s="323">
        <v>695.75840000000005</v>
      </c>
      <c r="K708" s="323">
        <v>695.75840000000005</v>
      </c>
      <c r="L708" s="323">
        <v>1</v>
      </c>
      <c r="M708" s="323">
        <v>695.75840000000005</v>
      </c>
      <c r="N708" s="6" t="s">
        <v>1510</v>
      </c>
      <c r="O708" s="324">
        <v>45582</v>
      </c>
      <c r="P708" s="33" t="str">
        <f>HYPERLINK("https://my.zakupivli.pro/remote/dispatcher/state_purchase_view/54094640", "UA-2024-10-17-014694-a")</f>
        <v>UA-2024-10-17-014694-a</v>
      </c>
      <c r="Q708" s="323">
        <v>695.75840000000005</v>
      </c>
      <c r="R708" s="323">
        <v>1</v>
      </c>
      <c r="S708" s="323">
        <v>695.75840000000005</v>
      </c>
      <c r="T708" s="324">
        <v>45582</v>
      </c>
      <c r="U708" s="307"/>
      <c r="V708" s="323" t="s">
        <v>59</v>
      </c>
    </row>
    <row r="709" spans="1:22" ht="78" x14ac:dyDescent="0.3">
      <c r="A709" s="307">
        <v>703</v>
      </c>
      <c r="B709" s="323" t="s">
        <v>40</v>
      </c>
      <c r="C709" s="44" t="s">
        <v>885</v>
      </c>
      <c r="D709" s="307"/>
      <c r="E709" s="323" t="s">
        <v>373</v>
      </c>
      <c r="F709" s="44" t="s">
        <v>1507</v>
      </c>
      <c r="G709" s="323" t="s">
        <v>184</v>
      </c>
      <c r="H709" s="307">
        <v>111.26732</v>
      </c>
      <c r="I709" s="323">
        <v>1</v>
      </c>
      <c r="J709" s="323">
        <v>111.26732</v>
      </c>
      <c r="K709" s="323">
        <v>111.26732</v>
      </c>
      <c r="L709" s="323">
        <v>1</v>
      </c>
      <c r="M709" s="323">
        <v>111.26732</v>
      </c>
      <c r="N709" s="6" t="s">
        <v>1511</v>
      </c>
      <c r="O709" s="324">
        <v>45582</v>
      </c>
      <c r="P709" s="33" t="str">
        <f>HYPERLINK("https://my.zakupivli.pro/remote/dispatcher/state_purchase_view/54094443", "UA-2024-10-17-014575-a")</f>
        <v>UA-2024-10-17-014575-a</v>
      </c>
      <c r="Q709" s="323">
        <v>111.26732</v>
      </c>
      <c r="R709" s="323">
        <v>1</v>
      </c>
      <c r="S709" s="323">
        <v>111.26732</v>
      </c>
      <c r="T709" s="324">
        <v>45582</v>
      </c>
      <c r="U709" s="307"/>
      <c r="V709" s="323" t="s">
        <v>59</v>
      </c>
    </row>
    <row r="710" spans="1:22" ht="62.4" x14ac:dyDescent="0.3">
      <c r="A710" s="307">
        <v>704</v>
      </c>
      <c r="B710" s="325" t="s">
        <v>40</v>
      </c>
      <c r="C710" s="44" t="s">
        <v>885</v>
      </c>
      <c r="D710" s="307"/>
      <c r="E710" s="325" t="s">
        <v>373</v>
      </c>
      <c r="F710" s="41" t="s">
        <v>1512</v>
      </c>
      <c r="G710" s="325" t="s">
        <v>184</v>
      </c>
      <c r="H710" s="307">
        <v>221.52010000000001</v>
      </c>
      <c r="I710" s="307">
        <v>1</v>
      </c>
      <c r="J710" s="325">
        <v>221.52010000000001</v>
      </c>
      <c r="K710" s="325">
        <v>221.52010000000001</v>
      </c>
      <c r="L710" s="325">
        <v>1</v>
      </c>
      <c r="M710" s="325">
        <v>221.52010000000001</v>
      </c>
      <c r="N710" s="6" t="s">
        <v>1513</v>
      </c>
      <c r="O710" s="326">
        <v>45586</v>
      </c>
      <c r="P710" s="33" t="str">
        <f>HYPERLINK("https://my.zakupivli.pro/remote/dispatcher/state_purchase_view/54164412", "UA-2024-10-21-012894-a")</f>
        <v>UA-2024-10-21-012894-a</v>
      </c>
      <c r="Q710" s="325">
        <v>221.52010000000001</v>
      </c>
      <c r="R710" s="325">
        <v>1</v>
      </c>
      <c r="S710" s="325">
        <v>221.52010000000001</v>
      </c>
      <c r="T710" s="326">
        <v>45582</v>
      </c>
      <c r="U710" s="307"/>
      <c r="V710" s="325" t="s">
        <v>59</v>
      </c>
    </row>
    <row r="711" spans="1:22" ht="78" x14ac:dyDescent="0.3">
      <c r="A711" s="307">
        <v>705</v>
      </c>
      <c r="B711" s="307" t="s">
        <v>21</v>
      </c>
      <c r="C711" s="44" t="s">
        <v>32</v>
      </c>
      <c r="D711" s="307"/>
      <c r="E711" s="328" t="s">
        <v>373</v>
      </c>
      <c r="F711" s="44" t="s">
        <v>1514</v>
      </c>
      <c r="G711" s="307" t="s">
        <v>186</v>
      </c>
      <c r="H711" s="307"/>
      <c r="I711" s="307">
        <v>4</v>
      </c>
      <c r="J711" s="307">
        <v>3959.16167</v>
      </c>
      <c r="K711" s="307"/>
      <c r="L711" s="328">
        <v>4</v>
      </c>
      <c r="M711" s="328">
        <v>3959.16167</v>
      </c>
      <c r="N711" s="6" t="s">
        <v>1517</v>
      </c>
      <c r="O711" s="308">
        <v>45590</v>
      </c>
      <c r="P711" s="33" t="str">
        <f>HYPERLINK("https://my.zakupivli.pro/remote/dispatcher/state_purchase_view/54304558", "UA-2024-10-25-008799-a")</f>
        <v>UA-2024-10-25-008799-a</v>
      </c>
      <c r="Q711" s="307"/>
      <c r="R711" s="307"/>
      <c r="S711" s="307"/>
      <c r="T711" s="308"/>
      <c r="U711" s="307" t="s">
        <v>93</v>
      </c>
      <c r="V711" s="307"/>
    </row>
    <row r="712" spans="1:22" ht="62.4" x14ac:dyDescent="0.3">
      <c r="A712" s="307">
        <v>706</v>
      </c>
      <c r="B712" s="328" t="s">
        <v>40</v>
      </c>
      <c r="C712" s="44" t="s">
        <v>1516</v>
      </c>
      <c r="D712" s="307"/>
      <c r="E712" s="328" t="s">
        <v>75</v>
      </c>
      <c r="F712" s="44" t="s">
        <v>1515</v>
      </c>
      <c r="G712" s="307" t="s">
        <v>184</v>
      </c>
      <c r="H712" s="307">
        <v>66.111429999999999</v>
      </c>
      <c r="I712" s="307">
        <v>1</v>
      </c>
      <c r="J712" s="328">
        <v>66.111429999999999</v>
      </c>
      <c r="K712" s="328">
        <v>66.111429999999999</v>
      </c>
      <c r="L712" s="328">
        <v>1</v>
      </c>
      <c r="M712" s="328">
        <v>66.111429999999999</v>
      </c>
      <c r="N712" s="6" t="s">
        <v>1518</v>
      </c>
      <c r="O712" s="327">
        <v>45590</v>
      </c>
      <c r="P712" s="33" t="str">
        <f>HYPERLINK("https://my.zakupivli.pro/remote/dispatcher/state_purchase_view/54293500", "UA-2024-10-25-003611-a")</f>
        <v>UA-2024-10-25-003611-a</v>
      </c>
      <c r="Q712" s="328">
        <v>66.111429999999999</v>
      </c>
      <c r="R712" s="328">
        <v>1</v>
      </c>
      <c r="S712" s="328">
        <v>66.111429999999999</v>
      </c>
      <c r="T712" s="327">
        <v>45590</v>
      </c>
      <c r="U712" s="307"/>
      <c r="V712" s="328" t="s">
        <v>59</v>
      </c>
    </row>
    <row r="713" spans="1:22" ht="62.4" x14ac:dyDescent="0.3">
      <c r="A713" s="307">
        <v>707</v>
      </c>
      <c r="B713" s="329" t="s">
        <v>40</v>
      </c>
      <c r="C713" s="334" t="s">
        <v>885</v>
      </c>
      <c r="D713" s="307"/>
      <c r="E713" s="329" t="s">
        <v>373</v>
      </c>
      <c r="F713" s="333" t="s">
        <v>1519</v>
      </c>
      <c r="G713" s="329" t="s">
        <v>184</v>
      </c>
      <c r="H713" s="307">
        <v>227.66444999999999</v>
      </c>
      <c r="I713" s="307">
        <v>1</v>
      </c>
      <c r="J713" s="329">
        <v>227.66444999999999</v>
      </c>
      <c r="K713" s="329">
        <v>227.66444999999999</v>
      </c>
      <c r="L713" s="329">
        <v>1</v>
      </c>
      <c r="M713" s="329">
        <v>227.66444999999999</v>
      </c>
      <c r="N713" s="6" t="s">
        <v>1523</v>
      </c>
      <c r="O713" s="308">
        <v>45594</v>
      </c>
      <c r="P713" s="33" t="str">
        <f>HYPERLINK("https://my.zakupivli.pro/remote/dispatcher/state_purchase_view/54376960", "UA-2024-10-29-008676-a")</f>
        <v>UA-2024-10-29-008676-a</v>
      </c>
      <c r="Q713" s="329">
        <v>227.66444999999999</v>
      </c>
      <c r="R713" s="329">
        <v>1</v>
      </c>
      <c r="S713" s="329">
        <v>227.66444999999999</v>
      </c>
      <c r="T713" s="330">
        <v>45594</v>
      </c>
      <c r="U713" s="307"/>
      <c r="V713" s="329" t="s">
        <v>59</v>
      </c>
    </row>
    <row r="714" spans="1:22" ht="62.4" x14ac:dyDescent="0.3">
      <c r="A714" s="307">
        <v>708</v>
      </c>
      <c r="B714" s="329" t="s">
        <v>40</v>
      </c>
      <c r="C714" s="334" t="s">
        <v>885</v>
      </c>
      <c r="D714" s="307"/>
      <c r="E714" s="329" t="s">
        <v>373</v>
      </c>
      <c r="F714" s="333" t="s">
        <v>1520</v>
      </c>
      <c r="G714" s="329" t="s">
        <v>184</v>
      </c>
      <c r="H714" s="307">
        <v>217.78270000000001</v>
      </c>
      <c r="I714" s="307">
        <v>1</v>
      </c>
      <c r="J714" s="329">
        <v>217.78270000000001</v>
      </c>
      <c r="K714" s="329">
        <v>217.78270000000001</v>
      </c>
      <c r="L714" s="329">
        <v>1</v>
      </c>
      <c r="M714" s="329">
        <v>217.78270000000001</v>
      </c>
      <c r="N714" s="6" t="s">
        <v>1524</v>
      </c>
      <c r="O714" s="330">
        <v>45594</v>
      </c>
      <c r="P714" s="33" t="str">
        <f>HYPERLINK("https://my.zakupivli.pro/remote/dispatcher/state_purchase_view/54376354", "UA-2024-10-29-008424-a")</f>
        <v>UA-2024-10-29-008424-a</v>
      </c>
      <c r="Q714" s="329">
        <v>217.78270000000001</v>
      </c>
      <c r="R714" s="329">
        <v>1</v>
      </c>
      <c r="S714" s="329">
        <v>217.78270000000001</v>
      </c>
      <c r="T714" s="330">
        <v>45594</v>
      </c>
      <c r="U714" s="307"/>
      <c r="V714" s="329" t="s">
        <v>59</v>
      </c>
    </row>
    <row r="715" spans="1:22" ht="62.4" x14ac:dyDescent="0.3">
      <c r="A715" s="307">
        <v>709</v>
      </c>
      <c r="B715" s="329" t="s">
        <v>40</v>
      </c>
      <c r="C715" s="334" t="s">
        <v>885</v>
      </c>
      <c r="D715" s="307"/>
      <c r="E715" s="329" t="s">
        <v>373</v>
      </c>
      <c r="F715" s="333" t="s">
        <v>1521</v>
      </c>
      <c r="G715" s="329" t="s">
        <v>184</v>
      </c>
      <c r="H715" s="307">
        <v>92.776589999999999</v>
      </c>
      <c r="I715" s="307">
        <v>1</v>
      </c>
      <c r="J715" s="329">
        <v>92.776589999999999</v>
      </c>
      <c r="K715" s="329">
        <v>92.776589999999999</v>
      </c>
      <c r="L715" s="329">
        <v>1</v>
      </c>
      <c r="M715" s="329">
        <v>92.776589999999999</v>
      </c>
      <c r="N715" s="6" t="s">
        <v>1525</v>
      </c>
      <c r="O715" s="330">
        <v>45594</v>
      </c>
      <c r="P715" s="33" t="str">
        <f>HYPERLINK("https://my.zakupivli.pro/remote/dispatcher/state_purchase_view/54375854", "UA-2024-10-29-008170-a")</f>
        <v>UA-2024-10-29-008170-a</v>
      </c>
      <c r="Q715" s="329">
        <v>92.776589999999999</v>
      </c>
      <c r="R715" s="329">
        <v>1</v>
      </c>
      <c r="S715" s="329">
        <v>92.776589999999999</v>
      </c>
      <c r="T715" s="330">
        <v>45594</v>
      </c>
      <c r="U715" s="307"/>
      <c r="V715" s="329" t="s">
        <v>59</v>
      </c>
    </row>
    <row r="716" spans="1:22" ht="62.4" x14ac:dyDescent="0.3">
      <c r="A716" s="307">
        <v>710</v>
      </c>
      <c r="B716" s="329" t="s">
        <v>21</v>
      </c>
      <c r="C716" s="334" t="s">
        <v>300</v>
      </c>
      <c r="D716" s="307"/>
      <c r="E716" s="329" t="s">
        <v>373</v>
      </c>
      <c r="F716" s="333" t="s">
        <v>1522</v>
      </c>
      <c r="G716" s="307" t="s">
        <v>1527</v>
      </c>
      <c r="H716" s="307">
        <v>8.0710000000000004E-2</v>
      </c>
      <c r="I716" s="307">
        <v>1000</v>
      </c>
      <c r="J716" s="307">
        <v>80.709999999999994</v>
      </c>
      <c r="K716" s="329">
        <v>8.0710000000000004E-2</v>
      </c>
      <c r="L716" s="329">
        <v>1000</v>
      </c>
      <c r="M716" s="329">
        <v>80.709999999999994</v>
      </c>
      <c r="N716" s="6" t="s">
        <v>1526</v>
      </c>
      <c r="O716" s="330">
        <v>45594</v>
      </c>
      <c r="P716" s="33" t="str">
        <f>HYPERLINK("https://my.zakupivli.pro/remote/dispatcher/state_purchase_view/54362853", "UA-2024-10-29-002264-a")</f>
        <v>UA-2024-10-29-002264-a</v>
      </c>
      <c r="Q716" s="329">
        <v>8.0710000000000004E-2</v>
      </c>
      <c r="R716" s="329">
        <v>1000</v>
      </c>
      <c r="S716" s="329">
        <v>80.709999999999994</v>
      </c>
      <c r="T716" s="330">
        <v>45594</v>
      </c>
      <c r="U716" s="307"/>
      <c r="V716" s="329" t="s">
        <v>59</v>
      </c>
    </row>
    <row r="717" spans="1:22" ht="93.6" x14ac:dyDescent="0.3">
      <c r="A717" s="307">
        <v>711</v>
      </c>
      <c r="B717" s="331" t="s">
        <v>40</v>
      </c>
      <c r="C717" s="44" t="s">
        <v>41</v>
      </c>
      <c r="D717" s="307"/>
      <c r="E717" s="331" t="s">
        <v>373</v>
      </c>
      <c r="F717" s="44" t="s">
        <v>1528</v>
      </c>
      <c r="G717" s="331" t="s">
        <v>184</v>
      </c>
      <c r="H717" s="307">
        <v>829.03994</v>
      </c>
      <c r="I717" s="307">
        <v>1</v>
      </c>
      <c r="J717" s="331">
        <v>829.03994</v>
      </c>
      <c r="K717" s="331">
        <v>829.03994</v>
      </c>
      <c r="L717" s="331">
        <v>1</v>
      </c>
      <c r="M717" s="331">
        <v>829.03994</v>
      </c>
      <c r="N717" s="6" t="s">
        <v>1532</v>
      </c>
      <c r="O717" s="308">
        <v>45595</v>
      </c>
      <c r="P717" s="33" t="str">
        <f>HYPERLINK("https://my.zakupivli.pro/remote/dispatcher/state_purchase_view/54409626", "UA-2024-10-30-007644-a")</f>
        <v>UA-2024-10-30-007644-a</v>
      </c>
      <c r="Q717" s="331">
        <v>829.03994</v>
      </c>
      <c r="R717" s="331">
        <v>1</v>
      </c>
      <c r="S717" s="331">
        <v>829.03994</v>
      </c>
      <c r="T717" s="332">
        <v>45595</v>
      </c>
      <c r="U717" s="307"/>
      <c r="V717" s="331" t="s">
        <v>59</v>
      </c>
    </row>
    <row r="718" spans="1:22" ht="93.6" x14ac:dyDescent="0.3">
      <c r="A718" s="307">
        <v>712</v>
      </c>
      <c r="B718" s="331" t="s">
        <v>40</v>
      </c>
      <c r="C718" s="44" t="s">
        <v>41</v>
      </c>
      <c r="D718" s="307"/>
      <c r="E718" s="331" t="s">
        <v>373</v>
      </c>
      <c r="F718" s="44" t="s">
        <v>1529</v>
      </c>
      <c r="G718" s="331" t="s">
        <v>184</v>
      </c>
      <c r="H718" s="307">
        <v>678.22518000000002</v>
      </c>
      <c r="I718" s="307">
        <v>1</v>
      </c>
      <c r="J718" s="331">
        <v>678.22518000000002</v>
      </c>
      <c r="K718" s="331">
        <v>678.22518000000002</v>
      </c>
      <c r="L718" s="331">
        <v>1</v>
      </c>
      <c r="M718" s="331">
        <v>678.22518000000002</v>
      </c>
      <c r="N718" s="6" t="s">
        <v>1533</v>
      </c>
      <c r="O718" s="332">
        <v>45595</v>
      </c>
      <c r="P718" s="33" t="str">
        <f>HYPERLINK("https://my.zakupivli.pro/remote/dispatcher/state_purchase_view/54409008", "UA-2024-10-30-007410-a")</f>
        <v>UA-2024-10-30-007410-a</v>
      </c>
      <c r="Q718" s="331">
        <v>678.22518000000002</v>
      </c>
      <c r="R718" s="331">
        <v>1</v>
      </c>
      <c r="S718" s="331">
        <v>678.22518000000002</v>
      </c>
      <c r="T718" s="332">
        <v>45595</v>
      </c>
      <c r="U718" s="307"/>
      <c r="V718" s="331" t="s">
        <v>59</v>
      </c>
    </row>
    <row r="719" spans="1:22" ht="62.4" x14ac:dyDescent="0.3">
      <c r="A719" s="307">
        <v>713</v>
      </c>
      <c r="B719" s="331" t="s">
        <v>40</v>
      </c>
      <c r="C719" s="44" t="s">
        <v>885</v>
      </c>
      <c r="D719" s="307"/>
      <c r="E719" s="331" t="s">
        <v>373</v>
      </c>
      <c r="F719" s="44" t="s">
        <v>1530</v>
      </c>
      <c r="G719" s="331" t="s">
        <v>184</v>
      </c>
      <c r="H719" s="307">
        <v>327.16228999999998</v>
      </c>
      <c r="I719" s="307">
        <v>1</v>
      </c>
      <c r="J719" s="331">
        <v>327.16228999999998</v>
      </c>
      <c r="K719" s="331">
        <v>327.16228999999998</v>
      </c>
      <c r="L719" s="331">
        <v>1</v>
      </c>
      <c r="M719" s="331">
        <v>327.16228999999998</v>
      </c>
      <c r="N719" s="6" t="s">
        <v>1534</v>
      </c>
      <c r="O719" s="332">
        <v>45595</v>
      </c>
      <c r="P719" s="33" t="str">
        <f>HYPERLINK("https://my.zakupivli.pro/remote/dispatcher/state_purchase_view/54407139", "UA-2024-10-30-006594-a")</f>
        <v>UA-2024-10-30-006594-a</v>
      </c>
      <c r="Q719" s="331">
        <v>327.16228999999998</v>
      </c>
      <c r="R719" s="331">
        <v>1</v>
      </c>
      <c r="S719" s="331">
        <v>327.16228999999998</v>
      </c>
      <c r="T719" s="332">
        <v>45595</v>
      </c>
      <c r="U719" s="307"/>
      <c r="V719" s="331" t="s">
        <v>59</v>
      </c>
    </row>
    <row r="720" spans="1:22" ht="62.4" x14ac:dyDescent="0.3">
      <c r="A720" s="307">
        <v>714</v>
      </c>
      <c r="B720" s="331" t="s">
        <v>40</v>
      </c>
      <c r="C720" s="44" t="s">
        <v>885</v>
      </c>
      <c r="D720" s="307"/>
      <c r="E720" s="331" t="s">
        <v>373</v>
      </c>
      <c r="F720" s="44" t="s">
        <v>1531</v>
      </c>
      <c r="G720" s="331" t="s">
        <v>184</v>
      </c>
      <c r="H720" s="307">
        <v>137.55618999999999</v>
      </c>
      <c r="I720" s="307">
        <v>1</v>
      </c>
      <c r="J720" s="331">
        <v>137.55618999999999</v>
      </c>
      <c r="K720" s="331">
        <v>137.55618999999999</v>
      </c>
      <c r="L720" s="331">
        <v>1</v>
      </c>
      <c r="M720" s="331">
        <v>137.55618999999999</v>
      </c>
      <c r="N720" s="6" t="s">
        <v>1535</v>
      </c>
      <c r="O720" s="332">
        <v>45595</v>
      </c>
      <c r="P720" s="33" t="str">
        <f>HYPERLINK("https://my.zakupivli.pro/remote/dispatcher/state_purchase_view/54403612", "UA-2024-10-30-005005-a")</f>
        <v>UA-2024-10-30-005005-a</v>
      </c>
      <c r="Q720" s="331">
        <v>137.55618999999999</v>
      </c>
      <c r="R720" s="331">
        <v>1</v>
      </c>
      <c r="S720" s="331">
        <v>137.55618999999999</v>
      </c>
      <c r="T720" s="332">
        <v>45595</v>
      </c>
      <c r="U720" s="307"/>
      <c r="V720" s="331" t="s">
        <v>59</v>
      </c>
    </row>
    <row r="721" spans="1:22" ht="62.4" x14ac:dyDescent="0.3">
      <c r="A721" s="307">
        <v>715</v>
      </c>
      <c r="B721" s="335" t="s">
        <v>21</v>
      </c>
      <c r="C721" s="44" t="s">
        <v>413</v>
      </c>
      <c r="D721" s="307"/>
      <c r="E721" s="335" t="s">
        <v>373</v>
      </c>
      <c r="F721" s="44" t="s">
        <v>1387</v>
      </c>
      <c r="G721" s="307" t="s">
        <v>185</v>
      </c>
      <c r="H721" s="307">
        <v>71.625</v>
      </c>
      <c r="I721" s="307">
        <v>1</v>
      </c>
      <c r="J721" s="335">
        <v>71.625</v>
      </c>
      <c r="K721" s="335">
        <v>71.625</v>
      </c>
      <c r="L721" s="335">
        <v>1</v>
      </c>
      <c r="M721" s="335">
        <v>71.625</v>
      </c>
      <c r="N721" s="6" t="s">
        <v>1542</v>
      </c>
      <c r="O721" s="308">
        <v>45566</v>
      </c>
      <c r="P721" s="33" t="str">
        <f>HYPERLINK("https://my.zakupivli.pro/remote/dispatcher/state_purchase_view/54476090", "UA-2024-11-01-010548-a")</f>
        <v>UA-2024-11-01-010548-a</v>
      </c>
      <c r="Q721" s="335">
        <v>71.625</v>
      </c>
      <c r="R721" s="335">
        <v>1</v>
      </c>
      <c r="S721" s="335">
        <v>71.625</v>
      </c>
      <c r="T721" s="336">
        <v>45566</v>
      </c>
      <c r="U721" s="307"/>
      <c r="V721" s="335" t="s">
        <v>59</v>
      </c>
    </row>
    <row r="722" spans="1:22" ht="78" x14ac:dyDescent="0.3">
      <c r="A722" s="307">
        <v>716</v>
      </c>
      <c r="B722" s="335" t="s">
        <v>40</v>
      </c>
      <c r="C722" s="44" t="s">
        <v>885</v>
      </c>
      <c r="D722" s="307"/>
      <c r="E722" s="335" t="s">
        <v>373</v>
      </c>
      <c r="F722" s="44" t="s">
        <v>1536</v>
      </c>
      <c r="G722" s="307" t="s">
        <v>184</v>
      </c>
      <c r="H722" s="307">
        <v>77.515150000000006</v>
      </c>
      <c r="I722" s="307">
        <v>1</v>
      </c>
      <c r="J722" s="335">
        <v>77.515150000000006</v>
      </c>
      <c r="K722" s="335">
        <v>77.515150000000006</v>
      </c>
      <c r="L722" s="335">
        <v>1</v>
      </c>
      <c r="M722" s="335">
        <v>77.515150000000006</v>
      </c>
      <c r="N722" s="6" t="s">
        <v>1543</v>
      </c>
      <c r="O722" s="336">
        <v>45566</v>
      </c>
      <c r="P722" s="33" t="str">
        <f>HYPERLINK("https://my.zakupivli.pro/remote/dispatcher/state_purchase_view/54470389", "UA-2024-11-01-007893-a")</f>
        <v>UA-2024-11-01-007893-a</v>
      </c>
      <c r="Q722" s="335">
        <v>77.515150000000006</v>
      </c>
      <c r="R722" s="335">
        <v>1</v>
      </c>
      <c r="S722" s="335">
        <v>77.515150000000006</v>
      </c>
      <c r="T722" s="336">
        <v>45566</v>
      </c>
      <c r="U722" s="307"/>
      <c r="V722" s="335" t="s">
        <v>59</v>
      </c>
    </row>
    <row r="723" spans="1:22" ht="62.4" x14ac:dyDescent="0.3">
      <c r="A723" s="307">
        <v>717</v>
      </c>
      <c r="B723" s="335" t="s">
        <v>21</v>
      </c>
      <c r="C723" s="44" t="s">
        <v>30</v>
      </c>
      <c r="D723" s="307"/>
      <c r="E723" s="335" t="s">
        <v>75</v>
      </c>
      <c r="F723" s="44" t="s">
        <v>1537</v>
      </c>
      <c r="G723" s="307" t="s">
        <v>185</v>
      </c>
      <c r="H723" s="307">
        <v>0.14299999999999999</v>
      </c>
      <c r="I723" s="307">
        <v>550</v>
      </c>
      <c r="J723" s="307">
        <v>78.650000000000006</v>
      </c>
      <c r="K723" s="335">
        <v>0.14299999999999999</v>
      </c>
      <c r="L723" s="335">
        <v>550</v>
      </c>
      <c r="M723" s="335">
        <v>78.650000000000006</v>
      </c>
      <c r="N723" s="6" t="s">
        <v>1544</v>
      </c>
      <c r="O723" s="336">
        <v>45566</v>
      </c>
      <c r="P723" s="33" t="str">
        <f>HYPERLINK("https://my.zakupivli.pro/remote/dispatcher/state_purchase_view/54459170", "UA-2024-11-01-003014-a")</f>
        <v>UA-2024-11-01-003014-a</v>
      </c>
      <c r="Q723" s="335">
        <v>0.14299999999999999</v>
      </c>
      <c r="R723" s="335">
        <v>550</v>
      </c>
      <c r="S723" s="335">
        <v>78.650000000000006</v>
      </c>
      <c r="T723" s="336">
        <v>45566</v>
      </c>
      <c r="U723" s="307"/>
      <c r="V723" s="335" t="s">
        <v>59</v>
      </c>
    </row>
    <row r="724" spans="1:22" ht="93.6" x14ac:dyDescent="0.3">
      <c r="A724" s="307">
        <v>718</v>
      </c>
      <c r="B724" s="335" t="s">
        <v>40</v>
      </c>
      <c r="C724" s="44" t="s">
        <v>885</v>
      </c>
      <c r="D724" s="307"/>
      <c r="E724" s="335" t="s">
        <v>373</v>
      </c>
      <c r="F724" s="44" t="s">
        <v>1538</v>
      </c>
      <c r="G724" s="307" t="s">
        <v>184</v>
      </c>
      <c r="H724" s="307">
        <v>108.8648</v>
      </c>
      <c r="I724" s="307">
        <v>1</v>
      </c>
      <c r="J724" s="335">
        <v>108.8648</v>
      </c>
      <c r="K724" s="335">
        <v>108.8648</v>
      </c>
      <c r="L724" s="335">
        <v>1</v>
      </c>
      <c r="M724" s="335">
        <v>108.8648</v>
      </c>
      <c r="N724" s="6" t="s">
        <v>1545</v>
      </c>
      <c r="O724" s="336">
        <v>45566</v>
      </c>
      <c r="P724" s="33" t="str">
        <f>HYPERLINK("https://my.zakupivli.pro/remote/dispatcher/state_purchase_view/54453684", "UA-2024-11-01-000488-a")</f>
        <v>UA-2024-11-01-000488-a</v>
      </c>
      <c r="Q724" s="335">
        <v>108.8648</v>
      </c>
      <c r="R724" s="335">
        <v>1</v>
      </c>
      <c r="S724" s="335">
        <v>108.8648</v>
      </c>
      <c r="T724" s="308">
        <v>45596</v>
      </c>
      <c r="U724" s="307"/>
      <c r="V724" s="335" t="s">
        <v>59</v>
      </c>
    </row>
    <row r="725" spans="1:22" ht="62.4" x14ac:dyDescent="0.3">
      <c r="A725" s="307">
        <v>719</v>
      </c>
      <c r="B725" s="335" t="s">
        <v>40</v>
      </c>
      <c r="C725" s="44" t="s">
        <v>885</v>
      </c>
      <c r="D725" s="307"/>
      <c r="E725" s="335" t="s">
        <v>373</v>
      </c>
      <c r="F725" s="44" t="s">
        <v>1539</v>
      </c>
      <c r="G725" s="307" t="s">
        <v>184</v>
      </c>
      <c r="H725" s="307">
        <v>165.26864</v>
      </c>
      <c r="I725" s="307">
        <v>1</v>
      </c>
      <c r="J725" s="335">
        <v>165.26864</v>
      </c>
      <c r="K725" s="335">
        <v>165.26864</v>
      </c>
      <c r="L725" s="335">
        <v>1</v>
      </c>
      <c r="M725" s="335">
        <v>165.26864</v>
      </c>
      <c r="N725" s="6" t="s">
        <v>1546</v>
      </c>
      <c r="O725" s="336">
        <v>45566</v>
      </c>
      <c r="P725" s="33" t="str">
        <f>HYPERLINK("https://my.zakupivli.pro/remote/dispatcher/state_purchase_view/54453325", "UA-2024-11-01-000327-a")</f>
        <v>UA-2024-11-01-000327-a</v>
      </c>
      <c r="Q725" s="335">
        <v>165.26864</v>
      </c>
      <c r="R725" s="335">
        <v>1</v>
      </c>
      <c r="S725" s="335">
        <v>165.26864</v>
      </c>
      <c r="T725" s="336">
        <v>45596</v>
      </c>
      <c r="U725" s="307"/>
      <c r="V725" s="335" t="s">
        <v>59</v>
      </c>
    </row>
    <row r="726" spans="1:22" ht="62.4" x14ac:dyDescent="0.3">
      <c r="A726" s="307">
        <v>720</v>
      </c>
      <c r="B726" s="335" t="s">
        <v>40</v>
      </c>
      <c r="C726" s="44" t="s">
        <v>885</v>
      </c>
      <c r="D726" s="307"/>
      <c r="E726" s="335" t="s">
        <v>373</v>
      </c>
      <c r="F726" s="44" t="s">
        <v>1540</v>
      </c>
      <c r="G726" s="307" t="s">
        <v>184</v>
      </c>
      <c r="H726" s="307">
        <v>77.242069999999998</v>
      </c>
      <c r="I726" s="307">
        <v>1</v>
      </c>
      <c r="J726" s="335">
        <v>77.242069999999998</v>
      </c>
      <c r="K726" s="335">
        <v>77.242069999999998</v>
      </c>
      <c r="L726" s="335">
        <v>1</v>
      </c>
      <c r="M726" s="335">
        <v>77.242069999999998</v>
      </c>
      <c r="N726" s="6" t="s">
        <v>1547</v>
      </c>
      <c r="O726" s="336">
        <v>45566</v>
      </c>
      <c r="P726" s="33" t="str">
        <f>HYPERLINK("https://my.zakupivli.pro/remote/dispatcher/state_purchase_view/54453220", "UA-2024-11-01-000272-a")</f>
        <v>UA-2024-11-01-000272-a</v>
      </c>
      <c r="Q726" s="335">
        <v>77.242069999999998</v>
      </c>
      <c r="R726" s="335">
        <v>1</v>
      </c>
      <c r="S726" s="335">
        <v>77.242069999999998</v>
      </c>
      <c r="T726" s="308">
        <v>45596</v>
      </c>
      <c r="U726" s="307"/>
      <c r="V726" s="335" t="s">
        <v>59</v>
      </c>
    </row>
    <row r="727" spans="1:22" ht="78" x14ac:dyDescent="0.3">
      <c r="A727" s="307">
        <v>721</v>
      </c>
      <c r="B727" s="335" t="s">
        <v>40</v>
      </c>
      <c r="C727" s="44" t="s">
        <v>885</v>
      </c>
      <c r="D727" s="307"/>
      <c r="E727" s="335" t="s">
        <v>373</v>
      </c>
      <c r="F727" s="44" t="s">
        <v>1541</v>
      </c>
      <c r="G727" s="307" t="s">
        <v>184</v>
      </c>
      <c r="H727" s="307">
        <v>76.717250000000007</v>
      </c>
      <c r="I727" s="307">
        <v>1</v>
      </c>
      <c r="J727" s="335">
        <v>76.717250000000007</v>
      </c>
      <c r="K727" s="335">
        <v>76.717250000000007</v>
      </c>
      <c r="L727" s="335">
        <v>1</v>
      </c>
      <c r="M727" s="335">
        <v>76.717250000000007</v>
      </c>
      <c r="N727" s="6" t="s">
        <v>1548</v>
      </c>
      <c r="O727" s="336">
        <v>45566</v>
      </c>
      <c r="P727" s="33" t="str">
        <f>HYPERLINK("https://my.zakupivli.pro/remote/dispatcher/state_purchase_view/54453100", "UA-2024-11-01-000223-a")</f>
        <v>UA-2024-11-01-000223-a</v>
      </c>
      <c r="Q727" s="335">
        <v>76.717250000000007</v>
      </c>
      <c r="R727" s="335">
        <v>1</v>
      </c>
      <c r="S727" s="335">
        <v>76.717250000000007</v>
      </c>
      <c r="T727" s="336">
        <v>45596</v>
      </c>
      <c r="U727" s="307"/>
      <c r="V727" s="335" t="s">
        <v>59</v>
      </c>
    </row>
    <row r="728" spans="1:22" ht="78" x14ac:dyDescent="0.3">
      <c r="A728" s="307">
        <v>722</v>
      </c>
      <c r="B728" s="337" t="s">
        <v>40</v>
      </c>
      <c r="C728" s="44" t="s">
        <v>885</v>
      </c>
      <c r="D728" s="307"/>
      <c r="E728" s="337" t="s">
        <v>373</v>
      </c>
      <c r="F728" s="44" t="s">
        <v>1549</v>
      </c>
      <c r="G728" s="337" t="s">
        <v>184</v>
      </c>
      <c r="H728" s="307">
        <v>588.98168999999996</v>
      </c>
      <c r="I728" s="307">
        <v>1</v>
      </c>
      <c r="J728" s="337">
        <v>588.98168999999996</v>
      </c>
      <c r="K728" s="337">
        <v>588.98168999999996</v>
      </c>
      <c r="L728" s="337">
        <v>1</v>
      </c>
      <c r="M728" s="337">
        <v>588.98168999999996</v>
      </c>
      <c r="N728" s="6" t="s">
        <v>1550</v>
      </c>
      <c r="O728" s="308">
        <v>45601</v>
      </c>
      <c r="P728" s="33" t="str">
        <f>HYPERLINK("https://my.zakupivli.pro/remote/dispatcher/state_purchase_view/54552115", "UA-2024-11-05-013976-a")</f>
        <v>UA-2024-11-05-013976-a</v>
      </c>
      <c r="Q728" s="337">
        <v>588.98168999999996</v>
      </c>
      <c r="R728" s="337">
        <v>1</v>
      </c>
      <c r="S728" s="337">
        <v>588.98168999999996</v>
      </c>
      <c r="T728" s="308">
        <v>45601</v>
      </c>
      <c r="U728" s="307"/>
      <c r="V728" s="337" t="s">
        <v>59</v>
      </c>
    </row>
    <row r="729" spans="1:22" ht="140.4" x14ac:dyDescent="0.3">
      <c r="A729" s="307">
        <v>723</v>
      </c>
      <c r="B729" s="307" t="s">
        <v>1151</v>
      </c>
      <c r="C729" s="44" t="s">
        <v>1401</v>
      </c>
      <c r="D729" s="307"/>
      <c r="E729" s="338" t="s">
        <v>75</v>
      </c>
      <c r="F729" s="44" t="s">
        <v>1551</v>
      </c>
      <c r="G729" s="307" t="s">
        <v>1150</v>
      </c>
      <c r="H729" s="119">
        <v>480</v>
      </c>
      <c r="I729" s="307">
        <v>1</v>
      </c>
      <c r="J729" s="119">
        <v>480</v>
      </c>
      <c r="K729" s="119">
        <v>480</v>
      </c>
      <c r="L729" s="338">
        <v>1</v>
      </c>
      <c r="M729" s="119">
        <v>480</v>
      </c>
      <c r="N729" s="6" t="s">
        <v>1555</v>
      </c>
      <c r="O729" s="308">
        <v>45602</v>
      </c>
      <c r="P729" s="33" t="str">
        <f>HYPERLINK("https://my.zakupivli.pro/remote/dispatcher/state_purchase_view/54591270", "UA-2024-11-06-015235-a")</f>
        <v>UA-2024-11-06-015235-a</v>
      </c>
      <c r="Q729" s="119">
        <v>480</v>
      </c>
      <c r="R729" s="307">
        <v>1</v>
      </c>
      <c r="S729" s="119">
        <v>480</v>
      </c>
      <c r="T729" s="308">
        <v>45618</v>
      </c>
      <c r="U729" s="307"/>
      <c r="V729" s="307"/>
    </row>
    <row r="730" spans="1:22" ht="62.4" x14ac:dyDescent="0.3">
      <c r="A730" s="307">
        <v>724</v>
      </c>
      <c r="B730" s="307" t="s">
        <v>21</v>
      </c>
      <c r="C730" s="44" t="s">
        <v>894</v>
      </c>
      <c r="D730" s="307"/>
      <c r="E730" s="338" t="s">
        <v>75</v>
      </c>
      <c r="F730" s="44" t="s">
        <v>1552</v>
      </c>
      <c r="G730" s="307" t="s">
        <v>186</v>
      </c>
      <c r="H730" s="307"/>
      <c r="I730" s="307">
        <v>7</v>
      </c>
      <c r="J730" s="307">
        <v>67.769000000000005</v>
      </c>
      <c r="K730" s="307"/>
      <c r="L730" s="338">
        <v>7</v>
      </c>
      <c r="M730" s="338">
        <v>67.769000000000005</v>
      </c>
      <c r="N730" s="6" t="s">
        <v>1556</v>
      </c>
      <c r="O730" s="339">
        <v>45602</v>
      </c>
      <c r="P730" s="33" t="str">
        <f>HYPERLINK("https://my.zakupivli.pro/remote/dispatcher/state_purchase_view/54590134", "UA-2024-11-06-014697-a")</f>
        <v>UA-2024-11-06-014697-a</v>
      </c>
      <c r="Q730" s="307"/>
      <c r="R730" s="338">
        <v>7</v>
      </c>
      <c r="S730" s="338">
        <v>67.769000000000005</v>
      </c>
      <c r="T730" s="339">
        <v>45602</v>
      </c>
      <c r="U730" s="307"/>
      <c r="V730" s="338" t="s">
        <v>59</v>
      </c>
    </row>
    <row r="731" spans="1:22" ht="93.6" x14ac:dyDescent="0.3">
      <c r="A731" s="307">
        <v>725</v>
      </c>
      <c r="B731" s="307" t="s">
        <v>1151</v>
      </c>
      <c r="C731" s="44" t="s">
        <v>1554</v>
      </c>
      <c r="D731" s="307"/>
      <c r="E731" s="338" t="s">
        <v>75</v>
      </c>
      <c r="F731" s="44" t="s">
        <v>1553</v>
      </c>
      <c r="G731" s="307" t="s">
        <v>1150</v>
      </c>
      <c r="H731" s="119">
        <v>1400</v>
      </c>
      <c r="I731" s="307">
        <v>1</v>
      </c>
      <c r="J731" s="119">
        <v>1400</v>
      </c>
      <c r="K731" s="119">
        <v>1400</v>
      </c>
      <c r="L731" s="338">
        <v>1</v>
      </c>
      <c r="M731" s="119">
        <v>1400</v>
      </c>
      <c r="N731" s="6" t="s">
        <v>1557</v>
      </c>
      <c r="O731" s="339">
        <v>45602</v>
      </c>
      <c r="P731" s="33" t="str">
        <f>HYPERLINK("https://my.zakupivli.pro/remote/dispatcher/state_purchase_view/54588242", "UA-2024-11-06-013838-a")</f>
        <v>UA-2024-11-06-013838-a</v>
      </c>
      <c r="Q731" s="307">
        <v>1233.3333399999999</v>
      </c>
      <c r="R731" s="307">
        <v>1</v>
      </c>
      <c r="S731" s="360">
        <v>1233.3333399999999</v>
      </c>
      <c r="T731" s="308">
        <v>45617</v>
      </c>
      <c r="U731" s="307"/>
      <c r="V731" s="307"/>
    </row>
    <row r="732" spans="1:22" ht="62.4" x14ac:dyDescent="0.3">
      <c r="A732" s="307">
        <v>726</v>
      </c>
      <c r="B732" s="341" t="s">
        <v>1151</v>
      </c>
      <c r="C732" s="44" t="s">
        <v>1401</v>
      </c>
      <c r="D732" s="307"/>
      <c r="E732" s="341" t="s">
        <v>75</v>
      </c>
      <c r="F732" s="225" t="s">
        <v>1430</v>
      </c>
      <c r="G732" s="307" t="s">
        <v>1150</v>
      </c>
      <c r="H732" s="119">
        <v>56</v>
      </c>
      <c r="I732" s="307">
        <v>1</v>
      </c>
      <c r="J732" s="119">
        <v>56</v>
      </c>
      <c r="K732" s="119">
        <v>56</v>
      </c>
      <c r="L732" s="341">
        <v>1</v>
      </c>
      <c r="M732" s="119">
        <v>56</v>
      </c>
      <c r="N732" s="6" t="s">
        <v>1558</v>
      </c>
      <c r="O732" s="308">
        <v>45603</v>
      </c>
      <c r="P732" s="33" t="str">
        <f>HYPERLINK("https://my.zakupivli.pro/remote/dispatcher/state_purchase_view/54604192", "UA-2024-11-07-003266-a")</f>
        <v>UA-2024-11-07-003266-a</v>
      </c>
      <c r="Q732" s="119">
        <v>56</v>
      </c>
      <c r="R732" s="341">
        <v>1</v>
      </c>
      <c r="S732" s="119">
        <v>56</v>
      </c>
      <c r="T732" s="340">
        <v>45603</v>
      </c>
      <c r="U732" s="307"/>
      <c r="V732" s="341" t="s">
        <v>59</v>
      </c>
    </row>
    <row r="733" spans="1:22" ht="62.4" x14ac:dyDescent="0.3">
      <c r="A733" s="342">
        <v>727</v>
      </c>
      <c r="B733" s="342" t="s">
        <v>21</v>
      </c>
      <c r="C733" s="44" t="s">
        <v>300</v>
      </c>
      <c r="D733" s="342"/>
      <c r="E733" s="342" t="s">
        <v>373</v>
      </c>
      <c r="F733" s="44" t="s">
        <v>1559</v>
      </c>
      <c r="G733" s="342" t="s">
        <v>1527</v>
      </c>
      <c r="H733" s="342">
        <v>8.0710000000000004E-2</v>
      </c>
      <c r="I733" s="342">
        <v>1000</v>
      </c>
      <c r="J733" s="119">
        <v>80.709999999999994</v>
      </c>
      <c r="K733" s="342">
        <v>8.0710000000000004E-2</v>
      </c>
      <c r="L733" s="342">
        <v>1000</v>
      </c>
      <c r="M733" s="119">
        <v>80.709999999999994</v>
      </c>
      <c r="N733" s="6" t="s">
        <v>1561</v>
      </c>
      <c r="O733" s="343">
        <v>45604</v>
      </c>
      <c r="P733" s="33" t="str">
        <f>HYPERLINK("https://my.zakupivli.pro/remote/dispatcher/state_purchase_view/54641995", "UA-2024-11-08-003305-a")</f>
        <v>UA-2024-11-08-003305-a</v>
      </c>
      <c r="Q733" s="342">
        <v>8.0710000000000004E-2</v>
      </c>
      <c r="R733" s="342">
        <v>1000</v>
      </c>
      <c r="S733" s="119">
        <v>80.709999999999994</v>
      </c>
      <c r="T733" s="343">
        <v>45604</v>
      </c>
      <c r="U733" s="342"/>
      <c r="V733" s="342" t="s">
        <v>59</v>
      </c>
    </row>
    <row r="734" spans="1:22" ht="62.4" x14ac:dyDescent="0.3">
      <c r="A734" s="342">
        <v>728</v>
      </c>
      <c r="B734" s="342" t="s">
        <v>21</v>
      </c>
      <c r="C734" s="44" t="s">
        <v>413</v>
      </c>
      <c r="D734" s="342"/>
      <c r="E734" s="342" t="s">
        <v>373</v>
      </c>
      <c r="F734" s="44" t="s">
        <v>1297</v>
      </c>
      <c r="G734" s="342" t="s">
        <v>185</v>
      </c>
      <c r="H734" s="342">
        <v>71.625</v>
      </c>
      <c r="I734" s="342">
        <v>1</v>
      </c>
      <c r="J734" s="342">
        <v>71.625</v>
      </c>
      <c r="K734" s="342">
        <v>71.625</v>
      </c>
      <c r="L734" s="342">
        <v>1</v>
      </c>
      <c r="M734" s="342">
        <v>71.625</v>
      </c>
      <c r="N734" s="6" t="s">
        <v>1562</v>
      </c>
      <c r="O734" s="343">
        <v>45604</v>
      </c>
      <c r="P734" s="33" t="str">
        <f>HYPERLINK("https://my.zakupivli.pro/remote/dispatcher/state_purchase_view/54640544", "UA-2024-11-08-002662-a")</f>
        <v>UA-2024-11-08-002662-a</v>
      </c>
      <c r="Q734" s="342">
        <v>71.625</v>
      </c>
      <c r="R734" s="342">
        <v>1</v>
      </c>
      <c r="S734" s="342">
        <v>71.625</v>
      </c>
      <c r="T734" s="343">
        <v>45604</v>
      </c>
      <c r="U734" s="342"/>
      <c r="V734" s="342" t="s">
        <v>59</v>
      </c>
    </row>
    <row r="735" spans="1:22" ht="78" x14ac:dyDescent="0.3">
      <c r="A735" s="342">
        <v>729</v>
      </c>
      <c r="B735" s="342" t="s">
        <v>21</v>
      </c>
      <c r="C735" s="44" t="s">
        <v>406</v>
      </c>
      <c r="D735" s="342"/>
      <c r="E735" s="342" t="s">
        <v>75</v>
      </c>
      <c r="F735" s="44" t="s">
        <v>1560</v>
      </c>
      <c r="G735" s="342" t="s">
        <v>186</v>
      </c>
      <c r="H735" s="342"/>
      <c r="I735" s="342">
        <v>2</v>
      </c>
      <c r="J735" s="342">
        <v>433.33332999999999</v>
      </c>
      <c r="K735" s="342"/>
      <c r="L735" s="342">
        <v>2</v>
      </c>
      <c r="M735" s="342">
        <v>433.33332999999999</v>
      </c>
      <c r="N735" s="6" t="s">
        <v>1563</v>
      </c>
      <c r="O735" s="343">
        <v>45604</v>
      </c>
      <c r="P735" s="33" t="str">
        <f>HYPERLINK("https://my.zakupivli.pro/remote/dispatcher/state_purchase_view/54634822", "UA-2024-11-08-000190-a")</f>
        <v>UA-2024-11-08-000190-a</v>
      </c>
      <c r="Q735" s="342"/>
      <c r="R735" s="342">
        <v>2</v>
      </c>
      <c r="S735" s="342">
        <v>423.54</v>
      </c>
      <c r="T735" s="343">
        <v>45621</v>
      </c>
      <c r="U735" s="342"/>
      <c r="V735" s="342"/>
    </row>
    <row r="736" spans="1:22" ht="62.4" x14ac:dyDescent="0.3">
      <c r="A736" s="344">
        <v>730</v>
      </c>
      <c r="B736" s="344" t="s">
        <v>40</v>
      </c>
      <c r="C736" s="44" t="s">
        <v>885</v>
      </c>
      <c r="D736" s="344"/>
      <c r="E736" s="344" t="s">
        <v>373</v>
      </c>
      <c r="F736" s="64" t="s">
        <v>1564</v>
      </c>
      <c r="G736" s="344" t="s">
        <v>184</v>
      </c>
      <c r="H736" s="344">
        <v>1208.4389200000001</v>
      </c>
      <c r="I736" s="344">
        <v>1</v>
      </c>
      <c r="J736" s="344">
        <v>1208.4389200000001</v>
      </c>
      <c r="K736" s="344">
        <v>1208.4389200000001</v>
      </c>
      <c r="L736" s="344">
        <v>1</v>
      </c>
      <c r="M736" s="344">
        <v>1208.4389200000001</v>
      </c>
      <c r="N736" s="6" t="s">
        <v>1566</v>
      </c>
      <c r="O736" s="345">
        <v>45608</v>
      </c>
      <c r="P736" s="33" t="str">
        <f>HYPERLINK("https://my.zakupivli.pro/remote/dispatcher/state_purchase_view/54732542", "UA-2024-11-12-010433-a")</f>
        <v>UA-2024-11-12-010433-a</v>
      </c>
      <c r="Q736" s="344">
        <v>1208.4389200000001</v>
      </c>
      <c r="R736" s="344">
        <v>1</v>
      </c>
      <c r="S736" s="344">
        <v>1208.4389200000001</v>
      </c>
      <c r="T736" s="345">
        <v>45608</v>
      </c>
      <c r="U736" s="344"/>
      <c r="V736" s="344" t="s">
        <v>59</v>
      </c>
    </row>
    <row r="737" spans="1:22" ht="62.4" x14ac:dyDescent="0.3">
      <c r="A737" s="344">
        <v>731</v>
      </c>
      <c r="B737" s="344" t="s">
        <v>40</v>
      </c>
      <c r="C737" s="44" t="s">
        <v>885</v>
      </c>
      <c r="D737" s="344"/>
      <c r="E737" s="344" t="s">
        <v>373</v>
      </c>
      <c r="F737" s="64" t="s">
        <v>1565</v>
      </c>
      <c r="G737" s="344" t="s">
        <v>184</v>
      </c>
      <c r="H737" s="344">
        <v>473.19024999999999</v>
      </c>
      <c r="I737" s="344">
        <v>1</v>
      </c>
      <c r="J737" s="344">
        <v>473.19024999999999</v>
      </c>
      <c r="K737" s="344">
        <v>473.19024999999999</v>
      </c>
      <c r="L737" s="344">
        <v>1</v>
      </c>
      <c r="M737" s="344">
        <v>473.19024999999999</v>
      </c>
      <c r="N737" s="6" t="s">
        <v>1567</v>
      </c>
      <c r="O737" s="345">
        <v>45608</v>
      </c>
      <c r="P737" s="33" t="str">
        <f>HYPERLINK("https://my.zakupivli.pro/remote/dispatcher/state_purchase_view/54732316", "UA-2024-11-12-010311-a")</f>
        <v>UA-2024-11-12-010311-a</v>
      </c>
      <c r="Q737" s="344">
        <v>473.19024999999999</v>
      </c>
      <c r="R737" s="344">
        <v>1</v>
      </c>
      <c r="S737" s="344">
        <v>473.19024999999999</v>
      </c>
      <c r="T737" s="345">
        <v>45608</v>
      </c>
      <c r="U737" s="344"/>
      <c r="V737" s="344" t="s">
        <v>59</v>
      </c>
    </row>
    <row r="738" spans="1:22" ht="62.4" x14ac:dyDescent="0.3">
      <c r="A738" s="344">
        <v>732</v>
      </c>
      <c r="B738" s="346" t="s">
        <v>40</v>
      </c>
      <c r="C738" s="44" t="s">
        <v>885</v>
      </c>
      <c r="D738" s="344"/>
      <c r="E738" s="346" t="s">
        <v>373</v>
      </c>
      <c r="F738" s="44" t="s">
        <v>1568</v>
      </c>
      <c r="G738" s="346" t="s">
        <v>184</v>
      </c>
      <c r="H738" s="344">
        <v>123.59764</v>
      </c>
      <c r="I738" s="344">
        <v>1</v>
      </c>
      <c r="J738" s="346">
        <v>123.59764</v>
      </c>
      <c r="K738" s="346">
        <v>123.59764</v>
      </c>
      <c r="L738" s="346">
        <v>1</v>
      </c>
      <c r="M738" s="346">
        <v>123.59764</v>
      </c>
      <c r="N738" s="6" t="s">
        <v>1581</v>
      </c>
      <c r="O738" s="345">
        <v>45610</v>
      </c>
      <c r="P738" s="33" t="str">
        <f>HYPERLINK("https://my.zakupivli.pro/remote/dispatcher/state_purchase_view/54822874", "UA-2024-11-14-015224-a")</f>
        <v>UA-2024-11-14-015224-a</v>
      </c>
      <c r="Q738" s="346">
        <v>123.59764</v>
      </c>
      <c r="R738" s="346">
        <v>1</v>
      </c>
      <c r="S738" s="346">
        <v>123.59764</v>
      </c>
      <c r="T738" s="347">
        <v>45610</v>
      </c>
      <c r="U738" s="344"/>
      <c r="V738" s="346" t="s">
        <v>59</v>
      </c>
    </row>
    <row r="739" spans="1:22" ht="62.4" x14ac:dyDescent="0.3">
      <c r="A739" s="344">
        <v>733</v>
      </c>
      <c r="B739" s="346" t="s">
        <v>40</v>
      </c>
      <c r="C739" s="44" t="s">
        <v>885</v>
      </c>
      <c r="D739" s="344"/>
      <c r="E739" s="346" t="s">
        <v>373</v>
      </c>
      <c r="F739" s="44" t="s">
        <v>1569</v>
      </c>
      <c r="G739" s="346" t="s">
        <v>184</v>
      </c>
      <c r="H739" s="344">
        <v>295.39073999999999</v>
      </c>
      <c r="I739" s="344">
        <v>1</v>
      </c>
      <c r="J739" s="346">
        <v>295.39073999999999</v>
      </c>
      <c r="K739" s="346">
        <v>295.39073999999999</v>
      </c>
      <c r="L739" s="346">
        <v>1</v>
      </c>
      <c r="M739" s="346">
        <v>295.39073999999999</v>
      </c>
      <c r="N739" s="6" t="s">
        <v>1582</v>
      </c>
      <c r="O739" s="347">
        <v>45610</v>
      </c>
      <c r="P739" s="33" t="str">
        <f>HYPERLINK("https://my.zakupivli.pro/remote/dispatcher/state_purchase_view/54822010", "UA-2024-11-14-014888-a")</f>
        <v>UA-2024-11-14-014888-a</v>
      </c>
      <c r="Q739" s="346">
        <v>295.39073999999999</v>
      </c>
      <c r="R739" s="346">
        <v>1</v>
      </c>
      <c r="S739" s="346">
        <v>295.39073999999999</v>
      </c>
      <c r="T739" s="347">
        <v>45610</v>
      </c>
      <c r="U739" s="344"/>
      <c r="V739" s="346" t="s">
        <v>59</v>
      </c>
    </row>
    <row r="740" spans="1:22" ht="62.4" x14ac:dyDescent="0.3">
      <c r="A740" s="344">
        <v>734</v>
      </c>
      <c r="B740" s="346" t="s">
        <v>40</v>
      </c>
      <c r="C740" s="44" t="s">
        <v>885</v>
      </c>
      <c r="D740" s="344"/>
      <c r="E740" s="346" t="s">
        <v>373</v>
      </c>
      <c r="F740" s="44" t="s">
        <v>1570</v>
      </c>
      <c r="G740" s="346" t="s">
        <v>184</v>
      </c>
      <c r="H740" s="344">
        <v>288.64389999999997</v>
      </c>
      <c r="I740" s="344">
        <v>1</v>
      </c>
      <c r="J740" s="346">
        <v>288.64389999999997</v>
      </c>
      <c r="K740" s="346">
        <v>288.64389999999997</v>
      </c>
      <c r="L740" s="346">
        <v>1</v>
      </c>
      <c r="M740" s="346">
        <v>288.64389999999997</v>
      </c>
      <c r="N740" s="6" t="s">
        <v>1583</v>
      </c>
      <c r="O740" s="347">
        <v>45610</v>
      </c>
      <c r="P740" s="33" t="str">
        <f>HYPERLINK("https://my.zakupivli.pro/remote/dispatcher/state_purchase_view/54821149", "UA-2024-11-14-014524-a")</f>
        <v>UA-2024-11-14-014524-a</v>
      </c>
      <c r="Q740" s="346">
        <v>288.64389999999997</v>
      </c>
      <c r="R740" s="346">
        <v>1</v>
      </c>
      <c r="S740" s="346">
        <v>288.64389999999997</v>
      </c>
      <c r="T740" s="347">
        <v>45610</v>
      </c>
      <c r="U740" s="344"/>
      <c r="V740" s="346" t="s">
        <v>59</v>
      </c>
    </row>
    <row r="741" spans="1:22" ht="78" x14ac:dyDescent="0.3">
      <c r="A741" s="344">
        <v>735</v>
      </c>
      <c r="B741" s="346" t="s">
        <v>40</v>
      </c>
      <c r="C741" s="44" t="s">
        <v>885</v>
      </c>
      <c r="D741" s="344"/>
      <c r="E741" s="346" t="s">
        <v>373</v>
      </c>
      <c r="F741" s="44" t="s">
        <v>1571</v>
      </c>
      <c r="G741" s="346" t="s">
        <v>184</v>
      </c>
      <c r="H741" s="344">
        <v>278.11198999999999</v>
      </c>
      <c r="I741" s="344">
        <v>1</v>
      </c>
      <c r="J741" s="346">
        <v>278.11198999999999</v>
      </c>
      <c r="K741" s="346">
        <v>278.11198999999999</v>
      </c>
      <c r="L741" s="346">
        <v>1</v>
      </c>
      <c r="M741" s="346">
        <v>278.11198999999999</v>
      </c>
      <c r="N741" s="6" t="s">
        <v>1584</v>
      </c>
      <c r="O741" s="347">
        <v>45610</v>
      </c>
      <c r="P741" s="33" t="str">
        <f>HYPERLINK("https://my.zakupivli.pro/remote/dispatcher/state_purchase_view/54820976", "UA-2024-11-14-014426-a")</f>
        <v>UA-2024-11-14-014426-a</v>
      </c>
      <c r="Q741" s="346">
        <v>278.11198999999999</v>
      </c>
      <c r="R741" s="346">
        <v>1</v>
      </c>
      <c r="S741" s="346">
        <v>278.11198999999999</v>
      </c>
      <c r="T741" s="347">
        <v>45610</v>
      </c>
      <c r="U741" s="344"/>
      <c r="V741" s="346" t="s">
        <v>59</v>
      </c>
    </row>
    <row r="742" spans="1:22" ht="78" x14ac:dyDescent="0.3">
      <c r="A742" s="344">
        <v>736</v>
      </c>
      <c r="B742" s="346" t="s">
        <v>40</v>
      </c>
      <c r="C742" s="44" t="s">
        <v>885</v>
      </c>
      <c r="D742" s="344"/>
      <c r="E742" s="346" t="s">
        <v>373</v>
      </c>
      <c r="F742" s="44" t="s">
        <v>1572</v>
      </c>
      <c r="G742" s="346" t="s">
        <v>184</v>
      </c>
      <c r="H742" s="344">
        <v>160.96020999999999</v>
      </c>
      <c r="I742" s="344">
        <v>1</v>
      </c>
      <c r="J742" s="346">
        <v>160.96020999999999</v>
      </c>
      <c r="K742" s="346">
        <v>160.96020999999999</v>
      </c>
      <c r="L742" s="346">
        <v>1</v>
      </c>
      <c r="M742" s="346">
        <v>160.96020999999999</v>
      </c>
      <c r="N742" s="6" t="s">
        <v>1585</v>
      </c>
      <c r="O742" s="347">
        <v>45610</v>
      </c>
      <c r="P742" s="33" t="str">
        <f>HYPERLINK("https://my.zakupivli.pro/remote/dispatcher/state_purchase_view/54820835", "UA-2024-11-14-014342-a")</f>
        <v>UA-2024-11-14-014342-a</v>
      </c>
      <c r="Q742" s="346">
        <v>160.96020999999999</v>
      </c>
      <c r="R742" s="346">
        <v>1</v>
      </c>
      <c r="S742" s="346">
        <v>160.96020999999999</v>
      </c>
      <c r="T742" s="347">
        <v>45610</v>
      </c>
      <c r="U742" s="344"/>
      <c r="V742" s="346" t="s">
        <v>59</v>
      </c>
    </row>
    <row r="743" spans="1:22" ht="62.4" x14ac:dyDescent="0.3">
      <c r="A743" s="344">
        <v>737</v>
      </c>
      <c r="B743" s="346" t="s">
        <v>40</v>
      </c>
      <c r="C743" s="44" t="s">
        <v>885</v>
      </c>
      <c r="D743" s="344"/>
      <c r="E743" s="346" t="s">
        <v>373</v>
      </c>
      <c r="F743" s="44" t="s">
        <v>1573</v>
      </c>
      <c r="G743" s="346" t="s">
        <v>184</v>
      </c>
      <c r="H743" s="344">
        <v>270.2063</v>
      </c>
      <c r="I743" s="344">
        <v>1</v>
      </c>
      <c r="J743" s="346">
        <v>270.2063</v>
      </c>
      <c r="K743" s="346">
        <v>270.2063</v>
      </c>
      <c r="L743" s="346">
        <v>1</v>
      </c>
      <c r="M743" s="346">
        <v>270.2063</v>
      </c>
      <c r="N743" s="6" t="s">
        <v>1586</v>
      </c>
      <c r="O743" s="347">
        <v>45610</v>
      </c>
      <c r="P743" s="33" t="str">
        <f>HYPERLINK("https://my.zakupivli.pro/remote/dispatcher/state_purchase_view/54820777", "UA-2024-11-14-014309-a")</f>
        <v>UA-2024-11-14-014309-a</v>
      </c>
      <c r="Q743" s="346">
        <v>270.2063</v>
      </c>
      <c r="R743" s="346">
        <v>1</v>
      </c>
      <c r="S743" s="346">
        <v>270.2063</v>
      </c>
      <c r="T743" s="347">
        <v>45610</v>
      </c>
      <c r="U743" s="344"/>
      <c r="V743" s="346" t="s">
        <v>59</v>
      </c>
    </row>
    <row r="744" spans="1:22" ht="78" x14ac:dyDescent="0.3">
      <c r="A744" s="344">
        <v>738</v>
      </c>
      <c r="B744" s="346" t="s">
        <v>40</v>
      </c>
      <c r="C744" s="44" t="s">
        <v>885</v>
      </c>
      <c r="D744" s="344"/>
      <c r="E744" s="346" t="s">
        <v>373</v>
      </c>
      <c r="F744" s="44" t="s">
        <v>1574</v>
      </c>
      <c r="G744" s="346" t="s">
        <v>184</v>
      </c>
      <c r="H744" s="344">
        <v>716.86090000000002</v>
      </c>
      <c r="I744" s="344">
        <v>1</v>
      </c>
      <c r="J744" s="346">
        <v>716.86090000000002</v>
      </c>
      <c r="K744" s="346">
        <v>716.86090000000002</v>
      </c>
      <c r="L744" s="346">
        <v>1</v>
      </c>
      <c r="M744" s="346">
        <v>716.86090000000002</v>
      </c>
      <c r="N744" s="6" t="s">
        <v>1587</v>
      </c>
      <c r="O744" s="347">
        <v>45610</v>
      </c>
      <c r="P744" s="33" t="str">
        <f>HYPERLINK("https://my.zakupivli.pro/remote/dispatcher/state_purchase_view/54820687", "UA-2024-11-14-014257-a")</f>
        <v>UA-2024-11-14-014257-a</v>
      </c>
      <c r="Q744" s="346">
        <v>716.86090000000002</v>
      </c>
      <c r="R744" s="346">
        <v>1</v>
      </c>
      <c r="S744" s="346">
        <v>716.86090000000002</v>
      </c>
      <c r="T744" s="347">
        <v>45610</v>
      </c>
      <c r="U744" s="344"/>
      <c r="V744" s="346" t="s">
        <v>59</v>
      </c>
    </row>
    <row r="745" spans="1:22" ht="62.4" x14ac:dyDescent="0.3">
      <c r="A745" s="344">
        <v>739</v>
      </c>
      <c r="B745" s="346" t="s">
        <v>40</v>
      </c>
      <c r="C745" s="44" t="s">
        <v>885</v>
      </c>
      <c r="D745" s="344"/>
      <c r="E745" s="346" t="s">
        <v>373</v>
      </c>
      <c r="F745" s="44" t="s">
        <v>1575</v>
      </c>
      <c r="G745" s="346" t="s">
        <v>184</v>
      </c>
      <c r="H745" s="344">
        <v>130.29897</v>
      </c>
      <c r="I745" s="344">
        <v>1</v>
      </c>
      <c r="J745" s="346">
        <v>130.29897</v>
      </c>
      <c r="K745" s="346">
        <v>130.29897</v>
      </c>
      <c r="L745" s="346">
        <v>1</v>
      </c>
      <c r="M745" s="346">
        <v>130.29897</v>
      </c>
      <c r="N745" s="6" t="s">
        <v>1588</v>
      </c>
      <c r="O745" s="347">
        <v>45610</v>
      </c>
      <c r="P745" s="33" t="str">
        <f>HYPERLINK("https://my.zakupivli.pro/remote/dispatcher/state_purchase_view/54820495", "UA-2024-11-14-014124-a")</f>
        <v>UA-2024-11-14-014124-a</v>
      </c>
      <c r="Q745" s="346">
        <v>130.29897</v>
      </c>
      <c r="R745" s="346">
        <v>1</v>
      </c>
      <c r="S745" s="346">
        <v>130.29897</v>
      </c>
      <c r="T745" s="347">
        <v>45610</v>
      </c>
      <c r="U745" s="344"/>
      <c r="V745" s="346" t="s">
        <v>59</v>
      </c>
    </row>
    <row r="746" spans="1:22" ht="62.4" x14ac:dyDescent="0.3">
      <c r="A746" s="344">
        <v>740</v>
      </c>
      <c r="B746" s="346" t="s">
        <v>40</v>
      </c>
      <c r="C746" s="44" t="s">
        <v>885</v>
      </c>
      <c r="D746" s="344"/>
      <c r="E746" s="346" t="s">
        <v>373</v>
      </c>
      <c r="F746" s="44" t="s">
        <v>1576</v>
      </c>
      <c r="G746" s="346" t="s">
        <v>184</v>
      </c>
      <c r="H746" s="344">
        <v>253.92179999999999</v>
      </c>
      <c r="I746" s="344">
        <v>1</v>
      </c>
      <c r="J746" s="346">
        <v>253.92179999999999</v>
      </c>
      <c r="K746" s="346">
        <v>253.92179999999999</v>
      </c>
      <c r="L746" s="346">
        <v>1</v>
      </c>
      <c r="M746" s="346">
        <v>253.92179999999999</v>
      </c>
      <c r="N746" s="6" t="s">
        <v>1589</v>
      </c>
      <c r="O746" s="347">
        <v>45610</v>
      </c>
      <c r="P746" s="33" t="str">
        <f>HYPERLINK("https://my.zakupivli.pro/remote/dispatcher/state_purchase_view/54820196", "UA-2024-11-14-014034-a")</f>
        <v>UA-2024-11-14-014034-a</v>
      </c>
      <c r="Q746" s="346">
        <v>253.92179999999999</v>
      </c>
      <c r="R746" s="346">
        <v>1</v>
      </c>
      <c r="S746" s="346">
        <v>253.92179999999999</v>
      </c>
      <c r="T746" s="347">
        <v>45610</v>
      </c>
      <c r="U746" s="344"/>
      <c r="V746" s="346" t="s">
        <v>59</v>
      </c>
    </row>
    <row r="747" spans="1:22" ht="62.4" x14ac:dyDescent="0.3">
      <c r="A747" s="344">
        <v>741</v>
      </c>
      <c r="B747" s="346" t="s">
        <v>40</v>
      </c>
      <c r="C747" s="44" t="s">
        <v>885</v>
      </c>
      <c r="D747" s="344"/>
      <c r="E747" s="346" t="s">
        <v>373</v>
      </c>
      <c r="F747" s="44" t="s">
        <v>1577</v>
      </c>
      <c r="G747" s="346" t="s">
        <v>184</v>
      </c>
      <c r="H747" s="344">
        <v>133.48004</v>
      </c>
      <c r="I747" s="344">
        <v>1</v>
      </c>
      <c r="J747" s="346">
        <v>133.48004</v>
      </c>
      <c r="K747" s="346">
        <v>133.48004</v>
      </c>
      <c r="L747" s="346">
        <v>1</v>
      </c>
      <c r="M747" s="346">
        <v>133.48004</v>
      </c>
      <c r="N747" s="6" t="s">
        <v>1590</v>
      </c>
      <c r="O747" s="347">
        <v>45610</v>
      </c>
      <c r="P747" s="33" t="str">
        <f>HYPERLINK("https://my.zakupivli.pro/remote/dispatcher/state_purchase_view/54820177", "UA-2024-11-14-014016-a")</f>
        <v>UA-2024-11-14-014016-a</v>
      </c>
      <c r="Q747" s="346">
        <v>133.48004</v>
      </c>
      <c r="R747" s="346">
        <v>1</v>
      </c>
      <c r="S747" s="346">
        <v>133.48004</v>
      </c>
      <c r="T747" s="347">
        <v>45610</v>
      </c>
      <c r="U747" s="344"/>
      <c r="V747" s="346" t="s">
        <v>59</v>
      </c>
    </row>
    <row r="748" spans="1:22" ht="62.4" x14ac:dyDescent="0.3">
      <c r="A748" s="344">
        <v>742</v>
      </c>
      <c r="B748" s="346" t="s">
        <v>40</v>
      </c>
      <c r="C748" s="44" t="s">
        <v>885</v>
      </c>
      <c r="D748" s="344"/>
      <c r="E748" s="346" t="s">
        <v>373</v>
      </c>
      <c r="F748" s="44" t="s">
        <v>1578</v>
      </c>
      <c r="G748" s="346" t="s">
        <v>184</v>
      </c>
      <c r="H748" s="344">
        <v>665.55016999999998</v>
      </c>
      <c r="I748" s="344">
        <v>1</v>
      </c>
      <c r="J748" s="346">
        <v>665.55016999999998</v>
      </c>
      <c r="K748" s="346">
        <v>665.55016999999998</v>
      </c>
      <c r="L748" s="346">
        <v>1</v>
      </c>
      <c r="M748" s="346">
        <v>665.55016999999998</v>
      </c>
      <c r="N748" s="6" t="s">
        <v>1591</v>
      </c>
      <c r="O748" s="347">
        <v>45610</v>
      </c>
      <c r="P748" s="33" t="str">
        <f>HYPERLINK("https://my.zakupivli.pro/remote/dispatcher/state_purchase_view/54819986", "UA-2024-11-14-013905-a")</f>
        <v>UA-2024-11-14-013905-a</v>
      </c>
      <c r="Q748" s="346">
        <v>665.55016999999998</v>
      </c>
      <c r="R748" s="346">
        <v>1</v>
      </c>
      <c r="S748" s="346">
        <v>665.55016999999998</v>
      </c>
      <c r="T748" s="347">
        <v>45610</v>
      </c>
      <c r="U748" s="344"/>
      <c r="V748" s="346" t="s">
        <v>59</v>
      </c>
    </row>
    <row r="749" spans="1:22" ht="62.4" x14ac:dyDescent="0.3">
      <c r="A749" s="344">
        <v>743</v>
      </c>
      <c r="B749" s="346" t="s">
        <v>40</v>
      </c>
      <c r="C749" s="44" t="s">
        <v>73</v>
      </c>
      <c r="D749" s="344"/>
      <c r="E749" s="344" t="s">
        <v>75</v>
      </c>
      <c r="F749" s="44" t="s">
        <v>1579</v>
      </c>
      <c r="G749" s="346" t="s">
        <v>184</v>
      </c>
      <c r="H749" s="344">
        <v>99.433300000000003</v>
      </c>
      <c r="I749" s="344">
        <v>1</v>
      </c>
      <c r="J749" s="346">
        <v>99.433300000000003</v>
      </c>
      <c r="K749" s="346">
        <v>99.433300000000003</v>
      </c>
      <c r="L749" s="346">
        <v>1</v>
      </c>
      <c r="M749" s="346">
        <v>99.433300000000003</v>
      </c>
      <c r="N749" s="6" t="s">
        <v>1592</v>
      </c>
      <c r="O749" s="347">
        <v>45610</v>
      </c>
      <c r="P749" s="33" t="str">
        <f>HYPERLINK("https://my.zakupivli.pro/remote/dispatcher/state_purchase_view/54797048", "UA-2024-11-14-003634-a")</f>
        <v>UA-2024-11-14-003634-a</v>
      </c>
      <c r="Q749" s="346">
        <v>99.433300000000003</v>
      </c>
      <c r="R749" s="346">
        <v>1</v>
      </c>
      <c r="S749" s="346">
        <v>99.433300000000003</v>
      </c>
      <c r="T749" s="347">
        <v>45610</v>
      </c>
      <c r="U749" s="344"/>
      <c r="V749" s="346" t="s">
        <v>59</v>
      </c>
    </row>
    <row r="750" spans="1:22" ht="46.8" x14ac:dyDescent="0.3">
      <c r="A750" s="344">
        <v>744</v>
      </c>
      <c r="B750" s="344" t="s">
        <v>1151</v>
      </c>
      <c r="C750" s="44" t="s">
        <v>1323</v>
      </c>
      <c r="D750" s="344"/>
      <c r="E750" s="346" t="s">
        <v>75</v>
      </c>
      <c r="F750" s="44" t="s">
        <v>1580</v>
      </c>
      <c r="G750" s="344" t="s">
        <v>1150</v>
      </c>
      <c r="H750" s="344">
        <v>930.62915999999996</v>
      </c>
      <c r="I750" s="344">
        <v>1</v>
      </c>
      <c r="J750" s="346">
        <v>930.62915999999996</v>
      </c>
      <c r="K750" s="346">
        <v>930.62915999999996</v>
      </c>
      <c r="L750" s="346">
        <v>1</v>
      </c>
      <c r="M750" s="346">
        <v>930.62915999999996</v>
      </c>
      <c r="N750" s="6" t="s">
        <v>1593</v>
      </c>
      <c r="O750" s="347">
        <v>45610</v>
      </c>
      <c r="P750" s="33" t="str">
        <f>HYPERLINK("https://my.zakupivli.pro/remote/dispatcher/state_purchase_view/54789788", "UA-2024-11-14-000435-a")</f>
        <v>UA-2024-11-14-000435-a</v>
      </c>
      <c r="Q750" s="344">
        <v>930.29884000000004</v>
      </c>
      <c r="R750" s="344">
        <v>1</v>
      </c>
      <c r="S750" s="360">
        <v>930.29884000000004</v>
      </c>
      <c r="T750" s="345">
        <v>45624</v>
      </c>
      <c r="U750" s="344"/>
      <c r="V750" s="344"/>
    </row>
    <row r="751" spans="1:22" ht="78" x14ac:dyDescent="0.3">
      <c r="A751" s="344">
        <v>745</v>
      </c>
      <c r="B751" s="348" t="s">
        <v>40</v>
      </c>
      <c r="C751" s="44" t="s">
        <v>885</v>
      </c>
      <c r="D751" s="344"/>
      <c r="E751" s="348" t="s">
        <v>373</v>
      </c>
      <c r="F751" s="44" t="s">
        <v>1594</v>
      </c>
      <c r="G751" s="348" t="s">
        <v>184</v>
      </c>
      <c r="H751" s="344">
        <v>479.91138999999998</v>
      </c>
      <c r="I751" s="344">
        <v>1</v>
      </c>
      <c r="J751" s="348">
        <v>479.91138999999998</v>
      </c>
      <c r="K751" s="348">
        <v>479.91138999999998</v>
      </c>
      <c r="L751" s="348">
        <v>1</v>
      </c>
      <c r="M751" s="348">
        <v>479.91138999999998</v>
      </c>
      <c r="N751" s="6" t="s">
        <v>1599</v>
      </c>
      <c r="O751" s="345">
        <v>45611</v>
      </c>
      <c r="P751" s="33" t="str">
        <f>HYPERLINK("https://my.zakupivli.pro/remote/dispatcher/state_purchase_view/54856895", "UA-2024-11-15-012568-a")</f>
        <v>UA-2024-11-15-012568-a</v>
      </c>
      <c r="Q751" s="348">
        <v>479.91138999999998</v>
      </c>
      <c r="R751" s="348">
        <v>1</v>
      </c>
      <c r="S751" s="348">
        <v>479.91138999999998</v>
      </c>
      <c r="T751" s="349">
        <v>45611</v>
      </c>
      <c r="U751" s="344"/>
      <c r="V751" s="348" t="s">
        <v>59</v>
      </c>
    </row>
    <row r="752" spans="1:22" ht="62.4" x14ac:dyDescent="0.3">
      <c r="A752" s="344">
        <v>746</v>
      </c>
      <c r="B752" s="348" t="s">
        <v>40</v>
      </c>
      <c r="C752" s="44" t="s">
        <v>885</v>
      </c>
      <c r="D752" s="344"/>
      <c r="E752" s="348" t="s">
        <v>373</v>
      </c>
      <c r="F752" s="44" t="s">
        <v>1595</v>
      </c>
      <c r="G752" s="348" t="s">
        <v>184</v>
      </c>
      <c r="H752" s="344">
        <v>293.29867999999999</v>
      </c>
      <c r="I752" s="344">
        <v>1</v>
      </c>
      <c r="J752" s="348">
        <v>293.29867999999999</v>
      </c>
      <c r="K752" s="348">
        <v>293.29867999999999</v>
      </c>
      <c r="L752" s="348">
        <v>1</v>
      </c>
      <c r="M752" s="348">
        <v>293.29867999999999</v>
      </c>
      <c r="N752" s="6" t="s">
        <v>1600</v>
      </c>
      <c r="O752" s="349">
        <v>45611</v>
      </c>
      <c r="P752" s="33" t="str">
        <f>HYPERLINK("https://my.zakupivli.pro/remote/dispatcher/state_purchase_view/54856641", "UA-2024-11-15-012380-a")</f>
        <v>UA-2024-11-15-012380-a</v>
      </c>
      <c r="Q752" s="348">
        <v>293.29867999999999</v>
      </c>
      <c r="R752" s="348">
        <v>1</v>
      </c>
      <c r="S752" s="348">
        <v>293.29867999999999</v>
      </c>
      <c r="T752" s="349">
        <v>45611</v>
      </c>
      <c r="U752" s="344"/>
      <c r="V752" s="348" t="s">
        <v>59</v>
      </c>
    </row>
    <row r="753" spans="1:22" ht="78" x14ac:dyDescent="0.3">
      <c r="A753" s="344">
        <v>747</v>
      </c>
      <c r="B753" s="348" t="s">
        <v>40</v>
      </c>
      <c r="C753" s="44" t="s">
        <v>885</v>
      </c>
      <c r="D753" s="344"/>
      <c r="E753" s="348" t="s">
        <v>373</v>
      </c>
      <c r="F753" s="44" t="s">
        <v>1596</v>
      </c>
      <c r="G753" s="348" t="s">
        <v>184</v>
      </c>
      <c r="H753" s="344">
        <v>466.92307</v>
      </c>
      <c r="I753" s="344">
        <v>1</v>
      </c>
      <c r="J753" s="348">
        <v>466.92307</v>
      </c>
      <c r="K753" s="348">
        <v>466.92307</v>
      </c>
      <c r="L753" s="348">
        <v>1</v>
      </c>
      <c r="M753" s="348">
        <v>466.92307</v>
      </c>
      <c r="N753" s="6" t="s">
        <v>1601</v>
      </c>
      <c r="O753" s="349">
        <v>45611</v>
      </c>
      <c r="P753" s="33" t="str">
        <f>HYPERLINK("https://my.zakupivli.pro/remote/dispatcher/state_purchase_view/54856228", "UA-2024-11-15-012171-a")</f>
        <v>UA-2024-11-15-012171-a</v>
      </c>
      <c r="Q753" s="348">
        <v>466.92307</v>
      </c>
      <c r="R753" s="348">
        <v>1</v>
      </c>
      <c r="S753" s="348">
        <v>466.92307</v>
      </c>
      <c r="T753" s="349">
        <v>45611</v>
      </c>
      <c r="U753" s="344"/>
      <c r="V753" s="348" t="s">
        <v>59</v>
      </c>
    </row>
    <row r="754" spans="1:22" ht="78" x14ac:dyDescent="0.3">
      <c r="A754" s="344">
        <v>748</v>
      </c>
      <c r="B754" s="348" t="s">
        <v>40</v>
      </c>
      <c r="C754" s="44" t="s">
        <v>41</v>
      </c>
      <c r="D754" s="344"/>
      <c r="E754" s="348" t="s">
        <v>75</v>
      </c>
      <c r="F754" s="44" t="s">
        <v>1597</v>
      </c>
      <c r="G754" s="344" t="s">
        <v>184</v>
      </c>
      <c r="H754" s="344">
        <v>637.67813000000001</v>
      </c>
      <c r="I754" s="344">
        <v>1</v>
      </c>
      <c r="J754" s="348">
        <v>637.67813000000001</v>
      </c>
      <c r="K754" s="348">
        <v>637.67813000000001</v>
      </c>
      <c r="L754" s="348">
        <v>1</v>
      </c>
      <c r="M754" s="348">
        <v>637.67813000000001</v>
      </c>
      <c r="N754" s="6" t="s">
        <v>1602</v>
      </c>
      <c r="O754" s="349">
        <v>45611</v>
      </c>
      <c r="P754" s="33" t="str">
        <f>HYPERLINK("https://my.zakupivli.pro/remote/dispatcher/state_purchase_view/54855962", "UA-2024-11-15-012017-a")</f>
        <v>UA-2024-11-15-012017-a</v>
      </c>
      <c r="Q754" s="348">
        <v>637.67813000000001</v>
      </c>
      <c r="R754" s="348">
        <v>1</v>
      </c>
      <c r="S754" s="348">
        <v>637.67813000000001</v>
      </c>
      <c r="T754" s="349">
        <v>45611</v>
      </c>
      <c r="U754" s="344"/>
      <c r="V754" s="348" t="s">
        <v>59</v>
      </c>
    </row>
    <row r="755" spans="1:22" ht="78" x14ac:dyDescent="0.3">
      <c r="A755" s="344">
        <v>749</v>
      </c>
      <c r="B755" s="344" t="s">
        <v>21</v>
      </c>
      <c r="C755" s="44" t="s">
        <v>36</v>
      </c>
      <c r="D755" s="344"/>
      <c r="E755" s="348" t="s">
        <v>75</v>
      </c>
      <c r="F755" s="44" t="s">
        <v>1598</v>
      </c>
      <c r="G755" s="344" t="s">
        <v>185</v>
      </c>
      <c r="H755" s="344"/>
      <c r="I755" s="344">
        <v>25</v>
      </c>
      <c r="J755" s="344">
        <v>2554.2750000000001</v>
      </c>
      <c r="K755" s="344"/>
      <c r="L755" s="348">
        <v>25</v>
      </c>
      <c r="M755" s="348">
        <v>2554.2750000000001</v>
      </c>
      <c r="N755" s="6" t="s">
        <v>1603</v>
      </c>
      <c r="O755" s="349">
        <v>45611</v>
      </c>
      <c r="P755" s="33" t="str">
        <f>HYPERLINK("https://my.zakupivli.pro/remote/dispatcher/state_purchase_view/54837075", "UA-2024-11-15-003479-a")</f>
        <v>UA-2024-11-15-003479-a</v>
      </c>
      <c r="Q755" s="344"/>
      <c r="R755" s="344">
        <v>25</v>
      </c>
      <c r="S755" s="344">
        <v>2554.2750000000001</v>
      </c>
      <c r="T755" s="345">
        <v>45631</v>
      </c>
      <c r="U755" s="344"/>
      <c r="V755" s="344"/>
    </row>
    <row r="756" spans="1:22" ht="62.4" x14ac:dyDescent="0.3">
      <c r="A756" s="344">
        <v>750</v>
      </c>
      <c r="B756" s="350" t="s">
        <v>21</v>
      </c>
      <c r="C756" s="44" t="s">
        <v>413</v>
      </c>
      <c r="D756" s="344"/>
      <c r="E756" s="350" t="s">
        <v>373</v>
      </c>
      <c r="F756" s="225" t="s">
        <v>1387</v>
      </c>
      <c r="G756" s="350" t="s">
        <v>185</v>
      </c>
      <c r="H756" s="119">
        <v>72</v>
      </c>
      <c r="I756" s="344">
        <v>1</v>
      </c>
      <c r="J756" s="119">
        <v>72</v>
      </c>
      <c r="K756" s="119">
        <v>72</v>
      </c>
      <c r="L756" s="350">
        <v>1</v>
      </c>
      <c r="M756" s="119">
        <v>72</v>
      </c>
      <c r="N756" s="6" t="s">
        <v>1604</v>
      </c>
      <c r="O756" s="345">
        <v>45616</v>
      </c>
      <c r="P756" s="33" t="str">
        <f>HYPERLINK("https://my.zakupivli.pro/remote/dispatcher/state_purchase_view/54954390", "UA-2024-11-20-001284-a")</f>
        <v>UA-2024-11-20-001284-a</v>
      </c>
      <c r="Q756" s="119">
        <v>72</v>
      </c>
      <c r="R756" s="350">
        <v>1</v>
      </c>
      <c r="S756" s="119">
        <v>72</v>
      </c>
      <c r="T756" s="351">
        <v>45616</v>
      </c>
      <c r="U756" s="344"/>
      <c r="V756" s="350" t="s">
        <v>59</v>
      </c>
    </row>
    <row r="757" spans="1:22" ht="62.4" x14ac:dyDescent="0.3">
      <c r="A757" s="353">
        <v>751</v>
      </c>
      <c r="B757" s="353" t="s">
        <v>21</v>
      </c>
      <c r="C757" s="44" t="s">
        <v>32</v>
      </c>
      <c r="D757" s="353"/>
      <c r="E757" s="353" t="s">
        <v>373</v>
      </c>
      <c r="F757" s="225" t="s">
        <v>1605</v>
      </c>
      <c r="G757" s="353" t="s">
        <v>186</v>
      </c>
      <c r="H757" s="353"/>
      <c r="I757" s="353">
        <v>4</v>
      </c>
      <c r="J757" s="353">
        <v>3867.4949999999999</v>
      </c>
      <c r="K757" s="353"/>
      <c r="L757" s="353">
        <v>4</v>
      </c>
      <c r="M757" s="353">
        <v>3867.4949999999999</v>
      </c>
      <c r="N757" s="6" t="s">
        <v>1606</v>
      </c>
      <c r="O757" s="352">
        <v>45617</v>
      </c>
      <c r="P757" s="33" t="str">
        <f>HYPERLINK("https://my.zakupivli.pro/remote/dispatcher/state_purchase_view/55001569", "UA-2024-11-21-004000-a")</f>
        <v>UA-2024-11-21-004000-a</v>
      </c>
      <c r="Q757" s="353"/>
      <c r="R757" s="353">
        <v>4</v>
      </c>
      <c r="S757" s="353">
        <v>3867.4949999999999</v>
      </c>
      <c r="T757" s="352">
        <v>45617</v>
      </c>
      <c r="U757" s="353"/>
      <c r="V757" s="353" t="s">
        <v>59</v>
      </c>
    </row>
    <row r="758" spans="1:22" ht="62.4" x14ac:dyDescent="0.3">
      <c r="A758" s="354">
        <v>752</v>
      </c>
      <c r="B758" s="354" t="s">
        <v>40</v>
      </c>
      <c r="C758" s="44" t="s">
        <v>885</v>
      </c>
      <c r="D758" s="354"/>
      <c r="E758" s="354" t="s">
        <v>373</v>
      </c>
      <c r="F758" s="44" t="s">
        <v>1607</v>
      </c>
      <c r="G758" s="354" t="s">
        <v>184</v>
      </c>
      <c r="H758" s="354">
        <v>225.98391000000001</v>
      </c>
      <c r="I758" s="354">
        <v>1</v>
      </c>
      <c r="J758" s="354">
        <v>225.98391000000001</v>
      </c>
      <c r="K758" s="354">
        <v>225.98391000000001</v>
      </c>
      <c r="L758" s="354">
        <v>1</v>
      </c>
      <c r="M758" s="354">
        <v>225.98391000000001</v>
      </c>
      <c r="N758" s="6" t="s">
        <v>1608</v>
      </c>
      <c r="O758" s="355">
        <v>45618</v>
      </c>
      <c r="P758" s="33" t="str">
        <f>HYPERLINK("https://my.zakupivli.pro/remote/dispatcher/state_purchase_view/55052216", "UA-2024-11-22-008839-a")</f>
        <v>UA-2024-11-22-008839-a</v>
      </c>
      <c r="Q758" s="354">
        <v>225.98391000000001</v>
      </c>
      <c r="R758" s="354">
        <v>1</v>
      </c>
      <c r="S758" s="354">
        <v>225.98391000000001</v>
      </c>
      <c r="T758" s="355">
        <v>45618</v>
      </c>
      <c r="U758" s="354"/>
      <c r="V758" s="354" t="s">
        <v>59</v>
      </c>
    </row>
    <row r="759" spans="1:22" ht="62.4" x14ac:dyDescent="0.3">
      <c r="A759" s="354">
        <v>753</v>
      </c>
      <c r="B759" s="356" t="s">
        <v>40</v>
      </c>
      <c r="C759" s="44" t="s">
        <v>885</v>
      </c>
      <c r="D759" s="354"/>
      <c r="E759" s="356" t="s">
        <v>373</v>
      </c>
      <c r="F759" s="44" t="s">
        <v>1609</v>
      </c>
      <c r="G759" s="354" t="s">
        <v>184</v>
      </c>
      <c r="H759" s="354">
        <v>214.72739999999999</v>
      </c>
      <c r="I759" s="354">
        <v>1</v>
      </c>
      <c r="J759" s="356">
        <v>214.72739999999999</v>
      </c>
      <c r="K759" s="356">
        <v>214.72739999999999</v>
      </c>
      <c r="L759" s="356">
        <v>1</v>
      </c>
      <c r="M759" s="356">
        <v>214.72739999999999</v>
      </c>
      <c r="N759" s="6" t="s">
        <v>1611</v>
      </c>
      <c r="O759" s="355">
        <v>45622</v>
      </c>
      <c r="P759" s="33" t="str">
        <f>HYPERLINK("https://my.zakupivli.pro/remote/dispatcher/state_purchase_view/55155829", "UA-2024-11-26-016347-a")</f>
        <v>UA-2024-11-26-016347-a</v>
      </c>
      <c r="Q759" s="356">
        <v>214.72739999999999</v>
      </c>
      <c r="R759" s="356">
        <v>1</v>
      </c>
      <c r="S759" s="356">
        <v>214.72739999999999</v>
      </c>
      <c r="T759" s="357">
        <v>45622</v>
      </c>
      <c r="U759" s="354"/>
      <c r="V759" s="356" t="s">
        <v>59</v>
      </c>
    </row>
    <row r="760" spans="1:22" ht="62.4" x14ac:dyDescent="0.3">
      <c r="A760" s="354">
        <v>754</v>
      </c>
      <c r="B760" s="354" t="s">
        <v>1151</v>
      </c>
      <c r="C760" s="44" t="s">
        <v>1467</v>
      </c>
      <c r="D760" s="354"/>
      <c r="E760" s="356" t="s">
        <v>75</v>
      </c>
      <c r="F760" s="44" t="s">
        <v>1610</v>
      </c>
      <c r="G760" s="354" t="s">
        <v>1150</v>
      </c>
      <c r="H760" s="354">
        <v>99.55</v>
      </c>
      <c r="I760" s="354">
        <v>1</v>
      </c>
      <c r="J760" s="356">
        <v>99.55</v>
      </c>
      <c r="K760" s="356">
        <v>99.55</v>
      </c>
      <c r="L760" s="356">
        <v>1</v>
      </c>
      <c r="M760" s="356">
        <v>99.55</v>
      </c>
      <c r="N760" s="6" t="s">
        <v>1612</v>
      </c>
      <c r="O760" s="357">
        <v>45622</v>
      </c>
      <c r="P760" s="33" t="str">
        <f>HYPERLINK("https://my.zakupivli.pro/remote/dispatcher/state_purchase_view/55139944", "UA-2024-11-26-009164-a")</f>
        <v>UA-2024-11-26-009164-a</v>
      </c>
      <c r="Q760" s="356">
        <v>99.55</v>
      </c>
      <c r="R760" s="356">
        <v>1</v>
      </c>
      <c r="S760" s="356">
        <v>99.55</v>
      </c>
      <c r="T760" s="357">
        <v>45622</v>
      </c>
      <c r="U760" s="354"/>
      <c r="V760" s="356" t="s">
        <v>59</v>
      </c>
    </row>
    <row r="761" spans="1:22" ht="78" x14ac:dyDescent="0.3">
      <c r="A761" s="354">
        <v>755</v>
      </c>
      <c r="B761" s="358" t="s">
        <v>21</v>
      </c>
      <c r="C761" s="44" t="s">
        <v>1613</v>
      </c>
      <c r="D761" s="354"/>
      <c r="E761" s="358" t="s">
        <v>373</v>
      </c>
      <c r="F761" s="44" t="s">
        <v>413</v>
      </c>
      <c r="G761" s="354" t="s">
        <v>185</v>
      </c>
      <c r="H761" s="354"/>
      <c r="I761" s="354">
        <v>3</v>
      </c>
      <c r="J761" s="358">
        <v>291.66667000000001</v>
      </c>
      <c r="K761" s="354"/>
      <c r="L761" s="358">
        <v>3</v>
      </c>
      <c r="M761" s="358">
        <v>291.66667000000001</v>
      </c>
      <c r="N761" s="6" t="s">
        <v>1614</v>
      </c>
      <c r="O761" s="355">
        <v>45623</v>
      </c>
      <c r="P761" s="33" t="str">
        <f>HYPERLINK("https://my.zakupivli.pro/remote/dispatcher/state_purchase_view/55188936", "UA-2024-11-27-011735-a")</f>
        <v>UA-2024-11-27-011735-a</v>
      </c>
      <c r="Q761" s="354"/>
      <c r="R761" s="354">
        <v>3</v>
      </c>
      <c r="S761" s="354"/>
      <c r="T761" s="355"/>
      <c r="U761" s="354" t="s">
        <v>1616</v>
      </c>
      <c r="V761" s="358" t="s">
        <v>59</v>
      </c>
    </row>
    <row r="762" spans="1:22" ht="62.4" x14ac:dyDescent="0.3">
      <c r="A762" s="354">
        <v>756</v>
      </c>
      <c r="B762" s="358" t="s">
        <v>21</v>
      </c>
      <c r="C762" s="44" t="s">
        <v>1559</v>
      </c>
      <c r="D762" s="354"/>
      <c r="E762" s="358" t="s">
        <v>373</v>
      </c>
      <c r="F762" s="44" t="s">
        <v>300</v>
      </c>
      <c r="G762" s="354" t="s">
        <v>1527</v>
      </c>
      <c r="H762" s="354">
        <v>8.1710000000000005E-2</v>
      </c>
      <c r="I762" s="354">
        <v>1000</v>
      </c>
      <c r="J762" s="354">
        <v>80.709999999999994</v>
      </c>
      <c r="K762" s="358">
        <v>8.1710000000000005E-2</v>
      </c>
      <c r="L762" s="358">
        <v>1000</v>
      </c>
      <c r="M762" s="358">
        <v>80.709999999999994</v>
      </c>
      <c r="N762" s="6" t="s">
        <v>1615</v>
      </c>
      <c r="O762" s="359">
        <v>45623</v>
      </c>
      <c r="P762" s="33" t="str">
        <f>HYPERLINK("https://my.zakupivli.pro/remote/dispatcher/state_purchase_view/55174014", "UA-2024-11-27-005230-a")</f>
        <v>UA-2024-11-27-005230-a</v>
      </c>
      <c r="Q762" s="358">
        <v>8.1710000000000005E-2</v>
      </c>
      <c r="R762" s="358">
        <v>1000</v>
      </c>
      <c r="S762" s="358">
        <v>80.709999999999994</v>
      </c>
      <c r="T762" s="359">
        <v>45623</v>
      </c>
      <c r="U762" s="354"/>
      <c r="V762" s="358" t="s">
        <v>59</v>
      </c>
    </row>
    <row r="763" spans="1:22" ht="171.6" x14ac:dyDescent="0.3">
      <c r="A763" s="354">
        <v>757</v>
      </c>
      <c r="B763" s="360" t="s">
        <v>40</v>
      </c>
      <c r="C763" s="44" t="s">
        <v>1617</v>
      </c>
      <c r="D763" s="354"/>
      <c r="E763" s="360" t="s">
        <v>373</v>
      </c>
      <c r="F763" s="44" t="s">
        <v>885</v>
      </c>
      <c r="G763" s="354" t="s">
        <v>184</v>
      </c>
      <c r="H763" s="354">
        <v>173.92330999999999</v>
      </c>
      <c r="I763" s="354">
        <v>1</v>
      </c>
      <c r="J763" s="360">
        <v>173.92330999999999</v>
      </c>
      <c r="K763" s="360">
        <v>173.92330999999999</v>
      </c>
      <c r="L763" s="360">
        <v>1</v>
      </c>
      <c r="M763" s="360">
        <v>173.92330999999999</v>
      </c>
      <c r="N763" s="6" t="s">
        <v>1620</v>
      </c>
      <c r="O763" s="361">
        <v>45632</v>
      </c>
      <c r="P763" s="33" t="str">
        <f>HYPERLINK("https://my.zakupivli.pro/remote/dispatcher/state_purchase_view/55499913", "UA-2024-12-06-014938-a")</f>
        <v>UA-2024-12-06-014938-a</v>
      </c>
      <c r="Q763" s="360">
        <v>173.92330999999999</v>
      </c>
      <c r="R763" s="360">
        <v>1</v>
      </c>
      <c r="S763" s="360">
        <v>173.92330999999999</v>
      </c>
      <c r="T763" s="361">
        <v>45632</v>
      </c>
      <c r="U763" s="354"/>
      <c r="V763" s="360" t="s">
        <v>59</v>
      </c>
    </row>
    <row r="764" spans="1:22" ht="156" x14ac:dyDescent="0.3">
      <c r="A764" s="354">
        <v>758</v>
      </c>
      <c r="B764" s="360" t="s">
        <v>40</v>
      </c>
      <c r="C764" s="44" t="s">
        <v>1618</v>
      </c>
      <c r="D764" s="354"/>
      <c r="E764" s="360" t="s">
        <v>373</v>
      </c>
      <c r="F764" s="44" t="s">
        <v>885</v>
      </c>
      <c r="G764" s="354" t="s">
        <v>184</v>
      </c>
      <c r="H764" s="354">
        <v>386.46974</v>
      </c>
      <c r="I764" s="354">
        <v>1</v>
      </c>
      <c r="J764" s="360">
        <v>386.46974</v>
      </c>
      <c r="K764" s="360">
        <v>386.46974</v>
      </c>
      <c r="L764" s="360">
        <v>1</v>
      </c>
      <c r="M764" s="360">
        <v>386.46974</v>
      </c>
      <c r="N764" s="6" t="s">
        <v>1621</v>
      </c>
      <c r="O764" s="361">
        <v>45632</v>
      </c>
      <c r="P764" s="33" t="str">
        <f>HYPERLINK("https://my.zakupivli.pro/remote/dispatcher/state_purchase_view/55499643", "UA-2024-12-06-014805-a")</f>
        <v>UA-2024-12-06-014805-a</v>
      </c>
      <c r="Q764" s="360">
        <v>386.46974</v>
      </c>
      <c r="R764" s="360">
        <v>1</v>
      </c>
      <c r="S764" s="360">
        <v>386.46974</v>
      </c>
      <c r="T764" s="361">
        <v>45632</v>
      </c>
      <c r="U764" s="354"/>
      <c r="V764" s="360" t="s">
        <v>59</v>
      </c>
    </row>
    <row r="765" spans="1:22" ht="171.6" x14ac:dyDescent="0.3">
      <c r="A765" s="354">
        <v>759</v>
      </c>
      <c r="B765" s="354" t="s">
        <v>21</v>
      </c>
      <c r="C765" s="44" t="s">
        <v>1560</v>
      </c>
      <c r="D765" s="354"/>
      <c r="E765" s="354" t="s">
        <v>75</v>
      </c>
      <c r="F765" s="44" t="s">
        <v>406</v>
      </c>
      <c r="G765" s="354" t="s">
        <v>186</v>
      </c>
      <c r="H765" s="354"/>
      <c r="I765" s="354">
        <v>2</v>
      </c>
      <c r="J765" s="354">
        <v>2306.9666659999998</v>
      </c>
      <c r="K765" s="354"/>
      <c r="L765" s="360">
        <v>2</v>
      </c>
      <c r="M765" s="360">
        <v>2306.9666659999998</v>
      </c>
      <c r="N765" s="6" t="s">
        <v>1622</v>
      </c>
      <c r="O765" s="361">
        <v>45632</v>
      </c>
      <c r="P765" s="33" t="str">
        <f>HYPERLINK("https://my.zakupivli.pro/remote/dispatcher/state_purchase_view/55498113", "UA-2024-12-06-014140-a")</f>
        <v>UA-2024-12-06-014140-a</v>
      </c>
      <c r="Q765" s="354"/>
      <c r="R765" s="354">
        <v>2</v>
      </c>
      <c r="S765" s="354">
        <v>2214.6880000000001</v>
      </c>
      <c r="T765" s="355">
        <v>45651</v>
      </c>
      <c r="U765" s="354"/>
      <c r="V765" s="360"/>
    </row>
    <row r="766" spans="1:22" ht="156" x14ac:dyDescent="0.3">
      <c r="A766" s="354">
        <v>760</v>
      </c>
      <c r="B766" s="360" t="s">
        <v>40</v>
      </c>
      <c r="C766" s="44" t="s">
        <v>1619</v>
      </c>
      <c r="D766" s="354"/>
      <c r="E766" s="360" t="s">
        <v>373</v>
      </c>
      <c r="F766" s="44" t="s">
        <v>885</v>
      </c>
      <c r="G766" s="354" t="s">
        <v>184</v>
      </c>
      <c r="H766" s="354">
        <v>209.59318999999999</v>
      </c>
      <c r="I766" s="354">
        <v>1</v>
      </c>
      <c r="J766" s="360">
        <v>209.59318999999999</v>
      </c>
      <c r="K766" s="360">
        <v>209.59318999999999</v>
      </c>
      <c r="L766" s="360">
        <v>1</v>
      </c>
      <c r="M766" s="360">
        <v>209.59318999999999</v>
      </c>
      <c r="N766" s="6" t="s">
        <v>1623</v>
      </c>
      <c r="O766" s="361">
        <v>45632</v>
      </c>
      <c r="P766" s="33" t="str">
        <f>HYPERLINK("https://my.zakupivli.pro/remote/dispatcher/state_purchase_view/55493584", "UA-2024-12-06-012047-a")</f>
        <v>UA-2024-12-06-012047-a</v>
      </c>
      <c r="Q766" s="360">
        <v>209.59318999999999</v>
      </c>
      <c r="R766" s="360">
        <v>1</v>
      </c>
      <c r="S766" s="360">
        <v>209.59318999999999</v>
      </c>
      <c r="T766" s="361">
        <v>45632</v>
      </c>
      <c r="U766" s="354"/>
      <c r="V766" s="360" t="s">
        <v>59</v>
      </c>
    </row>
    <row r="767" spans="1:22" ht="124.8" x14ac:dyDescent="0.3">
      <c r="A767" s="354">
        <v>761</v>
      </c>
      <c r="B767" s="354" t="s">
        <v>40</v>
      </c>
      <c r="C767" s="44" t="s">
        <v>1624</v>
      </c>
      <c r="D767" s="354"/>
      <c r="E767" s="360" t="s">
        <v>373</v>
      </c>
      <c r="F767" s="44" t="s">
        <v>885</v>
      </c>
      <c r="G767" s="354" t="s">
        <v>184</v>
      </c>
      <c r="H767" s="354">
        <v>281.99993999999998</v>
      </c>
      <c r="I767" s="354">
        <v>1</v>
      </c>
      <c r="J767" s="360">
        <v>281.99993999999998</v>
      </c>
      <c r="K767" s="360">
        <v>281.99993999999998</v>
      </c>
      <c r="L767" s="360">
        <v>1</v>
      </c>
      <c r="M767" s="360">
        <v>281.99993999999998</v>
      </c>
      <c r="N767" s="6" t="s">
        <v>1629</v>
      </c>
      <c r="O767" s="355">
        <v>45632</v>
      </c>
      <c r="P767" s="33" t="str">
        <f>HYPERLINK("https://my.zakupivli.pro/remote/dispatcher/state_purchase_view/55492800", "UA-2024-12-06-011782-a")</f>
        <v>UA-2024-12-06-011782-a</v>
      </c>
      <c r="Q767" s="360">
        <v>281.99993999999998</v>
      </c>
      <c r="R767" s="360">
        <v>1</v>
      </c>
      <c r="S767" s="360">
        <v>281.99993999999998</v>
      </c>
      <c r="T767" s="361">
        <v>45632</v>
      </c>
      <c r="U767" s="354"/>
      <c r="V767" s="360" t="s">
        <v>59</v>
      </c>
    </row>
    <row r="768" spans="1:22" ht="171.6" x14ac:dyDescent="0.3">
      <c r="A768" s="354">
        <v>762</v>
      </c>
      <c r="B768" s="354" t="s">
        <v>21</v>
      </c>
      <c r="C768" s="44" t="s">
        <v>1560</v>
      </c>
      <c r="D768" s="354"/>
      <c r="E768" s="365" t="s">
        <v>75</v>
      </c>
      <c r="F768" s="44" t="s">
        <v>406</v>
      </c>
      <c r="G768" s="354" t="s">
        <v>186</v>
      </c>
      <c r="H768" s="119"/>
      <c r="I768" s="354">
        <v>2</v>
      </c>
      <c r="J768" s="119">
        <v>772</v>
      </c>
      <c r="K768" s="354"/>
      <c r="L768" s="360">
        <v>2</v>
      </c>
      <c r="M768" s="119">
        <v>772</v>
      </c>
      <c r="N768" s="6" t="s">
        <v>1630</v>
      </c>
      <c r="O768" s="355">
        <v>45631</v>
      </c>
      <c r="P768" s="33" t="str">
        <f>HYPERLINK("https://my.zakupivli.pro/remote/dispatcher/state_purchase_view/55454423", "UA-2024-12-05-016124-a")</f>
        <v>UA-2024-12-05-016124-a</v>
      </c>
      <c r="Q768" s="354"/>
      <c r="R768" s="354"/>
      <c r="S768" s="354"/>
      <c r="T768" s="355"/>
      <c r="U768" s="354" t="s">
        <v>649</v>
      </c>
      <c r="V768" s="354"/>
    </row>
    <row r="769" spans="1:22" ht="78" x14ac:dyDescent="0.3">
      <c r="A769" s="354">
        <v>763</v>
      </c>
      <c r="B769" s="354" t="s">
        <v>21</v>
      </c>
      <c r="C769" s="44" t="s">
        <v>1613</v>
      </c>
      <c r="D769" s="354"/>
      <c r="E769" s="365" t="s">
        <v>75</v>
      </c>
      <c r="F769" s="44" t="s">
        <v>413</v>
      </c>
      <c r="G769" s="354" t="s">
        <v>185</v>
      </c>
      <c r="H769" s="354"/>
      <c r="I769" s="354">
        <v>3</v>
      </c>
      <c r="J769" s="354">
        <v>291.666</v>
      </c>
      <c r="K769" s="354"/>
      <c r="L769" s="360">
        <v>3</v>
      </c>
      <c r="M769" s="360">
        <v>291.666</v>
      </c>
      <c r="N769" s="6" t="s">
        <v>1631</v>
      </c>
      <c r="O769" s="355">
        <v>45631</v>
      </c>
      <c r="P769" s="33" t="str">
        <f>HYPERLINK("https://my.zakupivli.pro/remote/dispatcher/state_purchase_view/55452603", "UA-2024-12-05-015239-a")</f>
        <v>UA-2024-12-05-015239-a</v>
      </c>
      <c r="Q769" s="354"/>
      <c r="R769" s="354">
        <v>3</v>
      </c>
      <c r="S769" s="119">
        <v>290</v>
      </c>
      <c r="T769" s="355">
        <v>45651</v>
      </c>
      <c r="U769" s="354"/>
      <c r="V769" s="354"/>
    </row>
    <row r="770" spans="1:22" ht="171.6" x14ac:dyDescent="0.3">
      <c r="A770" s="354">
        <v>764</v>
      </c>
      <c r="B770" s="354" t="s">
        <v>40</v>
      </c>
      <c r="C770" s="44" t="s">
        <v>1625</v>
      </c>
      <c r="D770" s="354"/>
      <c r="E770" s="365" t="s">
        <v>75</v>
      </c>
      <c r="F770" s="44" t="s">
        <v>41</v>
      </c>
      <c r="G770" s="354" t="s">
        <v>184</v>
      </c>
      <c r="H770" s="354">
        <v>316.13565999999997</v>
      </c>
      <c r="I770" s="354">
        <v>1</v>
      </c>
      <c r="J770" s="360">
        <v>316.13565999999997</v>
      </c>
      <c r="K770" s="360">
        <v>316.13565999999997</v>
      </c>
      <c r="L770" s="360">
        <v>1</v>
      </c>
      <c r="M770" s="360">
        <v>316.13565999999997</v>
      </c>
      <c r="N770" s="6" t="s">
        <v>1632</v>
      </c>
      <c r="O770" s="355">
        <v>45629</v>
      </c>
      <c r="P770" s="33" t="str">
        <f>HYPERLINK("https://my.zakupivli.pro/remote/dispatcher/state_purchase_view/55397586", "UA-2024-12-04-012135-a")</f>
        <v>UA-2024-12-04-012135-a</v>
      </c>
      <c r="Q770" s="360">
        <v>316.13565999999997</v>
      </c>
      <c r="R770" s="360">
        <v>1</v>
      </c>
      <c r="S770" s="360">
        <v>316.13565999999997</v>
      </c>
      <c r="T770" s="361">
        <v>45629</v>
      </c>
      <c r="U770" s="354"/>
      <c r="V770" s="360" t="s">
        <v>59</v>
      </c>
    </row>
    <row r="771" spans="1:22" ht="93.6" x14ac:dyDescent="0.3">
      <c r="A771" s="354">
        <v>765</v>
      </c>
      <c r="B771" s="354" t="s">
        <v>21</v>
      </c>
      <c r="C771" s="44" t="s">
        <v>1626</v>
      </c>
      <c r="D771" s="354"/>
      <c r="E771" s="365" t="s">
        <v>75</v>
      </c>
      <c r="F771" s="44" t="s">
        <v>1628</v>
      </c>
      <c r="G771" s="354" t="s">
        <v>186</v>
      </c>
      <c r="I771" s="354">
        <v>2</v>
      </c>
      <c r="J771" s="119">
        <v>5837.75</v>
      </c>
      <c r="K771" s="354"/>
      <c r="L771" s="360">
        <v>2</v>
      </c>
      <c r="M771" s="119">
        <v>5837.75</v>
      </c>
      <c r="N771" s="6" t="s">
        <v>1633</v>
      </c>
      <c r="O771" s="361">
        <v>45629</v>
      </c>
      <c r="P771" s="33" t="str">
        <f>HYPERLINK("https://my.zakupivli.pro/remote/dispatcher/state_purchase_view/55352960", "UA-2024-12-03-012447-a")</f>
        <v>UA-2024-12-03-012447-a</v>
      </c>
      <c r="Q771" s="354"/>
      <c r="R771" s="354"/>
      <c r="S771" s="354"/>
      <c r="T771" s="355"/>
      <c r="U771" s="354" t="s">
        <v>649</v>
      </c>
      <c r="V771" s="354"/>
    </row>
    <row r="772" spans="1:22" ht="124.8" x14ac:dyDescent="0.3">
      <c r="A772" s="354">
        <v>766</v>
      </c>
      <c r="B772" s="354" t="s">
        <v>40</v>
      </c>
      <c r="C772" s="44" t="s">
        <v>1627</v>
      </c>
      <c r="D772" s="354"/>
      <c r="E772" s="365" t="s">
        <v>75</v>
      </c>
      <c r="F772" s="44" t="s">
        <v>885</v>
      </c>
      <c r="G772" s="354" t="s">
        <v>184</v>
      </c>
      <c r="H772" s="354">
        <v>116.88435</v>
      </c>
      <c r="I772" s="354">
        <v>1</v>
      </c>
      <c r="J772" s="360">
        <v>116.88435</v>
      </c>
      <c r="K772" s="360">
        <v>116.88435</v>
      </c>
      <c r="L772" s="360">
        <v>1</v>
      </c>
      <c r="M772" s="360">
        <v>116.88435</v>
      </c>
      <c r="N772" s="6" t="s">
        <v>1634</v>
      </c>
      <c r="O772" s="355">
        <v>45628</v>
      </c>
      <c r="P772" s="33" t="str">
        <f>HYPERLINK("https://my.zakupivli.pro/remote/dispatcher/state_purchase_view/55292923", "UA-2024-12-02-004435-a")</f>
        <v>UA-2024-12-02-004435-a</v>
      </c>
      <c r="Q772" s="360">
        <v>116.88435</v>
      </c>
      <c r="R772" s="360">
        <v>1</v>
      </c>
      <c r="S772" s="360">
        <v>116.88435</v>
      </c>
      <c r="T772" s="363">
        <v>45628</v>
      </c>
      <c r="U772" s="354"/>
      <c r="V772" s="354"/>
    </row>
    <row r="773" spans="1:22" ht="62.4" x14ac:dyDescent="0.3">
      <c r="A773" s="354">
        <v>767</v>
      </c>
      <c r="B773" s="362" t="s">
        <v>21</v>
      </c>
      <c r="C773" s="44" t="s">
        <v>1635</v>
      </c>
      <c r="D773" s="354"/>
      <c r="E773" s="365" t="s">
        <v>75</v>
      </c>
      <c r="F773" s="44" t="s">
        <v>1636</v>
      </c>
      <c r="G773" s="354" t="s">
        <v>185</v>
      </c>
      <c r="H773" s="119">
        <v>46</v>
      </c>
      <c r="I773" s="354">
        <v>1</v>
      </c>
      <c r="J773" s="119">
        <v>46</v>
      </c>
      <c r="K773" s="119">
        <v>46</v>
      </c>
      <c r="L773" s="362">
        <v>1</v>
      </c>
      <c r="M773" s="119">
        <v>46</v>
      </c>
      <c r="N773" s="6" t="s">
        <v>1637</v>
      </c>
      <c r="O773" s="355">
        <v>45642</v>
      </c>
      <c r="P773" s="33" t="str">
        <f>HYPERLINK("https://my.zakupivli.pro/remote/dispatcher/state_purchase_view/55800910", "UA-2024-12-16-012483-a")</f>
        <v>UA-2024-12-16-012483-a</v>
      </c>
      <c r="Q773" s="119">
        <v>46</v>
      </c>
      <c r="R773" s="362">
        <v>1</v>
      </c>
      <c r="S773" s="119">
        <v>46</v>
      </c>
      <c r="T773" s="363">
        <v>45642</v>
      </c>
      <c r="U773" s="354"/>
      <c r="V773" s="362" t="s">
        <v>59</v>
      </c>
    </row>
    <row r="774" spans="1:22" ht="62.4" x14ac:dyDescent="0.3">
      <c r="A774" s="354">
        <v>768</v>
      </c>
      <c r="B774" s="362" t="s">
        <v>21</v>
      </c>
      <c r="C774" s="44" t="s">
        <v>1387</v>
      </c>
      <c r="D774" s="354"/>
      <c r="E774" s="365" t="s">
        <v>75</v>
      </c>
      <c r="F774" s="44" t="s">
        <v>413</v>
      </c>
      <c r="G774" s="354" t="s">
        <v>185</v>
      </c>
      <c r="H774" s="119">
        <v>71.25</v>
      </c>
      <c r="I774" s="354">
        <v>1</v>
      </c>
      <c r="J774" s="119">
        <v>71.25</v>
      </c>
      <c r="K774" s="119">
        <v>71.25</v>
      </c>
      <c r="L774" s="362">
        <v>1</v>
      </c>
      <c r="M774" s="119">
        <v>71.25</v>
      </c>
      <c r="N774" s="6" t="s">
        <v>1638</v>
      </c>
      <c r="O774" s="363">
        <v>45642</v>
      </c>
      <c r="P774" s="33" t="str">
        <f>HYPERLINK("https://my.zakupivli.pro/remote/dispatcher/state_purchase_view/55799831", "UA-2024-12-16-012032-a")</f>
        <v>UA-2024-12-16-012032-a</v>
      </c>
      <c r="Q774" s="119">
        <v>71.25</v>
      </c>
      <c r="R774" s="362">
        <v>1</v>
      </c>
      <c r="S774" s="119">
        <v>71.25</v>
      </c>
      <c r="T774" s="363">
        <v>45642</v>
      </c>
      <c r="U774" s="354"/>
      <c r="V774" s="362" t="s">
        <v>59</v>
      </c>
    </row>
    <row r="775" spans="1:22" ht="156" x14ac:dyDescent="0.3">
      <c r="A775" s="354">
        <v>769</v>
      </c>
      <c r="B775" s="365" t="s">
        <v>21</v>
      </c>
      <c r="C775" s="44" t="s">
        <v>1639</v>
      </c>
      <c r="D775" s="354"/>
      <c r="E775" s="365" t="s">
        <v>75</v>
      </c>
      <c r="F775" s="44" t="s">
        <v>735</v>
      </c>
      <c r="G775" s="354" t="s">
        <v>186</v>
      </c>
      <c r="H775" s="354"/>
      <c r="I775" s="354">
        <v>13</v>
      </c>
      <c r="J775" s="354">
        <v>349.38098000000002</v>
      </c>
      <c r="K775" s="354"/>
      <c r="L775" s="365">
        <v>13</v>
      </c>
      <c r="M775" s="365">
        <v>349.38098000000002</v>
      </c>
      <c r="N775" s="6" t="s">
        <v>1645</v>
      </c>
      <c r="O775" s="355">
        <v>45643</v>
      </c>
      <c r="P775" s="33" t="str">
        <f>HYPERLINK("https://my.zakupivli.pro/remote/dispatcher/state_purchase_view/55872274", "UA-2024-12-17-020706-a")</f>
        <v>UA-2024-12-17-020706-a</v>
      </c>
      <c r="Q775" s="354"/>
      <c r="R775" s="354">
        <v>13</v>
      </c>
      <c r="S775" s="354">
        <v>257.16000000000003</v>
      </c>
      <c r="T775" s="355">
        <v>45663</v>
      </c>
      <c r="U775" s="354"/>
      <c r="V775" s="354"/>
    </row>
    <row r="776" spans="1:22" ht="124.8" x14ac:dyDescent="0.3">
      <c r="A776" s="354">
        <v>770</v>
      </c>
      <c r="B776" s="354" t="s">
        <v>1151</v>
      </c>
      <c r="C776" s="44" t="s">
        <v>1640</v>
      </c>
      <c r="D776" s="354"/>
      <c r="E776" s="365" t="s">
        <v>75</v>
      </c>
      <c r="F776" s="44" t="s">
        <v>1646</v>
      </c>
      <c r="G776" s="354" t="s">
        <v>1150</v>
      </c>
      <c r="H776" s="119">
        <v>276.8</v>
      </c>
      <c r="I776" s="354">
        <v>1</v>
      </c>
      <c r="J776" s="119">
        <v>276.8</v>
      </c>
      <c r="K776" s="119">
        <v>276.8</v>
      </c>
      <c r="L776" s="365">
        <v>1</v>
      </c>
      <c r="M776" s="119">
        <v>276.8</v>
      </c>
      <c r="N776" s="6" t="s">
        <v>1647</v>
      </c>
      <c r="O776" s="364">
        <v>45643</v>
      </c>
      <c r="P776" s="33" t="str">
        <f>HYPERLINK("https://my.zakupivli.pro/remote/dispatcher/state_purchase_view/55863477", "UA-2024-12-17-016908-a")</f>
        <v>UA-2024-12-17-016908-a</v>
      </c>
      <c r="Q776" s="119">
        <v>250</v>
      </c>
      <c r="R776" s="354">
        <v>1</v>
      </c>
      <c r="S776" s="119">
        <v>250</v>
      </c>
      <c r="T776" s="381">
        <v>45663</v>
      </c>
      <c r="U776" s="354"/>
      <c r="V776" s="354"/>
    </row>
    <row r="777" spans="1:22" ht="124.8" x14ac:dyDescent="0.3">
      <c r="A777" s="354">
        <v>771</v>
      </c>
      <c r="B777" s="365" t="s">
        <v>1151</v>
      </c>
      <c r="C777" s="44" t="s">
        <v>1641</v>
      </c>
      <c r="D777" s="354"/>
      <c r="E777" s="365" t="s">
        <v>75</v>
      </c>
      <c r="F777" s="44" t="s">
        <v>1646</v>
      </c>
      <c r="G777" s="365" t="s">
        <v>1150</v>
      </c>
      <c r="H777" s="119">
        <v>90.9</v>
      </c>
      <c r="I777" s="354">
        <v>1</v>
      </c>
      <c r="J777" s="119">
        <v>90.9</v>
      </c>
      <c r="K777" s="119">
        <v>90.9</v>
      </c>
      <c r="L777" s="365">
        <v>1</v>
      </c>
      <c r="M777" s="119">
        <v>90.9</v>
      </c>
      <c r="N777" s="6" t="s">
        <v>1648</v>
      </c>
      <c r="O777" s="364">
        <v>45643</v>
      </c>
      <c r="P777" s="33" t="str">
        <f>HYPERLINK("https://my.zakupivli.pro/remote/dispatcher/state_purchase_view/55863477", "UA-2024-12-17-016908-a")</f>
        <v>UA-2024-12-17-016908-a</v>
      </c>
      <c r="Q777" s="119">
        <v>75</v>
      </c>
      <c r="R777" s="354">
        <v>1</v>
      </c>
      <c r="S777" s="119">
        <v>75</v>
      </c>
      <c r="T777" s="381">
        <v>45663</v>
      </c>
      <c r="U777" s="354"/>
      <c r="V777" s="354"/>
    </row>
    <row r="778" spans="1:22" ht="124.8" x14ac:dyDescent="0.3">
      <c r="A778" s="354">
        <v>772</v>
      </c>
      <c r="B778" s="365" t="s">
        <v>1151</v>
      </c>
      <c r="C778" s="44" t="s">
        <v>1642</v>
      </c>
      <c r="D778" s="354"/>
      <c r="E778" s="365" t="s">
        <v>75</v>
      </c>
      <c r="F778" s="44" t="s">
        <v>1646</v>
      </c>
      <c r="G778" s="365" t="s">
        <v>1150</v>
      </c>
      <c r="H778" s="354">
        <v>2.0816599999999998</v>
      </c>
      <c r="I778" s="354">
        <v>1</v>
      </c>
      <c r="J778" s="365">
        <v>2.0816599999999998</v>
      </c>
      <c r="K778" s="365">
        <v>2.0816599999999998</v>
      </c>
      <c r="L778" s="365">
        <v>1</v>
      </c>
      <c r="M778" s="365">
        <v>2.0816599999999998</v>
      </c>
      <c r="N778" s="6" t="s">
        <v>1649</v>
      </c>
      <c r="O778" s="364">
        <v>45643</v>
      </c>
      <c r="P778" s="33" t="str">
        <f>HYPERLINK("https://my.zakupivli.pro/remote/dispatcher/state_purchase_view/55863477", "UA-2024-12-17-016908-a")</f>
        <v>UA-2024-12-17-016908-a</v>
      </c>
      <c r="Q778" s="119">
        <v>1.75</v>
      </c>
      <c r="R778" s="354">
        <v>1</v>
      </c>
      <c r="S778" s="119">
        <v>1.75</v>
      </c>
      <c r="T778" s="381">
        <v>45663</v>
      </c>
      <c r="U778" s="354"/>
      <c r="V778" s="354"/>
    </row>
    <row r="779" spans="1:22" ht="124.8" x14ac:dyDescent="0.3">
      <c r="A779" s="354">
        <v>773</v>
      </c>
      <c r="B779" s="365" t="s">
        <v>1151</v>
      </c>
      <c r="C779" s="44" t="s">
        <v>1643</v>
      </c>
      <c r="D779" s="354"/>
      <c r="E779" s="365" t="s">
        <v>75</v>
      </c>
      <c r="F779" s="44" t="s">
        <v>1646</v>
      </c>
      <c r="G779" s="365" t="s">
        <v>1150</v>
      </c>
      <c r="H779" s="354">
        <v>7.8083299999999998</v>
      </c>
      <c r="I779" s="354">
        <v>1</v>
      </c>
      <c r="J779" s="365">
        <v>7.8083299999999998</v>
      </c>
      <c r="K779" s="365">
        <v>7.8083299999999998</v>
      </c>
      <c r="L779" s="365">
        <v>1</v>
      </c>
      <c r="M779" s="365">
        <v>7.8083299999999998</v>
      </c>
      <c r="N779" s="6" t="s">
        <v>1650</v>
      </c>
      <c r="O779" s="364">
        <v>45643</v>
      </c>
      <c r="P779" s="33" t="str">
        <f>HYPERLINK("https://my.zakupivli.pro/remote/dispatcher/state_purchase_view/55863477", "UA-2024-12-17-016908-a")</f>
        <v>UA-2024-12-17-016908-a</v>
      </c>
      <c r="Q779" s="354"/>
      <c r="R779" s="354"/>
      <c r="S779" s="354"/>
      <c r="T779" s="355"/>
      <c r="U779" s="378" t="s">
        <v>93</v>
      </c>
      <c r="V779" s="354"/>
    </row>
    <row r="780" spans="1:22" ht="124.8" x14ac:dyDescent="0.3">
      <c r="A780" s="354">
        <v>774</v>
      </c>
      <c r="B780" s="365" t="s">
        <v>1151</v>
      </c>
      <c r="C780" s="44" t="s">
        <v>1644</v>
      </c>
      <c r="D780" s="354"/>
      <c r="E780" s="365" t="s">
        <v>75</v>
      </c>
      <c r="F780" s="44" t="s">
        <v>1646</v>
      </c>
      <c r="G780" s="365" t="s">
        <v>1150</v>
      </c>
      <c r="H780" s="119">
        <v>243.85</v>
      </c>
      <c r="I780" s="354">
        <v>1</v>
      </c>
      <c r="J780" s="119">
        <v>243.85</v>
      </c>
      <c r="K780" s="119">
        <v>243.85</v>
      </c>
      <c r="L780" s="365">
        <v>1</v>
      </c>
      <c r="M780" s="119">
        <v>243.85</v>
      </c>
      <c r="N780" s="6" t="s">
        <v>1651</v>
      </c>
      <c r="O780" s="364">
        <v>45643</v>
      </c>
      <c r="P780" s="33" t="str">
        <f>HYPERLINK("https://my.zakupivli.pro/remote/dispatcher/state_purchase_view/55863477", "UA-2024-12-17-016908-a")</f>
        <v>UA-2024-12-17-016908-a</v>
      </c>
      <c r="Q780" s="354"/>
      <c r="R780" s="354"/>
      <c r="S780" s="354"/>
      <c r="T780" s="355"/>
      <c r="U780" s="378" t="s">
        <v>93</v>
      </c>
      <c r="V780" s="354"/>
    </row>
    <row r="781" spans="1:22" ht="46.8" x14ac:dyDescent="0.3">
      <c r="A781" s="354">
        <v>775</v>
      </c>
      <c r="B781" s="366" t="s">
        <v>21</v>
      </c>
      <c r="C781" s="44" t="s">
        <v>1652</v>
      </c>
      <c r="D781" s="354"/>
      <c r="E781" s="366" t="s">
        <v>75</v>
      </c>
      <c r="F781" s="225" t="s">
        <v>36</v>
      </c>
      <c r="G781" s="354" t="s">
        <v>186</v>
      </c>
      <c r="H781" s="354"/>
      <c r="I781" s="354">
        <v>10</v>
      </c>
      <c r="J781" s="354">
        <v>950.46973000000003</v>
      </c>
      <c r="K781" s="354"/>
      <c r="L781" s="366">
        <v>10</v>
      </c>
      <c r="M781" s="366">
        <v>950.46973000000003</v>
      </c>
      <c r="N781" s="6" t="s">
        <v>1658</v>
      </c>
      <c r="O781" s="369">
        <v>45645</v>
      </c>
      <c r="P781" s="33" t="str">
        <f>HYPERLINK("https://my.zakupivli.pro/remote/dispatcher/state_purchase_view/55973222", "UA-2024-12-19-015237-a")</f>
        <v>UA-2024-12-19-015237-a</v>
      </c>
      <c r="Q781" s="354"/>
      <c r="R781" s="354">
        <v>10</v>
      </c>
      <c r="S781" s="354">
        <v>776.76599999999996</v>
      </c>
      <c r="T781" s="355"/>
      <c r="U781" s="354"/>
      <c r="V781" s="354"/>
    </row>
    <row r="782" spans="1:22" ht="46.8" x14ac:dyDescent="0.3">
      <c r="A782" s="354">
        <v>776</v>
      </c>
      <c r="B782" s="366" t="s">
        <v>21</v>
      </c>
      <c r="C782" s="44" t="s">
        <v>1653</v>
      </c>
      <c r="D782" s="354"/>
      <c r="E782" s="366" t="s">
        <v>75</v>
      </c>
      <c r="F782" s="225" t="s">
        <v>36</v>
      </c>
      <c r="G782" s="354" t="s">
        <v>186</v>
      </c>
      <c r="H782" s="354"/>
      <c r="I782" s="354">
        <v>3</v>
      </c>
      <c r="J782" s="354">
        <v>14064.01916</v>
      </c>
      <c r="K782" s="354"/>
      <c r="L782" s="366">
        <v>3</v>
      </c>
      <c r="M782" s="366">
        <v>14064.01916</v>
      </c>
      <c r="N782" s="6" t="s">
        <v>1659</v>
      </c>
      <c r="O782" s="369">
        <v>45645</v>
      </c>
      <c r="P782" s="33" t="str">
        <f>HYPERLINK("https://my.zakupivli.pro/remote/dispatcher/state_purchase_view/55973222", "UA-2024-12-19-015237-a")</f>
        <v>UA-2024-12-19-015237-a</v>
      </c>
      <c r="Q782" s="354"/>
      <c r="R782" s="354">
        <v>2</v>
      </c>
      <c r="S782" s="354">
        <v>13430.855</v>
      </c>
      <c r="T782" s="355"/>
      <c r="U782" s="354"/>
      <c r="V782" s="354"/>
    </row>
    <row r="783" spans="1:22" ht="78" x14ac:dyDescent="0.3">
      <c r="A783" s="354">
        <v>777</v>
      </c>
      <c r="B783" s="366" t="s">
        <v>21</v>
      </c>
      <c r="C783" s="44" t="s">
        <v>1654</v>
      </c>
      <c r="D783" s="354"/>
      <c r="E783" s="366" t="s">
        <v>75</v>
      </c>
      <c r="F783" s="225" t="s">
        <v>36</v>
      </c>
      <c r="G783" s="354" t="s">
        <v>186</v>
      </c>
      <c r="H783" s="354"/>
      <c r="I783" s="354">
        <v>2</v>
      </c>
      <c r="J783" s="119">
        <v>2684.5</v>
      </c>
      <c r="K783" s="354"/>
      <c r="L783" s="366">
        <v>2</v>
      </c>
      <c r="M783" s="119">
        <v>2684.5</v>
      </c>
      <c r="N783" s="6" t="s">
        <v>1660</v>
      </c>
      <c r="O783" s="369">
        <v>45645</v>
      </c>
      <c r="P783" s="33" t="str">
        <f>HYPERLINK("https://my.zakupivli.pro/remote/dispatcher/state_purchase_view/55973222", "UA-2024-12-19-015237-a")</f>
        <v>UA-2024-12-19-015237-a</v>
      </c>
      <c r="Q783" s="354"/>
      <c r="R783" s="380"/>
      <c r="S783" s="380"/>
      <c r="T783" s="355"/>
      <c r="U783" s="380" t="s">
        <v>93</v>
      </c>
      <c r="V783" s="354"/>
    </row>
    <row r="784" spans="1:22" ht="93.6" x14ac:dyDescent="0.3">
      <c r="A784" s="354">
        <v>778</v>
      </c>
      <c r="B784" s="366" t="s">
        <v>21</v>
      </c>
      <c r="C784" s="44" t="s">
        <v>1655</v>
      </c>
      <c r="D784" s="354"/>
      <c r="E784" s="366" t="s">
        <v>75</v>
      </c>
      <c r="F784" s="225" t="s">
        <v>1657</v>
      </c>
      <c r="G784" s="354" t="s">
        <v>186</v>
      </c>
      <c r="H784" s="354"/>
      <c r="I784" s="354">
        <v>239</v>
      </c>
      <c r="J784" s="119">
        <v>3575</v>
      </c>
      <c r="K784" s="354"/>
      <c r="L784" s="366">
        <v>239</v>
      </c>
      <c r="M784" s="119">
        <v>3575</v>
      </c>
      <c r="N784" s="6" t="s">
        <v>1661</v>
      </c>
      <c r="O784" s="369">
        <v>45645</v>
      </c>
      <c r="P784" s="33" t="str">
        <f>HYPERLINK("https://my.zakupivli.pro/remote/dispatcher/state_purchase_view/55969608", "UA-2024-12-19-013809-a")</f>
        <v>UA-2024-12-19-013809-a</v>
      </c>
      <c r="Q784" s="354"/>
      <c r="R784" s="354">
        <v>239</v>
      </c>
      <c r="S784" s="354">
        <v>3573.4467</v>
      </c>
      <c r="T784" s="355">
        <v>45666</v>
      </c>
      <c r="U784" s="354"/>
      <c r="V784" s="354"/>
    </row>
    <row r="785" spans="1:22" ht="78" x14ac:dyDescent="0.3">
      <c r="A785" s="354">
        <v>779</v>
      </c>
      <c r="B785" s="366" t="s">
        <v>21</v>
      </c>
      <c r="C785" s="44" t="s">
        <v>1656</v>
      </c>
      <c r="D785" s="354"/>
      <c r="E785" s="366" t="s">
        <v>75</v>
      </c>
      <c r="F785" s="225" t="s">
        <v>30</v>
      </c>
      <c r="G785" s="354" t="s">
        <v>186</v>
      </c>
      <c r="H785" s="354"/>
      <c r="I785" s="354">
        <v>9</v>
      </c>
      <c r="J785" s="119">
        <v>3474</v>
      </c>
      <c r="K785" s="354"/>
      <c r="L785" s="366">
        <v>9</v>
      </c>
      <c r="M785" s="119">
        <v>3474</v>
      </c>
      <c r="N785" s="6" t="s">
        <v>1662</v>
      </c>
      <c r="O785" s="367">
        <v>45645</v>
      </c>
      <c r="P785" s="33" t="str">
        <f>HYPERLINK("https://my.zakupivli.pro/remote/dispatcher/state_purchase_view/55956705", "UA-2024-12-19-008061-a")</f>
        <v>UA-2024-12-19-008061-a</v>
      </c>
      <c r="Q785" s="354"/>
      <c r="R785" s="354">
        <v>9</v>
      </c>
      <c r="S785" s="119">
        <v>3441.63</v>
      </c>
      <c r="T785" s="355">
        <v>45664</v>
      </c>
      <c r="U785" s="354"/>
      <c r="V785" s="354"/>
    </row>
    <row r="786" spans="1:22" ht="78" x14ac:dyDescent="0.3">
      <c r="A786" s="354">
        <v>780</v>
      </c>
      <c r="B786" s="368" t="s">
        <v>21</v>
      </c>
      <c r="C786" s="44" t="s">
        <v>1663</v>
      </c>
      <c r="D786" s="354"/>
      <c r="E786" s="368" t="s">
        <v>75</v>
      </c>
      <c r="F786" s="225" t="s">
        <v>300</v>
      </c>
      <c r="G786" s="354" t="s">
        <v>186</v>
      </c>
      <c r="H786" s="354"/>
      <c r="I786" s="354">
        <v>174</v>
      </c>
      <c r="J786" s="119">
        <v>56083.5</v>
      </c>
      <c r="K786" s="354"/>
      <c r="L786" s="368">
        <v>174</v>
      </c>
      <c r="M786" s="119">
        <v>56083.5</v>
      </c>
      <c r="N786" s="6" t="s">
        <v>1664</v>
      </c>
      <c r="O786" s="355">
        <v>45646</v>
      </c>
      <c r="P786" s="33" t="str">
        <f>HYPERLINK("https://my.zakupivli.pro/remote/dispatcher/state_purchase_view/56008163", "UA-2024-12-20-005683-a")</f>
        <v>UA-2024-12-20-005683-a</v>
      </c>
      <c r="Q786" s="354"/>
      <c r="R786" s="354"/>
      <c r="S786" s="354"/>
      <c r="T786" s="355"/>
      <c r="U786" s="354" t="s">
        <v>1721</v>
      </c>
      <c r="V786" s="354"/>
    </row>
    <row r="787" spans="1:22" ht="93.6" x14ac:dyDescent="0.3">
      <c r="A787" s="354">
        <v>781</v>
      </c>
      <c r="B787" s="370" t="s">
        <v>21</v>
      </c>
      <c r="C787" s="44" t="s">
        <v>1665</v>
      </c>
      <c r="D787" s="354"/>
      <c r="E787" s="370" t="s">
        <v>75</v>
      </c>
      <c r="F787" s="44" t="s">
        <v>1218</v>
      </c>
      <c r="G787" s="354" t="s">
        <v>185</v>
      </c>
      <c r="H787" s="354"/>
      <c r="I787" s="354">
        <v>466</v>
      </c>
      <c r="J787" s="354">
        <v>5392.9358300000004</v>
      </c>
      <c r="K787" s="354"/>
      <c r="L787" s="370">
        <v>466</v>
      </c>
      <c r="M787" s="370">
        <v>5392.9358300000004</v>
      </c>
      <c r="N787" s="6" t="s">
        <v>1667</v>
      </c>
      <c r="O787" s="355">
        <v>45649</v>
      </c>
      <c r="P787" s="33" t="str">
        <f>HYPERLINK("https://my.zakupivli.pro/remote/dispatcher/state_purchase_view/56101118", "UA-2024-12-23-019298-a")</f>
        <v>UA-2024-12-23-019298-a</v>
      </c>
      <c r="Q787" s="354"/>
      <c r="R787" s="354"/>
      <c r="S787" s="354"/>
      <c r="T787" s="355"/>
      <c r="U787" s="354"/>
      <c r="V787" s="354"/>
    </row>
    <row r="788" spans="1:22" ht="78" x14ac:dyDescent="0.3">
      <c r="A788" s="354">
        <v>782</v>
      </c>
      <c r="B788" s="370" t="s">
        <v>21</v>
      </c>
      <c r="C788" s="44" t="s">
        <v>1663</v>
      </c>
      <c r="D788" s="354"/>
      <c r="E788" s="370" t="s">
        <v>75</v>
      </c>
      <c r="F788" s="44" t="s">
        <v>300</v>
      </c>
      <c r="G788" s="354" t="s">
        <v>186</v>
      </c>
      <c r="H788" s="354"/>
      <c r="I788" s="354">
        <v>166</v>
      </c>
      <c r="J788" s="119">
        <v>56083.5</v>
      </c>
      <c r="K788" s="354"/>
      <c r="L788" s="370">
        <v>166</v>
      </c>
      <c r="M788" s="119">
        <v>56083.5</v>
      </c>
      <c r="N788" s="6" t="s">
        <v>1668</v>
      </c>
      <c r="O788" s="371">
        <v>45649</v>
      </c>
      <c r="P788" s="33" t="str">
        <f>HYPERLINK("https://my.zakupivli.pro/remote/dispatcher/state_purchase_view/56084031", "UA-2024-12-23-011949-a")</f>
        <v>UA-2024-12-23-011949-a</v>
      </c>
      <c r="Q788" s="354"/>
      <c r="R788" s="354"/>
      <c r="S788" s="354"/>
      <c r="T788" s="355"/>
      <c r="U788" s="354"/>
      <c r="V788" s="354"/>
    </row>
    <row r="789" spans="1:22" ht="124.8" x14ac:dyDescent="0.3">
      <c r="A789" s="354">
        <v>783</v>
      </c>
      <c r="B789" s="370" t="s">
        <v>40</v>
      </c>
      <c r="C789" s="44" t="s">
        <v>1666</v>
      </c>
      <c r="D789" s="354"/>
      <c r="E789" s="370" t="s">
        <v>75</v>
      </c>
      <c r="F789" s="44" t="s">
        <v>73</v>
      </c>
      <c r="G789" s="354" t="s">
        <v>184</v>
      </c>
      <c r="H789" s="370">
        <v>71.073759999999993</v>
      </c>
      <c r="I789" s="354">
        <v>1</v>
      </c>
      <c r="J789" s="354">
        <v>71.073759999999993</v>
      </c>
      <c r="K789" s="370">
        <v>71.073759999999993</v>
      </c>
      <c r="L789" s="370">
        <v>1</v>
      </c>
      <c r="M789" s="370">
        <v>71.073759999999993</v>
      </c>
      <c r="N789" s="6" t="s">
        <v>1669</v>
      </c>
      <c r="O789" s="371">
        <v>45649</v>
      </c>
      <c r="P789" s="33" t="str">
        <f>HYPERLINK("https://my.zakupivli.pro/remote/dispatcher/state_purchase_view/56070139", "UA-2024-12-23-005679-a")</f>
        <v>UA-2024-12-23-005679-a</v>
      </c>
      <c r="Q789" s="370">
        <v>71.073759999999993</v>
      </c>
      <c r="R789" s="370">
        <v>1</v>
      </c>
      <c r="S789" s="370">
        <v>71.073759999999993</v>
      </c>
      <c r="T789" s="371">
        <v>45649</v>
      </c>
      <c r="U789" s="354"/>
      <c r="V789" s="370" t="s">
        <v>59</v>
      </c>
    </row>
    <row r="790" spans="1:22" ht="93.6" x14ac:dyDescent="0.3">
      <c r="A790" s="354">
        <v>784</v>
      </c>
      <c r="B790" s="372" t="s">
        <v>21</v>
      </c>
      <c r="C790" s="44" t="s">
        <v>1670</v>
      </c>
      <c r="D790" s="354"/>
      <c r="E790" s="372" t="s">
        <v>75</v>
      </c>
      <c r="F790" s="225" t="s">
        <v>895</v>
      </c>
      <c r="G790" s="354" t="s">
        <v>186</v>
      </c>
      <c r="H790" s="354"/>
      <c r="I790" s="354">
        <v>23</v>
      </c>
      <c r="J790" s="354">
        <v>623.995</v>
      </c>
      <c r="K790" s="354"/>
      <c r="L790" s="372">
        <v>23</v>
      </c>
      <c r="M790" s="372">
        <v>623.995</v>
      </c>
      <c r="N790" s="6" t="s">
        <v>1671</v>
      </c>
      <c r="O790" s="355">
        <v>45650</v>
      </c>
      <c r="P790" s="42" t="str">
        <f>HYPERLINK("https://my.zakupivli.pro/remote/dispatcher/state_purchase_view/56149918", "UA-2024-12-24-017756-a")</f>
        <v>UA-2024-12-24-017756-a</v>
      </c>
      <c r="Q790" s="354"/>
      <c r="R790" s="354">
        <v>23</v>
      </c>
      <c r="S790" s="354">
        <v>601.33299999999997</v>
      </c>
      <c r="T790" s="355">
        <v>45665</v>
      </c>
      <c r="U790" s="354"/>
      <c r="V790" s="354"/>
    </row>
    <row r="791" spans="1:22" ht="124.8" x14ac:dyDescent="0.3">
      <c r="A791" s="354">
        <v>785</v>
      </c>
      <c r="B791" s="373" t="s">
        <v>21</v>
      </c>
      <c r="C791" s="44" t="s">
        <v>1672</v>
      </c>
      <c r="D791" s="354"/>
      <c r="E791" s="373" t="s">
        <v>75</v>
      </c>
      <c r="F791" s="44" t="s">
        <v>1677</v>
      </c>
      <c r="G791" s="354" t="s">
        <v>186</v>
      </c>
      <c r="H791" s="354"/>
      <c r="I791" s="354">
        <v>89</v>
      </c>
      <c r="J791" s="354">
        <v>7504.1666599999999</v>
      </c>
      <c r="K791" s="354"/>
      <c r="L791" s="373">
        <v>89</v>
      </c>
      <c r="M791" s="373">
        <v>7504.1666599999999</v>
      </c>
      <c r="N791" s="6" t="s">
        <v>1678</v>
      </c>
      <c r="O791" s="355">
        <v>45651</v>
      </c>
      <c r="P791" s="33" t="str">
        <f>HYPERLINK("https://my.zakupivli.pro/remote/dispatcher/state_purchase_view/56178120", "UA-2024-12-25-010078-a")</f>
        <v>UA-2024-12-25-010078-a</v>
      </c>
      <c r="Q791" s="354"/>
      <c r="R791" s="354"/>
      <c r="S791" s="354"/>
      <c r="T791" s="355"/>
      <c r="U791" s="354"/>
      <c r="V791" s="354"/>
    </row>
    <row r="792" spans="1:22" ht="124.8" x14ac:dyDescent="0.3">
      <c r="A792" s="354">
        <v>786</v>
      </c>
      <c r="B792" s="373" t="s">
        <v>21</v>
      </c>
      <c r="C792" s="44" t="s">
        <v>1673</v>
      </c>
      <c r="D792" s="354"/>
      <c r="E792" s="373" t="s">
        <v>75</v>
      </c>
      <c r="F792" s="44" t="s">
        <v>1677</v>
      </c>
      <c r="G792" s="354" t="s">
        <v>186</v>
      </c>
      <c r="H792" s="354"/>
      <c r="I792" s="354">
        <v>4</v>
      </c>
      <c r="J792" s="119">
        <v>65</v>
      </c>
      <c r="K792" s="354"/>
      <c r="L792" s="373">
        <v>4</v>
      </c>
      <c r="M792" s="119">
        <v>65</v>
      </c>
      <c r="N792" s="6" t="s">
        <v>1678</v>
      </c>
      <c r="O792" s="374">
        <v>45651</v>
      </c>
      <c r="P792" s="33" t="str">
        <f>HYPERLINK("https://my.zakupivli.pro/remote/dispatcher/state_purchase_view/56178120", "UA-2024-12-25-010078-a")</f>
        <v>UA-2024-12-25-010078-a</v>
      </c>
      <c r="Q792" s="354"/>
      <c r="R792" s="354"/>
      <c r="S792" s="354"/>
      <c r="T792" s="355"/>
      <c r="U792" s="354"/>
      <c r="V792" s="354"/>
    </row>
    <row r="793" spans="1:22" ht="156" x14ac:dyDescent="0.3">
      <c r="A793" s="354">
        <v>787</v>
      </c>
      <c r="B793" s="373" t="s">
        <v>40</v>
      </c>
      <c r="C793" s="44" t="s">
        <v>1674</v>
      </c>
      <c r="D793" s="354"/>
      <c r="E793" s="373" t="s">
        <v>373</v>
      </c>
      <c r="F793" s="44" t="s">
        <v>41</v>
      </c>
      <c r="G793" s="354" t="s">
        <v>184</v>
      </c>
      <c r="H793" s="354">
        <v>66.326260000000005</v>
      </c>
      <c r="I793" s="354">
        <v>1</v>
      </c>
      <c r="J793" s="373">
        <v>66.326260000000005</v>
      </c>
      <c r="K793" s="373">
        <v>66.326260000000005</v>
      </c>
      <c r="L793" s="373">
        <v>1</v>
      </c>
      <c r="M793" s="373">
        <v>66.326260000000005</v>
      </c>
      <c r="N793" s="6" t="s">
        <v>1679</v>
      </c>
      <c r="O793" s="374">
        <v>45651</v>
      </c>
      <c r="P793" s="33" t="str">
        <f>HYPERLINK("https://my.zakupivli.pro/remote/dispatcher/state_purchase_view/56165938", "UA-2024-12-25-004680-a")</f>
        <v>UA-2024-12-25-004680-a</v>
      </c>
      <c r="Q793" s="373">
        <v>66.326260000000005</v>
      </c>
      <c r="R793" s="373">
        <v>1</v>
      </c>
      <c r="S793" s="373">
        <v>66.326260000000005</v>
      </c>
      <c r="T793" s="355">
        <v>45651</v>
      </c>
      <c r="U793" s="354"/>
      <c r="V793" s="373" t="s">
        <v>59</v>
      </c>
    </row>
    <row r="794" spans="1:22" ht="156" x14ac:dyDescent="0.3">
      <c r="A794" s="354">
        <v>788</v>
      </c>
      <c r="B794" s="373" t="s">
        <v>40</v>
      </c>
      <c r="C794" s="44" t="s">
        <v>1675</v>
      </c>
      <c r="D794" s="354"/>
      <c r="E794" s="373" t="s">
        <v>373</v>
      </c>
      <c r="F794" s="44" t="s">
        <v>885</v>
      </c>
      <c r="G794" s="354" t="s">
        <v>184</v>
      </c>
      <c r="H794" s="354">
        <v>672.66476</v>
      </c>
      <c r="I794" s="354">
        <v>1</v>
      </c>
      <c r="J794" s="373">
        <v>672.66476</v>
      </c>
      <c r="K794" s="373">
        <v>672.66476</v>
      </c>
      <c r="L794" s="373">
        <v>1</v>
      </c>
      <c r="M794" s="373">
        <v>672.66476</v>
      </c>
      <c r="N794" s="6" t="s">
        <v>1680</v>
      </c>
      <c r="O794" s="374">
        <v>45651</v>
      </c>
      <c r="P794" s="33" t="str">
        <f>HYPERLINK("https://my.zakupivli.pro/remote/dispatcher/state_purchase_view/56157266", "UA-2024-12-25-000652-a")</f>
        <v>UA-2024-12-25-000652-a</v>
      </c>
      <c r="Q794" s="373">
        <v>672.66476</v>
      </c>
      <c r="R794" s="373">
        <v>1</v>
      </c>
      <c r="S794" s="373">
        <v>672.66476</v>
      </c>
      <c r="T794" s="374">
        <v>45651</v>
      </c>
      <c r="U794" s="354"/>
      <c r="V794" s="373" t="s">
        <v>59</v>
      </c>
    </row>
    <row r="795" spans="1:22" ht="109.2" x14ac:dyDescent="0.3">
      <c r="A795" s="354">
        <v>789</v>
      </c>
      <c r="B795" s="373" t="s">
        <v>21</v>
      </c>
      <c r="C795" s="44" t="s">
        <v>1676</v>
      </c>
      <c r="D795" s="354"/>
      <c r="E795" s="373" t="s">
        <v>75</v>
      </c>
      <c r="F795" s="44" t="s">
        <v>36</v>
      </c>
      <c r="G795" s="354" t="s">
        <v>186</v>
      </c>
      <c r="H795" s="354"/>
      <c r="I795" s="354">
        <v>139</v>
      </c>
      <c r="J795" s="354">
        <v>12680.833329999999</v>
      </c>
      <c r="K795" s="354"/>
      <c r="L795" s="373">
        <v>139</v>
      </c>
      <c r="M795" s="373">
        <v>12680.833329999999</v>
      </c>
      <c r="N795" s="6" t="s">
        <v>1681</v>
      </c>
      <c r="O795" s="374">
        <v>45651</v>
      </c>
      <c r="P795" s="33" t="str">
        <f>HYPERLINK("https://my.zakupivli.pro/remote/dispatcher/state_purchase_view/56156900", "UA-2024-12-25-000472-a")</f>
        <v>UA-2024-12-25-000472-a</v>
      </c>
      <c r="Q795" s="354"/>
      <c r="R795" s="354"/>
      <c r="S795" s="354"/>
      <c r="T795" s="355"/>
      <c r="U795" s="354"/>
      <c r="V795" s="354"/>
    </row>
    <row r="796" spans="1:22" ht="62.4" x14ac:dyDescent="0.3">
      <c r="A796" s="354">
        <v>790</v>
      </c>
      <c r="B796" s="376" t="s">
        <v>21</v>
      </c>
      <c r="C796" s="44" t="s">
        <v>1682</v>
      </c>
      <c r="D796" s="354"/>
      <c r="E796" s="376" t="s">
        <v>75</v>
      </c>
      <c r="F796" s="44" t="s">
        <v>30</v>
      </c>
      <c r="G796" s="354" t="s">
        <v>186</v>
      </c>
      <c r="H796" s="354"/>
      <c r="I796" s="354">
        <v>42</v>
      </c>
      <c r="J796" s="354">
        <v>6340.9613900000004</v>
      </c>
      <c r="K796" s="354"/>
      <c r="L796" s="376">
        <v>42</v>
      </c>
      <c r="M796" s="376">
        <v>6340.9613900000004</v>
      </c>
      <c r="N796" s="6" t="s">
        <v>1688</v>
      </c>
      <c r="O796" s="355">
        <v>45652</v>
      </c>
      <c r="P796" s="33" t="str">
        <f>HYPERLINK("https://my.zakupivli.pro/remote/dispatcher/state_purchase_view/56211568", "UA-2024-12-26-010326-a")</f>
        <v>UA-2024-12-26-010326-a</v>
      </c>
      <c r="Q796" s="354"/>
      <c r="R796" s="354"/>
      <c r="S796" s="354"/>
      <c r="T796" s="355"/>
      <c r="U796" s="354"/>
      <c r="V796" s="354"/>
    </row>
    <row r="797" spans="1:22" ht="62.4" x14ac:dyDescent="0.3">
      <c r="A797" s="354">
        <v>791</v>
      </c>
      <c r="B797" s="376" t="s">
        <v>21</v>
      </c>
      <c r="C797" s="44" t="s">
        <v>1683</v>
      </c>
      <c r="D797" s="354"/>
      <c r="E797" s="376" t="s">
        <v>75</v>
      </c>
      <c r="F797" s="44" t="s">
        <v>30</v>
      </c>
      <c r="G797" s="354" t="s">
        <v>186</v>
      </c>
      <c r="H797" s="354"/>
      <c r="I797" s="354">
        <v>100</v>
      </c>
      <c r="J797" s="354">
        <v>6085.1333299999997</v>
      </c>
      <c r="K797" s="354"/>
      <c r="L797" s="376">
        <v>100</v>
      </c>
      <c r="M797" s="376">
        <v>6085.1333299999997</v>
      </c>
      <c r="N797" s="6" t="s">
        <v>1689</v>
      </c>
      <c r="O797" s="375">
        <v>45652</v>
      </c>
      <c r="P797" s="33" t="str">
        <f>HYPERLINK("https://my.zakupivli.pro/remote/dispatcher/state_purchase_view/56211568", "UA-2024-12-26-010326-a")</f>
        <v>UA-2024-12-26-010326-a</v>
      </c>
      <c r="Q797" s="354"/>
      <c r="R797" s="354"/>
      <c r="S797" s="354"/>
      <c r="T797" s="355"/>
      <c r="U797" s="354"/>
      <c r="V797" s="354"/>
    </row>
    <row r="798" spans="1:22" ht="124.8" x14ac:dyDescent="0.3">
      <c r="A798" s="354">
        <v>792</v>
      </c>
      <c r="B798" s="354" t="s">
        <v>40</v>
      </c>
      <c r="C798" s="44" t="s">
        <v>1684</v>
      </c>
      <c r="D798" s="354"/>
      <c r="E798" s="376" t="s">
        <v>373</v>
      </c>
      <c r="F798" s="44" t="s">
        <v>885</v>
      </c>
      <c r="G798" s="354" t="s">
        <v>184</v>
      </c>
      <c r="H798" s="354">
        <v>55.763150000000003</v>
      </c>
      <c r="I798" s="354">
        <v>1</v>
      </c>
      <c r="J798" s="376">
        <v>55.763150000000003</v>
      </c>
      <c r="K798" s="376">
        <v>55.763150000000003</v>
      </c>
      <c r="L798" s="376">
        <v>1</v>
      </c>
      <c r="M798" s="376">
        <v>55.763150000000003</v>
      </c>
      <c r="N798" s="6" t="s">
        <v>1690</v>
      </c>
      <c r="O798" s="375">
        <v>45652</v>
      </c>
      <c r="P798" s="33" t="str">
        <f>HYPERLINK("https://my.zakupivli.pro/remote/dispatcher/state_purchase_view/56208279", "UA-2024-12-26-008861-a")</f>
        <v>UA-2024-12-26-008861-a</v>
      </c>
      <c r="Q798" s="376">
        <v>55.763150000000003</v>
      </c>
      <c r="R798" s="376">
        <v>1</v>
      </c>
      <c r="S798" s="376">
        <v>55.763150000000003</v>
      </c>
      <c r="T798" s="355">
        <v>45652</v>
      </c>
      <c r="U798" s="354"/>
      <c r="V798" s="376" t="s">
        <v>59</v>
      </c>
    </row>
    <row r="799" spans="1:22" ht="62.4" x14ac:dyDescent="0.3">
      <c r="A799" s="354">
        <v>793</v>
      </c>
      <c r="B799" s="376" t="s">
        <v>21</v>
      </c>
      <c r="C799" s="44" t="s">
        <v>1635</v>
      </c>
      <c r="D799" s="354"/>
      <c r="E799" s="376" t="s">
        <v>373</v>
      </c>
      <c r="F799" s="44" t="s">
        <v>1636</v>
      </c>
      <c r="G799" s="354" t="s">
        <v>185</v>
      </c>
      <c r="H799" s="119">
        <v>43.75</v>
      </c>
      <c r="I799" s="354">
        <v>1</v>
      </c>
      <c r="J799" s="119">
        <v>43.75</v>
      </c>
      <c r="K799" s="119">
        <v>43.75</v>
      </c>
      <c r="L799" s="376">
        <v>1</v>
      </c>
      <c r="M799" s="119">
        <v>43.75</v>
      </c>
      <c r="N799" s="6" t="s">
        <v>1691</v>
      </c>
      <c r="O799" s="375">
        <v>45652</v>
      </c>
      <c r="P799" s="33" t="str">
        <f>HYPERLINK("https://my.zakupivli.pro/remote/dispatcher/state_purchase_view/56204817", "UA-2024-12-26-007271-a")</f>
        <v>UA-2024-12-26-007271-a</v>
      </c>
      <c r="Q799" s="119">
        <v>43.75</v>
      </c>
      <c r="R799" s="376">
        <v>1</v>
      </c>
      <c r="S799" s="119">
        <v>43.75</v>
      </c>
      <c r="T799" s="375">
        <v>45652</v>
      </c>
      <c r="U799" s="354"/>
      <c r="V799" s="376" t="s">
        <v>59</v>
      </c>
    </row>
    <row r="800" spans="1:22" ht="62.4" x14ac:dyDescent="0.3">
      <c r="A800" s="354">
        <v>794</v>
      </c>
      <c r="B800" s="376" t="s">
        <v>21</v>
      </c>
      <c r="C800" s="44" t="s">
        <v>1685</v>
      </c>
      <c r="D800" s="354"/>
      <c r="E800" s="376" t="s">
        <v>373</v>
      </c>
      <c r="F800" s="44" t="s">
        <v>413</v>
      </c>
      <c r="G800" s="354" t="s">
        <v>185</v>
      </c>
      <c r="H800" s="354">
        <v>71.625</v>
      </c>
      <c r="I800" s="354">
        <v>1</v>
      </c>
      <c r="J800" s="376">
        <v>71.625</v>
      </c>
      <c r="K800" s="376">
        <v>71.625</v>
      </c>
      <c r="L800" s="376">
        <v>1</v>
      </c>
      <c r="M800" s="376">
        <v>71.625</v>
      </c>
      <c r="N800" s="6" t="s">
        <v>1692</v>
      </c>
      <c r="O800" s="375">
        <v>45652</v>
      </c>
      <c r="P800" s="33" t="str">
        <f>HYPERLINK("https://my.zakupivli.pro/remote/dispatcher/state_purchase_view/56204127", "UA-2024-12-26-006943-a")</f>
        <v>UA-2024-12-26-006943-a</v>
      </c>
      <c r="Q800" s="376">
        <v>71.625</v>
      </c>
      <c r="R800" s="376">
        <v>1</v>
      </c>
      <c r="S800" s="376">
        <v>71.625</v>
      </c>
      <c r="T800" s="375">
        <v>45652</v>
      </c>
      <c r="U800" s="354"/>
      <c r="V800" s="376" t="s">
        <v>59</v>
      </c>
    </row>
    <row r="801" spans="1:22" ht="78" x14ac:dyDescent="0.3">
      <c r="A801" s="354">
        <v>795</v>
      </c>
      <c r="B801" s="376" t="s">
        <v>21</v>
      </c>
      <c r="C801" s="44" t="s">
        <v>1686</v>
      </c>
      <c r="D801" s="354"/>
      <c r="E801" s="376" t="s">
        <v>75</v>
      </c>
      <c r="F801" s="44" t="s">
        <v>1687</v>
      </c>
      <c r="G801" s="354" t="s">
        <v>186</v>
      </c>
      <c r="H801" s="354"/>
      <c r="I801" s="354">
        <v>10</v>
      </c>
      <c r="J801" s="354">
        <v>367.95958000000002</v>
      </c>
      <c r="K801" s="354"/>
      <c r="L801" s="376">
        <v>10</v>
      </c>
      <c r="M801" s="376">
        <v>367.95958000000002</v>
      </c>
      <c r="N801" s="6" t="s">
        <v>1693</v>
      </c>
      <c r="O801" s="375">
        <v>45652</v>
      </c>
      <c r="P801" s="33" t="str">
        <f>HYPERLINK("https://my.zakupivli.pro/remote/dispatcher/state_purchase_view/56200541", "UA-2024-12-26-005498-a")</f>
        <v>UA-2024-12-26-005498-a</v>
      </c>
      <c r="Q801" s="354"/>
      <c r="R801" s="354"/>
      <c r="S801" s="354"/>
      <c r="T801" s="355"/>
      <c r="U801" s="354"/>
      <c r="V801" s="354"/>
    </row>
    <row r="802" spans="1:22" ht="109.2" x14ac:dyDescent="0.3">
      <c r="A802" s="354">
        <v>796</v>
      </c>
      <c r="B802" s="377" t="s">
        <v>21</v>
      </c>
      <c r="C802" s="44" t="s">
        <v>1694</v>
      </c>
      <c r="D802" s="354"/>
      <c r="E802" s="377" t="s">
        <v>75</v>
      </c>
      <c r="F802" s="44" t="s">
        <v>1695</v>
      </c>
      <c r="G802" s="354" t="s">
        <v>186</v>
      </c>
      <c r="H802" s="354"/>
      <c r="I802" s="354">
        <v>12</v>
      </c>
      <c r="J802" s="119">
        <v>1073.48</v>
      </c>
      <c r="K802" s="354"/>
      <c r="L802" s="377">
        <v>12</v>
      </c>
      <c r="M802" s="119">
        <v>1073.48</v>
      </c>
      <c r="N802" s="6" t="s">
        <v>1696</v>
      </c>
      <c r="O802" s="355">
        <v>45656</v>
      </c>
      <c r="P802" s="33" t="str">
        <f>HYPERLINK("https://my.zakupivli.pro/remote/dispatcher/state_purchase_view/56282686", "UA-2024-12-30-006675-a")</f>
        <v>UA-2024-12-30-006675-a</v>
      </c>
      <c r="Q802" s="354"/>
      <c r="R802" s="354"/>
      <c r="S802" s="354"/>
      <c r="T802" s="355"/>
      <c r="U802" s="354"/>
      <c r="V802" s="354"/>
    </row>
    <row r="803" spans="1:22" ht="140.4" x14ac:dyDescent="0.3">
      <c r="A803" s="354">
        <v>797</v>
      </c>
      <c r="B803" s="378" t="s">
        <v>40</v>
      </c>
      <c r="C803" s="44" t="s">
        <v>1697</v>
      </c>
      <c r="D803" s="354"/>
      <c r="E803" s="378" t="s">
        <v>373</v>
      </c>
      <c r="F803" s="44" t="s">
        <v>885</v>
      </c>
      <c r="G803" s="378" t="s">
        <v>184</v>
      </c>
      <c r="H803" s="354">
        <v>111.44601</v>
      </c>
      <c r="I803" s="354">
        <v>1</v>
      </c>
      <c r="J803" s="378">
        <v>111.44601</v>
      </c>
      <c r="K803" s="378">
        <v>111.44601</v>
      </c>
      <c r="L803" s="378">
        <v>1</v>
      </c>
      <c r="M803" s="378">
        <v>111.44601</v>
      </c>
      <c r="N803" s="6" t="s">
        <v>1703</v>
      </c>
      <c r="O803" s="355">
        <v>45660</v>
      </c>
      <c r="P803" s="33" t="str">
        <f>HYPERLINK("https://my.zakupivli.pro/remote/dispatcher/state_purchase_view/56334714", "UA-2025-01-03-000698-a")</f>
        <v>UA-2025-01-03-000698-a</v>
      </c>
      <c r="Q803" s="378">
        <v>111.44601</v>
      </c>
      <c r="R803" s="378">
        <v>1</v>
      </c>
      <c r="S803" s="378">
        <v>111.44601</v>
      </c>
      <c r="T803" s="355">
        <v>45657</v>
      </c>
      <c r="U803" s="354"/>
      <c r="V803" s="378" t="s">
        <v>59</v>
      </c>
    </row>
    <row r="804" spans="1:22" ht="140.4" x14ac:dyDescent="0.3">
      <c r="A804" s="354">
        <v>798</v>
      </c>
      <c r="B804" s="378" t="s">
        <v>40</v>
      </c>
      <c r="C804" s="44" t="s">
        <v>1698</v>
      </c>
      <c r="D804" s="354"/>
      <c r="E804" s="378" t="s">
        <v>373</v>
      </c>
      <c r="F804" s="44" t="s">
        <v>885</v>
      </c>
      <c r="G804" s="378" t="s">
        <v>184</v>
      </c>
      <c r="H804" s="354">
        <v>47.140090000000001</v>
      </c>
      <c r="I804" s="354">
        <v>1</v>
      </c>
      <c r="J804" s="378">
        <v>47.140090000000001</v>
      </c>
      <c r="K804" s="378">
        <v>47.140090000000001</v>
      </c>
      <c r="L804" s="378">
        <v>1</v>
      </c>
      <c r="M804" s="378">
        <v>47.140090000000001</v>
      </c>
      <c r="N804" s="6" t="s">
        <v>1704</v>
      </c>
      <c r="O804" s="379">
        <v>45660</v>
      </c>
      <c r="P804" s="33" t="str">
        <f>HYPERLINK("https://my.zakupivli.pro/remote/dispatcher/state_purchase_view/56334419", "UA-2025-01-03-000567-a")</f>
        <v>UA-2025-01-03-000567-a</v>
      </c>
      <c r="Q804" s="378">
        <v>47.140090000000001</v>
      </c>
      <c r="R804" s="378">
        <v>1</v>
      </c>
      <c r="S804" s="378">
        <v>47.140090000000001</v>
      </c>
      <c r="T804" s="379">
        <v>45657</v>
      </c>
      <c r="U804" s="354"/>
      <c r="V804" s="378" t="s">
        <v>59</v>
      </c>
    </row>
    <row r="805" spans="1:22" ht="62.4" x14ac:dyDescent="0.3">
      <c r="A805" s="354">
        <v>799</v>
      </c>
      <c r="B805" s="378" t="s">
        <v>40</v>
      </c>
      <c r="C805" s="44" t="s">
        <v>1699</v>
      </c>
      <c r="D805" s="354"/>
      <c r="E805" s="378" t="s">
        <v>373</v>
      </c>
      <c r="F805" s="44" t="s">
        <v>885</v>
      </c>
      <c r="G805" s="378" t="s">
        <v>184</v>
      </c>
      <c r="H805" s="354">
        <v>662.97909000000004</v>
      </c>
      <c r="I805" s="354">
        <v>1</v>
      </c>
      <c r="J805" s="378">
        <v>662.97909000000004</v>
      </c>
      <c r="K805" s="378">
        <v>662.97909000000004</v>
      </c>
      <c r="L805" s="378">
        <v>1</v>
      </c>
      <c r="M805" s="378">
        <v>662.97909000000004</v>
      </c>
      <c r="N805" s="6" t="s">
        <v>1705</v>
      </c>
      <c r="O805" s="355">
        <v>45659</v>
      </c>
      <c r="P805" s="33" t="str">
        <f>HYPERLINK("https://my.zakupivli.pro/remote/dispatcher/state_purchase_view/56333751", "UA-2025-01-03-000294-a")</f>
        <v>UA-2025-01-03-000294-a</v>
      </c>
      <c r="Q805" s="378">
        <v>662.97909000000004</v>
      </c>
      <c r="R805" s="378">
        <v>1</v>
      </c>
      <c r="S805" s="378">
        <v>662.97909000000004</v>
      </c>
      <c r="T805" s="379">
        <v>45659</v>
      </c>
      <c r="U805" s="354"/>
      <c r="V805" s="378" t="s">
        <v>59</v>
      </c>
    </row>
    <row r="806" spans="1:22" ht="140.4" x14ac:dyDescent="0.3">
      <c r="A806" s="354">
        <v>800</v>
      </c>
      <c r="B806" s="378" t="s">
        <v>40</v>
      </c>
      <c r="C806" s="44" t="s">
        <v>1700</v>
      </c>
      <c r="D806" s="354"/>
      <c r="E806" s="378" t="s">
        <v>373</v>
      </c>
      <c r="F806" s="44" t="s">
        <v>885</v>
      </c>
      <c r="G806" s="378" t="s">
        <v>184</v>
      </c>
      <c r="H806" s="354">
        <v>514.31356000000005</v>
      </c>
      <c r="I806" s="354">
        <v>1</v>
      </c>
      <c r="J806" s="378">
        <v>514.31356000000005</v>
      </c>
      <c r="K806" s="378">
        <v>514.31356000000005</v>
      </c>
      <c r="L806" s="378">
        <v>1</v>
      </c>
      <c r="M806" s="378">
        <v>514.31356000000005</v>
      </c>
      <c r="N806" s="6" t="s">
        <v>1706</v>
      </c>
      <c r="O806" s="379">
        <v>45659</v>
      </c>
      <c r="P806" s="33" t="str">
        <f>HYPERLINK("https://my.zakupivli.pro/remote/dispatcher/state_purchase_view/56325016", "UA-2025-01-02-003891-a")</f>
        <v>UA-2025-01-02-003891-a</v>
      </c>
      <c r="Q806" s="378">
        <v>514.31356000000005</v>
      </c>
      <c r="R806" s="378">
        <v>1</v>
      </c>
      <c r="S806" s="378">
        <v>514.31356000000005</v>
      </c>
      <c r="T806" s="379">
        <v>45659</v>
      </c>
      <c r="U806" s="354"/>
      <c r="V806" s="378" t="s">
        <v>59</v>
      </c>
    </row>
    <row r="807" spans="1:22" ht="156" x14ac:dyDescent="0.3">
      <c r="A807" s="354">
        <v>801</v>
      </c>
      <c r="B807" s="378" t="s">
        <v>40</v>
      </c>
      <c r="C807" s="44" t="s">
        <v>1701</v>
      </c>
      <c r="D807" s="354"/>
      <c r="E807" s="378" t="s">
        <v>373</v>
      </c>
      <c r="F807" s="44" t="s">
        <v>885</v>
      </c>
      <c r="G807" s="378" t="s">
        <v>184</v>
      </c>
      <c r="H807" s="354">
        <v>62.57461</v>
      </c>
      <c r="I807" s="354">
        <v>1</v>
      </c>
      <c r="J807" s="378">
        <v>62.57461</v>
      </c>
      <c r="K807" s="378">
        <v>62.57461</v>
      </c>
      <c r="L807" s="378">
        <v>1</v>
      </c>
      <c r="M807" s="378">
        <v>62.57461</v>
      </c>
      <c r="N807" s="6" t="s">
        <v>1707</v>
      </c>
      <c r="O807" s="355">
        <v>45659</v>
      </c>
      <c r="P807" s="33" t="str">
        <f>HYPERLINK("https://my.zakupivli.pro/remote/dispatcher/state_purchase_view/56319993", "UA-2025-01-02-001786-a")</f>
        <v>UA-2025-01-02-001786-a</v>
      </c>
      <c r="Q807" s="378">
        <v>62.57461</v>
      </c>
      <c r="R807" s="378">
        <v>1</v>
      </c>
      <c r="S807" s="378">
        <v>62.57461</v>
      </c>
      <c r="T807" s="379">
        <v>45657</v>
      </c>
      <c r="U807" s="354"/>
      <c r="V807" s="378" t="s">
        <v>59</v>
      </c>
    </row>
    <row r="808" spans="1:22" ht="171.6" x14ac:dyDescent="0.3">
      <c r="A808" s="354">
        <v>802</v>
      </c>
      <c r="B808" s="378" t="s">
        <v>40</v>
      </c>
      <c r="C808" s="44" t="s">
        <v>1702</v>
      </c>
      <c r="D808" s="354"/>
      <c r="E808" s="378" t="s">
        <v>373</v>
      </c>
      <c r="F808" s="44" t="s">
        <v>41</v>
      </c>
      <c r="G808" s="378" t="s">
        <v>184</v>
      </c>
      <c r="H808" s="354">
        <v>45.181690000000003</v>
      </c>
      <c r="I808" s="354">
        <v>1</v>
      </c>
      <c r="J808" s="378">
        <v>45.181690000000003</v>
      </c>
      <c r="K808" s="378">
        <v>45.181690000000003</v>
      </c>
      <c r="L808" s="378">
        <v>1</v>
      </c>
      <c r="M808" s="378">
        <v>45.181690000000003</v>
      </c>
      <c r="N808" s="6" t="s">
        <v>1708</v>
      </c>
      <c r="O808" s="379">
        <v>45659</v>
      </c>
      <c r="P808" s="33" t="str">
        <f>HYPERLINK("https://my.zakupivli.pro/remote/dispatcher/state_purchase_view/56319028", "UA-2025-01-02-001375-a")</f>
        <v>UA-2025-01-02-001375-a</v>
      </c>
      <c r="Q808" s="378">
        <v>45.181690000000003</v>
      </c>
      <c r="R808" s="378">
        <v>1</v>
      </c>
      <c r="S808" s="378">
        <v>45.181690000000003</v>
      </c>
      <c r="T808" s="379">
        <v>45657</v>
      </c>
      <c r="U808" s="354"/>
      <c r="V808" s="378" t="s">
        <v>59</v>
      </c>
    </row>
    <row r="809" spans="1:22" ht="46.8" x14ac:dyDescent="0.3">
      <c r="A809" s="354">
        <v>803</v>
      </c>
      <c r="B809" s="378" t="s">
        <v>21</v>
      </c>
      <c r="C809" s="44" t="s">
        <v>1709</v>
      </c>
      <c r="D809" s="354"/>
      <c r="E809" s="378" t="s">
        <v>75</v>
      </c>
      <c r="F809" s="225" t="s">
        <v>176</v>
      </c>
      <c r="G809" s="354" t="s">
        <v>186</v>
      </c>
      <c r="H809" s="354"/>
      <c r="I809" s="354">
        <v>8</v>
      </c>
      <c r="J809" s="354">
        <v>6134.9338399999997</v>
      </c>
      <c r="K809" s="354"/>
      <c r="L809" s="378">
        <v>8</v>
      </c>
      <c r="M809" s="378">
        <v>6134.9338399999997</v>
      </c>
      <c r="N809" s="6" t="s">
        <v>1714</v>
      </c>
      <c r="O809" s="379">
        <v>45659</v>
      </c>
      <c r="P809" s="33" t="str">
        <f>HYPERLINK("https://my.zakupivli.pro/remote/dispatcher/state_purchase_view/56343850", "UA-2025-01-03-004740-a")</f>
        <v>UA-2025-01-03-004740-a</v>
      </c>
      <c r="Q809" s="354"/>
      <c r="R809" s="354"/>
      <c r="S809" s="354"/>
      <c r="T809" s="355"/>
      <c r="U809" s="354" t="s">
        <v>1719</v>
      </c>
      <c r="V809" s="354"/>
    </row>
    <row r="810" spans="1:22" ht="62.4" x14ac:dyDescent="0.3">
      <c r="A810" s="354">
        <v>804</v>
      </c>
      <c r="B810" s="378" t="s">
        <v>21</v>
      </c>
      <c r="C810" s="44" t="s">
        <v>1710</v>
      </c>
      <c r="D810" s="354"/>
      <c r="E810" s="378" t="s">
        <v>75</v>
      </c>
      <c r="F810" s="225" t="s">
        <v>970</v>
      </c>
      <c r="G810" s="354" t="s">
        <v>186</v>
      </c>
      <c r="H810" s="354"/>
      <c r="I810" s="354">
        <v>7</v>
      </c>
      <c r="J810" s="119">
        <v>701.4</v>
      </c>
      <c r="K810" s="354"/>
      <c r="L810" s="378">
        <v>7</v>
      </c>
      <c r="M810" s="119">
        <v>701.4</v>
      </c>
      <c r="N810" s="6" t="s">
        <v>1715</v>
      </c>
      <c r="O810" s="379">
        <v>45659</v>
      </c>
      <c r="P810" s="33" t="str">
        <f>HYPERLINK("https://my.zakupivli.pro/remote/dispatcher/state_purchase_view/56341932", "UA-2025-01-03-003984-a")</f>
        <v>UA-2025-01-03-003984-a</v>
      </c>
      <c r="Q810" s="354"/>
      <c r="R810" s="354"/>
      <c r="S810" s="354"/>
      <c r="T810" s="355"/>
      <c r="U810" s="354"/>
      <c r="V810" s="354"/>
    </row>
    <row r="811" spans="1:22" ht="62.4" x14ac:dyDescent="0.3">
      <c r="A811" s="354">
        <v>805</v>
      </c>
      <c r="B811" s="378" t="s">
        <v>21</v>
      </c>
      <c r="C811" s="44" t="s">
        <v>1711</v>
      </c>
      <c r="D811" s="354"/>
      <c r="E811" s="378" t="s">
        <v>75</v>
      </c>
      <c r="F811" s="225" t="s">
        <v>970</v>
      </c>
      <c r="G811" s="354" t="s">
        <v>186</v>
      </c>
      <c r="H811" s="354"/>
      <c r="I811" s="354">
        <v>7</v>
      </c>
      <c r="J811" s="354">
        <v>225.74142000000001</v>
      </c>
      <c r="K811" s="354"/>
      <c r="L811" s="378">
        <v>7</v>
      </c>
      <c r="M811" s="378">
        <v>225.74142000000001</v>
      </c>
      <c r="N811" s="6" t="s">
        <v>1716</v>
      </c>
      <c r="O811" s="379">
        <v>45659</v>
      </c>
      <c r="P811" s="33" t="str">
        <f>HYPERLINK("https://my.zakupivli.pro/remote/dispatcher/state_purchase_view/56341932", "UA-2025-01-03-003984-a")</f>
        <v>UA-2025-01-03-003984-a</v>
      </c>
      <c r="Q811" s="354"/>
      <c r="R811" s="354"/>
      <c r="S811" s="354"/>
      <c r="T811" s="355"/>
      <c r="U811" s="354"/>
      <c r="V811" s="354"/>
    </row>
    <row r="812" spans="1:22" ht="62.4" x14ac:dyDescent="0.3">
      <c r="A812" s="354">
        <v>806</v>
      </c>
      <c r="B812" s="378" t="s">
        <v>21</v>
      </c>
      <c r="C812" s="44" t="s">
        <v>1712</v>
      </c>
      <c r="D812" s="354"/>
      <c r="E812" s="378" t="s">
        <v>75</v>
      </c>
      <c r="F812" s="225" t="s">
        <v>970</v>
      </c>
      <c r="G812" s="354" t="s">
        <v>186</v>
      </c>
      <c r="H812" s="354"/>
      <c r="I812" s="354">
        <v>28</v>
      </c>
      <c r="J812" s="354">
        <v>137.03142</v>
      </c>
      <c r="K812" s="354"/>
      <c r="L812" s="378">
        <v>28</v>
      </c>
      <c r="M812" s="378">
        <v>137.03142</v>
      </c>
      <c r="N812" s="6" t="s">
        <v>1717</v>
      </c>
      <c r="O812" s="379">
        <v>45659</v>
      </c>
      <c r="P812" s="33" t="str">
        <f>HYPERLINK("https://my.zakupivli.pro/remote/dispatcher/state_purchase_view/56341932", "UA-2025-01-03-003984-a")</f>
        <v>UA-2025-01-03-003984-a</v>
      </c>
      <c r="Q812" s="354"/>
      <c r="R812" s="354"/>
      <c r="S812" s="354"/>
      <c r="T812" s="355"/>
      <c r="U812" s="354"/>
      <c r="V812" s="354"/>
    </row>
    <row r="813" spans="1:22" ht="62.4" x14ac:dyDescent="0.3">
      <c r="A813" s="354">
        <v>807</v>
      </c>
      <c r="B813" s="378" t="s">
        <v>21</v>
      </c>
      <c r="C813" s="44" t="s">
        <v>1713</v>
      </c>
      <c r="D813" s="354"/>
      <c r="E813" s="378" t="s">
        <v>75</v>
      </c>
      <c r="F813" s="225" t="s">
        <v>970</v>
      </c>
      <c r="G813" s="354" t="s">
        <v>186</v>
      </c>
      <c r="H813" s="354"/>
      <c r="I813" s="354">
        <v>4</v>
      </c>
      <c r="J813" s="119">
        <v>86.76</v>
      </c>
      <c r="K813" s="354"/>
      <c r="L813" s="378">
        <v>4</v>
      </c>
      <c r="M813" s="119">
        <v>86.76</v>
      </c>
      <c r="N813" s="6" t="s">
        <v>1718</v>
      </c>
      <c r="O813" s="379">
        <v>45659</v>
      </c>
      <c r="P813" s="33" t="str">
        <f>HYPERLINK("https://my.zakupivli.pro/remote/dispatcher/state_purchase_view/56341932", "UA-2025-01-03-003984-a")</f>
        <v>UA-2025-01-03-003984-a</v>
      </c>
      <c r="Q813" s="354"/>
      <c r="R813" s="354"/>
      <c r="S813" s="354"/>
      <c r="T813" s="355"/>
      <c r="U813" s="354"/>
      <c r="V813" s="354"/>
    </row>
    <row r="814" spans="1:22" ht="46.8" x14ac:dyDescent="0.3">
      <c r="A814" s="354">
        <v>808</v>
      </c>
      <c r="B814" s="380" t="s">
        <v>21</v>
      </c>
      <c r="C814" s="44" t="s">
        <v>1709</v>
      </c>
      <c r="D814" s="380"/>
      <c r="E814" s="380" t="s">
        <v>75</v>
      </c>
      <c r="F814" s="225" t="s">
        <v>176</v>
      </c>
      <c r="G814" s="380" t="s">
        <v>186</v>
      </c>
      <c r="H814" s="380"/>
      <c r="I814" s="380">
        <v>8</v>
      </c>
      <c r="J814" s="354">
        <v>6617.085</v>
      </c>
      <c r="K814" s="354"/>
      <c r="L814" s="380">
        <v>8</v>
      </c>
      <c r="M814" s="380">
        <v>6617.085</v>
      </c>
      <c r="N814" s="6" t="s">
        <v>1720</v>
      </c>
      <c r="O814" s="355">
        <v>45664</v>
      </c>
      <c r="P814" s="33" t="str">
        <f>HYPERLINK("https://my.zakupivli.pro/remote/dispatcher/state_purchase_view/56380662", "UA-2025-01-07-003941-a")</f>
        <v>UA-2025-01-07-003941-a</v>
      </c>
      <c r="Q814" s="354"/>
      <c r="R814" s="354"/>
      <c r="S814" s="354"/>
      <c r="T814" s="355"/>
      <c r="U814" s="354"/>
      <c r="V814" s="354"/>
    </row>
    <row r="815" spans="1:22" ht="140.4" x14ac:dyDescent="0.3">
      <c r="A815" s="354">
        <v>809</v>
      </c>
      <c r="B815" s="382" t="s">
        <v>40</v>
      </c>
      <c r="C815" s="44" t="s">
        <v>1722</v>
      </c>
      <c r="D815" s="354"/>
      <c r="E815" s="382" t="s">
        <v>373</v>
      </c>
      <c r="F815" s="44" t="s">
        <v>41</v>
      </c>
      <c r="G815" s="354" t="s">
        <v>184</v>
      </c>
      <c r="H815" s="354">
        <v>448.03685999999999</v>
      </c>
      <c r="I815" s="354">
        <v>1</v>
      </c>
      <c r="J815" s="382">
        <v>448.03685999999999</v>
      </c>
      <c r="K815" s="382">
        <v>448.03685999999999</v>
      </c>
      <c r="L815" s="382">
        <v>1</v>
      </c>
      <c r="M815" s="382">
        <v>448.03685999999999</v>
      </c>
      <c r="N815" s="6" t="s">
        <v>1725</v>
      </c>
      <c r="O815" s="355">
        <v>45665</v>
      </c>
      <c r="P815" s="33" t="str">
        <f>HYPERLINK("https://my.zakupivli.pro/remote/dispatcher/state_purchase_view/56409739", "UA-2025-01-08-007829-a")</f>
        <v>UA-2025-01-08-007829-a</v>
      </c>
      <c r="Q815" s="382">
        <v>448.03685999999999</v>
      </c>
      <c r="R815" s="382">
        <v>1</v>
      </c>
      <c r="S815" s="382">
        <v>448.03685999999999</v>
      </c>
      <c r="T815" s="355">
        <v>45665</v>
      </c>
      <c r="U815" s="354"/>
      <c r="V815" s="382" t="s">
        <v>59</v>
      </c>
    </row>
    <row r="816" spans="1:22" ht="46.8" x14ac:dyDescent="0.3">
      <c r="A816" s="354">
        <v>810</v>
      </c>
      <c r="B816" s="382" t="s">
        <v>21</v>
      </c>
      <c r="C816" s="44" t="s">
        <v>1723</v>
      </c>
      <c r="D816" s="354"/>
      <c r="E816" s="382" t="s">
        <v>75</v>
      </c>
      <c r="F816" s="44" t="s">
        <v>1220</v>
      </c>
      <c r="G816" s="354" t="s">
        <v>186</v>
      </c>
      <c r="H816" s="354">
        <v>5718.64725</v>
      </c>
      <c r="I816" s="354">
        <v>35</v>
      </c>
      <c r="J816" s="382">
        <v>5718.64725</v>
      </c>
      <c r="K816" s="382">
        <v>5718.64725</v>
      </c>
      <c r="L816" s="382">
        <v>35</v>
      </c>
      <c r="M816" s="382">
        <v>5718.64725</v>
      </c>
      <c r="N816" s="6" t="s">
        <v>1726</v>
      </c>
      <c r="O816" s="383">
        <v>45665</v>
      </c>
      <c r="P816" s="33" t="str">
        <f>HYPERLINK("https://my.zakupivli.pro/remote/dispatcher/state_purchase_view/56394826", "UA-2025-01-08-001594-a")</f>
        <v>UA-2025-01-08-001594-a</v>
      </c>
      <c r="Q816" s="354"/>
      <c r="R816" s="354"/>
      <c r="S816" s="354"/>
      <c r="T816" s="355"/>
      <c r="U816" s="354"/>
      <c r="V816" s="354"/>
    </row>
    <row r="817" spans="1:22" ht="46.8" x14ac:dyDescent="0.3">
      <c r="A817" s="354">
        <v>811</v>
      </c>
      <c r="B817" s="382" t="s">
        <v>21</v>
      </c>
      <c r="C817" s="44" t="s">
        <v>1724</v>
      </c>
      <c r="D817" s="354"/>
      <c r="E817" s="382" t="s">
        <v>75</v>
      </c>
      <c r="F817" s="44" t="s">
        <v>1220</v>
      </c>
      <c r="G817" s="354" t="s">
        <v>186</v>
      </c>
      <c r="H817" s="354">
        <v>1862.7256400000001</v>
      </c>
      <c r="I817" s="354">
        <v>4</v>
      </c>
      <c r="J817" s="382">
        <v>1862.7256400000001</v>
      </c>
      <c r="K817" s="382">
        <v>1862.7256400000001</v>
      </c>
      <c r="L817" s="382">
        <v>4</v>
      </c>
      <c r="M817" s="382">
        <v>1862.7256400000001</v>
      </c>
      <c r="N817" s="6" t="s">
        <v>1727</v>
      </c>
      <c r="O817" s="383">
        <v>45665</v>
      </c>
      <c r="P817" s="33" t="str">
        <f>HYPERLINK("https://my.zakupivli.pro/remote/dispatcher/state_purchase_view/56394826", "UA-2025-01-08-001594-a")</f>
        <v>UA-2025-01-08-001594-a</v>
      </c>
      <c r="Q817" s="354"/>
      <c r="R817" s="354"/>
      <c r="S817" s="354"/>
      <c r="T817" s="355"/>
      <c r="U817" s="354"/>
      <c r="V817" s="354"/>
    </row>
    <row r="818" spans="1:22" ht="93.6" x14ac:dyDescent="0.3">
      <c r="A818" s="354">
        <v>812</v>
      </c>
      <c r="B818" s="385" t="s">
        <v>21</v>
      </c>
      <c r="C818" s="44" t="s">
        <v>1728</v>
      </c>
      <c r="D818" s="354"/>
      <c r="E818" s="385" t="s">
        <v>373</v>
      </c>
      <c r="F818" s="44" t="s">
        <v>413</v>
      </c>
      <c r="G818" s="354" t="s">
        <v>185</v>
      </c>
      <c r="H818" s="354">
        <v>170.83332999999999</v>
      </c>
      <c r="I818" s="354">
        <v>1</v>
      </c>
      <c r="J818" s="385">
        <v>170.83332999999999</v>
      </c>
      <c r="K818" s="385">
        <v>170.83332999999999</v>
      </c>
      <c r="L818" s="385">
        <v>1</v>
      </c>
      <c r="M818" s="385">
        <v>170.83332999999999</v>
      </c>
      <c r="N818" s="6" t="s">
        <v>1734</v>
      </c>
      <c r="O818" s="355">
        <v>45671</v>
      </c>
      <c r="P818" s="33" t="str">
        <f>HYPERLINK("https://my.zakupivli.pro/remote/dispatcher/state_purchase_view/56534913", "UA-2025-01-14-013229-a")</f>
        <v>UA-2025-01-14-013229-a</v>
      </c>
      <c r="Q818" s="354"/>
      <c r="R818" s="354"/>
      <c r="S818" s="354"/>
      <c r="T818" s="355"/>
      <c r="U818" s="354"/>
      <c r="V818" s="354"/>
    </row>
    <row r="819" spans="1:22" ht="140.4" x14ac:dyDescent="0.3">
      <c r="A819" s="354">
        <v>813</v>
      </c>
      <c r="B819" s="385" t="s">
        <v>21</v>
      </c>
      <c r="C819" s="44" t="s">
        <v>1729</v>
      </c>
      <c r="D819" s="354"/>
      <c r="E819" s="385" t="s">
        <v>75</v>
      </c>
      <c r="F819" s="44" t="s">
        <v>413</v>
      </c>
      <c r="G819" s="354" t="s">
        <v>186</v>
      </c>
      <c r="H819" s="354"/>
      <c r="I819" s="354">
        <v>36</v>
      </c>
      <c r="J819" s="354">
        <v>14805.525</v>
      </c>
      <c r="K819" s="354"/>
      <c r="L819" s="385">
        <v>36</v>
      </c>
      <c r="M819" s="385">
        <v>14805.525</v>
      </c>
      <c r="N819" s="6" t="s">
        <v>1735</v>
      </c>
      <c r="O819" s="384">
        <v>45671</v>
      </c>
      <c r="P819" s="33" t="str">
        <f>HYPERLINK("https://my.zakupivli.pro/remote/dispatcher/state_purchase_view/56533770", "UA-2025-01-14-012680-a")</f>
        <v>UA-2025-01-14-012680-a</v>
      </c>
      <c r="Q819" s="354"/>
      <c r="R819" s="354"/>
      <c r="S819" s="354"/>
      <c r="T819" s="355"/>
      <c r="U819" s="354"/>
      <c r="V819" s="354"/>
    </row>
    <row r="820" spans="1:22" ht="62.4" x14ac:dyDescent="0.3">
      <c r="A820" s="354">
        <v>814</v>
      </c>
      <c r="B820" s="385" t="s">
        <v>21</v>
      </c>
      <c r="C820" s="44" t="s">
        <v>1730</v>
      </c>
      <c r="D820" s="354"/>
      <c r="E820" s="385" t="s">
        <v>75</v>
      </c>
      <c r="F820" s="44" t="s">
        <v>1733</v>
      </c>
      <c r="G820" s="354" t="s">
        <v>186</v>
      </c>
      <c r="H820" s="354"/>
      <c r="I820" s="354">
        <v>39</v>
      </c>
      <c r="J820" s="354">
        <v>1758.6956700000001</v>
      </c>
      <c r="K820" s="354"/>
      <c r="L820" s="385">
        <v>39</v>
      </c>
      <c r="M820" s="385">
        <v>1758.6956700000001</v>
      </c>
      <c r="N820" s="6" t="s">
        <v>1736</v>
      </c>
      <c r="O820" s="384">
        <v>45671</v>
      </c>
      <c r="P820" s="33" t="str">
        <f>HYPERLINK("https://my.zakupivli.pro/remote/dispatcher/state_purchase_view/56516163", "UA-2025-01-14-005210-a")</f>
        <v>UA-2025-01-14-005210-a</v>
      </c>
      <c r="Q820" s="354"/>
      <c r="R820" s="354"/>
      <c r="S820" s="354"/>
      <c r="T820" s="355"/>
      <c r="U820" s="354"/>
      <c r="V820" s="354"/>
    </row>
    <row r="821" spans="1:22" ht="62.4" x14ac:dyDescent="0.3">
      <c r="A821" s="354">
        <v>815</v>
      </c>
      <c r="B821" s="385" t="s">
        <v>21</v>
      </c>
      <c r="C821" s="44" t="s">
        <v>1731</v>
      </c>
      <c r="D821" s="354"/>
      <c r="E821" s="385" t="s">
        <v>75</v>
      </c>
      <c r="F821" s="44" t="s">
        <v>171</v>
      </c>
      <c r="G821" s="354" t="s">
        <v>186</v>
      </c>
      <c r="H821" s="354"/>
      <c r="I821" s="354">
        <v>2</v>
      </c>
      <c r="J821" s="119">
        <v>790</v>
      </c>
      <c r="K821" s="354"/>
      <c r="L821" s="385">
        <v>2</v>
      </c>
      <c r="M821" s="119">
        <v>790</v>
      </c>
      <c r="N821" s="6" t="s">
        <v>1737</v>
      </c>
      <c r="O821" s="384">
        <v>45671</v>
      </c>
      <c r="P821" s="33" t="str">
        <f>HYPERLINK("https://my.zakupivli.pro/remote/dispatcher/state_purchase_view/56511166", "UA-2025-01-14-003223-a")</f>
        <v>UA-2025-01-14-003223-a</v>
      </c>
      <c r="Q821" s="354"/>
      <c r="R821" s="354"/>
      <c r="S821" s="354"/>
      <c r="T821" s="355"/>
      <c r="U821" s="354"/>
      <c r="V821" s="354"/>
    </row>
    <row r="822" spans="1:22" ht="62.4" x14ac:dyDescent="0.3">
      <c r="A822" s="354">
        <v>816</v>
      </c>
      <c r="B822" s="385" t="s">
        <v>21</v>
      </c>
      <c r="C822" s="44" t="s">
        <v>1732</v>
      </c>
      <c r="D822" s="354"/>
      <c r="E822" s="385" t="s">
        <v>75</v>
      </c>
      <c r="F822" s="44" t="s">
        <v>171</v>
      </c>
      <c r="G822" s="354" t="s">
        <v>186</v>
      </c>
      <c r="H822" s="354"/>
      <c r="I822" s="354">
        <v>32</v>
      </c>
      <c r="J822" s="354">
        <v>1000.75</v>
      </c>
      <c r="K822" s="354"/>
      <c r="L822" s="385">
        <v>32</v>
      </c>
      <c r="M822" s="385">
        <v>1000.75</v>
      </c>
      <c r="N822" s="6" t="s">
        <v>1738</v>
      </c>
      <c r="O822" s="384">
        <v>45671</v>
      </c>
      <c r="P822" s="33" t="str">
        <f>HYPERLINK("https://my.zakupivli.pro/remote/dispatcher/state_purchase_view/56511166", "UA-2025-01-14-003223-a")</f>
        <v>UA-2025-01-14-003223-a</v>
      </c>
      <c r="Q822" s="354"/>
      <c r="R822" s="354"/>
      <c r="S822" s="354"/>
      <c r="T822" s="355"/>
      <c r="U822" s="354"/>
      <c r="V822" s="354"/>
    </row>
    <row r="823" spans="1:22" ht="140.4" x14ac:dyDescent="0.3">
      <c r="A823" s="354">
        <v>817</v>
      </c>
      <c r="B823" s="386" t="s">
        <v>21</v>
      </c>
      <c r="C823" s="44" t="s">
        <v>1739</v>
      </c>
      <c r="D823" s="354"/>
      <c r="E823" s="386" t="s">
        <v>75</v>
      </c>
      <c r="F823" s="44" t="s">
        <v>406</v>
      </c>
      <c r="G823" s="354" t="s">
        <v>186</v>
      </c>
      <c r="H823" s="354"/>
      <c r="I823" s="354">
        <v>129</v>
      </c>
      <c r="J823" s="119">
        <v>11325</v>
      </c>
      <c r="K823" s="354"/>
      <c r="L823" s="386">
        <v>129</v>
      </c>
      <c r="M823" s="119">
        <v>11325</v>
      </c>
      <c r="N823" s="6" t="s">
        <v>1744</v>
      </c>
      <c r="O823" s="355">
        <v>45673</v>
      </c>
      <c r="P823" s="122" t="str">
        <f>HYPERLINK("https://my.zakupivli.pro/remote/dispatcher/state_purchase_view/56621501", "UA-2025-01-16-015154-a")</f>
        <v>UA-2025-01-16-015154-a</v>
      </c>
      <c r="Q823" s="354"/>
      <c r="R823" s="354"/>
      <c r="S823" s="354"/>
      <c r="T823" s="355"/>
      <c r="U823" s="354"/>
      <c r="V823" s="354"/>
    </row>
    <row r="824" spans="1:22" ht="202.8" x14ac:dyDescent="0.3">
      <c r="A824" s="354">
        <v>818</v>
      </c>
      <c r="B824" s="386" t="s">
        <v>21</v>
      </c>
      <c r="C824" s="44" t="s">
        <v>1740</v>
      </c>
      <c r="D824" s="354"/>
      <c r="E824" s="386" t="s">
        <v>75</v>
      </c>
      <c r="F824" s="44" t="s">
        <v>1743</v>
      </c>
      <c r="G824" s="354" t="s">
        <v>186</v>
      </c>
      <c r="H824" s="354"/>
      <c r="I824" s="354">
        <v>2</v>
      </c>
      <c r="J824" s="119">
        <v>191.1</v>
      </c>
      <c r="K824" s="354"/>
      <c r="L824" s="386">
        <v>2</v>
      </c>
      <c r="M824" s="119">
        <v>191.1</v>
      </c>
      <c r="N824" s="6" t="s">
        <v>1745</v>
      </c>
      <c r="O824" s="387">
        <v>45673</v>
      </c>
      <c r="P824" s="122" t="str">
        <f>HYPERLINK("https://my.zakupivli.pro/remote/dispatcher/state_purchase_view/56611663", "UA-2025-01-16-010939-a")</f>
        <v>UA-2025-01-16-010939-a</v>
      </c>
      <c r="Q824" s="354"/>
      <c r="R824" s="354"/>
      <c r="S824" s="354"/>
      <c r="T824" s="355"/>
      <c r="U824" s="354"/>
      <c r="V824" s="354"/>
    </row>
    <row r="825" spans="1:22" ht="109.2" x14ac:dyDescent="0.3">
      <c r="A825" s="354">
        <v>819</v>
      </c>
      <c r="B825" s="386" t="s">
        <v>21</v>
      </c>
      <c r="C825" s="44" t="s">
        <v>1741</v>
      </c>
      <c r="D825" s="354"/>
      <c r="E825" s="386" t="s">
        <v>373</v>
      </c>
      <c r="F825" s="44" t="s">
        <v>413</v>
      </c>
      <c r="G825" s="354" t="s">
        <v>185</v>
      </c>
      <c r="H825" s="119">
        <v>73.75</v>
      </c>
      <c r="I825" s="354">
        <v>1</v>
      </c>
      <c r="J825" s="119">
        <v>73.75</v>
      </c>
      <c r="K825" s="119">
        <v>73.75</v>
      </c>
      <c r="L825" s="386">
        <v>1</v>
      </c>
      <c r="M825" s="119">
        <v>73.75</v>
      </c>
      <c r="N825" s="6" t="s">
        <v>1746</v>
      </c>
      <c r="O825" s="387">
        <v>45673</v>
      </c>
      <c r="P825" s="122" t="str">
        <f>HYPERLINK("https://my.zakupivli.pro/remote/dispatcher/state_purchase_view/56598991", "UA-2025-01-16-005603-a")</f>
        <v>UA-2025-01-16-005603-a</v>
      </c>
      <c r="Q825" s="119">
        <v>73.75</v>
      </c>
      <c r="R825" s="386">
        <v>1</v>
      </c>
      <c r="S825" s="119">
        <v>73.75</v>
      </c>
      <c r="T825" s="387">
        <v>45673</v>
      </c>
      <c r="U825" s="354"/>
      <c r="V825" s="386" t="s">
        <v>59</v>
      </c>
    </row>
    <row r="826" spans="1:22" ht="109.2" x14ac:dyDescent="0.3">
      <c r="A826" s="354">
        <v>820</v>
      </c>
      <c r="B826" s="386" t="s">
        <v>21</v>
      </c>
      <c r="C826" s="44" t="s">
        <v>1742</v>
      </c>
      <c r="D826" s="354"/>
      <c r="E826" s="386" t="s">
        <v>373</v>
      </c>
      <c r="F826" s="44" t="s">
        <v>413</v>
      </c>
      <c r="G826" s="354" t="s">
        <v>185</v>
      </c>
      <c r="H826" s="119">
        <v>73.5</v>
      </c>
      <c r="I826" s="354">
        <v>1</v>
      </c>
      <c r="J826" s="119">
        <v>73.5</v>
      </c>
      <c r="K826" s="119">
        <v>73.5</v>
      </c>
      <c r="L826" s="386">
        <v>1</v>
      </c>
      <c r="M826" s="119">
        <v>73.5</v>
      </c>
      <c r="N826" s="6" t="s">
        <v>1747</v>
      </c>
      <c r="O826" s="387">
        <v>45673</v>
      </c>
      <c r="P826" s="122" t="str">
        <f>HYPERLINK("https://my.zakupivli.pro/remote/dispatcher/state_purchase_view/56598627", "UA-2025-01-16-005354-a")</f>
        <v>UA-2025-01-16-005354-a</v>
      </c>
      <c r="Q826" s="119">
        <v>73.5</v>
      </c>
      <c r="R826" s="386">
        <v>1</v>
      </c>
      <c r="S826" s="119">
        <v>73.5</v>
      </c>
      <c r="T826" s="387">
        <v>45673</v>
      </c>
      <c r="U826" s="354"/>
      <c r="V826" s="386" t="s">
        <v>59</v>
      </c>
    </row>
    <row r="827" spans="1:22" ht="156" x14ac:dyDescent="0.3">
      <c r="A827" s="354">
        <v>821</v>
      </c>
      <c r="B827" s="354" t="s">
        <v>40</v>
      </c>
      <c r="C827" s="44" t="s">
        <v>1748</v>
      </c>
      <c r="D827" s="354"/>
      <c r="E827" s="388" t="s">
        <v>373</v>
      </c>
      <c r="F827" s="44" t="s">
        <v>885</v>
      </c>
      <c r="G827" s="354" t="s">
        <v>184</v>
      </c>
      <c r="H827" s="354">
        <v>48.730989999999998</v>
      </c>
      <c r="I827" s="354">
        <v>1</v>
      </c>
      <c r="J827" s="388">
        <v>48.730989999999998</v>
      </c>
      <c r="K827" s="388">
        <v>48.730989999999998</v>
      </c>
      <c r="L827" s="388">
        <v>1</v>
      </c>
      <c r="M827" s="388">
        <v>48.730989999999998</v>
      </c>
      <c r="N827" s="6" t="s">
        <v>1750</v>
      </c>
      <c r="O827" s="389">
        <v>45673</v>
      </c>
      <c r="P827" s="33" t="str">
        <f>HYPERLINK("https://my.zakupivli.pro/remote/dispatcher/state_purchase_view/56624862", "UA-2025-01-16-016675-a")</f>
        <v>UA-2025-01-16-016675-a</v>
      </c>
      <c r="Q827" s="388">
        <v>48.730989999999998</v>
      </c>
      <c r="R827" s="388">
        <v>1</v>
      </c>
      <c r="S827" s="388">
        <v>48.730989999999998</v>
      </c>
      <c r="T827" s="389">
        <v>45673</v>
      </c>
      <c r="U827" s="354"/>
      <c r="V827" s="388" t="s">
        <v>59</v>
      </c>
    </row>
    <row r="828" spans="1:22" ht="156" x14ac:dyDescent="0.3">
      <c r="A828" s="354">
        <v>822</v>
      </c>
      <c r="B828" s="354" t="s">
        <v>40</v>
      </c>
      <c r="C828" s="44" t="s">
        <v>1749</v>
      </c>
      <c r="D828" s="354"/>
      <c r="E828" s="388" t="s">
        <v>373</v>
      </c>
      <c r="F828" s="44" t="s">
        <v>885</v>
      </c>
      <c r="G828" s="354" t="s">
        <v>184</v>
      </c>
      <c r="H828" s="354">
        <v>51.379710000000003</v>
      </c>
      <c r="I828" s="354">
        <v>1</v>
      </c>
      <c r="J828" s="388">
        <v>51.379710000000003</v>
      </c>
      <c r="K828" s="388">
        <v>51.379710000000003</v>
      </c>
      <c r="L828" s="388">
        <v>1</v>
      </c>
      <c r="M828" s="388">
        <v>51.379710000000003</v>
      </c>
      <c r="N828" s="6" t="s">
        <v>1751</v>
      </c>
      <c r="O828" s="389">
        <v>45673</v>
      </c>
      <c r="P828" s="33" t="str">
        <f>HYPERLINK("https://my.zakupivli.pro/remote/dispatcher/state_purchase_view/56624857", "UA-2025-01-16-016667-a")</f>
        <v>UA-2025-01-16-016667-a</v>
      </c>
      <c r="Q828" s="388">
        <v>51.379710000000003</v>
      </c>
      <c r="R828" s="388">
        <v>1</v>
      </c>
      <c r="S828" s="388">
        <v>51.379710000000003</v>
      </c>
      <c r="T828" s="389">
        <v>45673</v>
      </c>
      <c r="U828" s="354"/>
      <c r="V828" s="388" t="s">
        <v>59</v>
      </c>
    </row>
    <row r="829" spans="1:22" ht="109.2" x14ac:dyDescent="0.3">
      <c r="A829" s="354">
        <v>823</v>
      </c>
      <c r="B829" s="354" t="s">
        <v>21</v>
      </c>
      <c r="C829" s="41" t="s">
        <v>1752</v>
      </c>
      <c r="D829" s="354"/>
      <c r="E829" s="354" t="s">
        <v>75</v>
      </c>
      <c r="F829" s="44" t="s">
        <v>1220</v>
      </c>
      <c r="G829" s="354" t="s">
        <v>1159</v>
      </c>
      <c r="H829" s="354"/>
      <c r="I829" s="354">
        <v>57674</v>
      </c>
      <c r="J829" s="119">
        <v>7962.5</v>
      </c>
      <c r="K829" s="354"/>
      <c r="L829" s="390">
        <v>57674</v>
      </c>
      <c r="M829" s="119">
        <v>7962.5</v>
      </c>
      <c r="N829" s="6" t="s">
        <v>1753</v>
      </c>
      <c r="O829" s="355">
        <v>45677</v>
      </c>
      <c r="P829" s="33" t="str">
        <f>HYPERLINK("https://my.zakupivli.pro/remote/dispatcher/state_purchase_view/56709458", "UA-2025-01-20-013715-a")</f>
        <v>UA-2025-01-20-013715-a</v>
      </c>
      <c r="Q829" s="354"/>
      <c r="R829" s="354"/>
      <c r="S829" s="354"/>
      <c r="T829" s="355"/>
      <c r="U829" s="354"/>
      <c r="V829" s="354"/>
    </row>
    <row r="830" spans="1:22" ht="109.2" x14ac:dyDescent="0.3">
      <c r="A830" s="354">
        <v>824</v>
      </c>
      <c r="B830" s="354" t="s">
        <v>1151</v>
      </c>
      <c r="C830" s="44" t="s">
        <v>1754</v>
      </c>
      <c r="D830" s="354"/>
      <c r="E830" s="391" t="s">
        <v>75</v>
      </c>
      <c r="F830" s="44" t="s">
        <v>1760</v>
      </c>
      <c r="G830" s="354" t="s">
        <v>1150</v>
      </c>
      <c r="H830" s="354">
        <v>231.69</v>
      </c>
      <c r="I830" s="354">
        <v>1</v>
      </c>
      <c r="J830" s="391">
        <v>231.69</v>
      </c>
      <c r="K830" s="391">
        <v>231.69</v>
      </c>
      <c r="L830" s="391">
        <v>1</v>
      </c>
      <c r="M830" s="391">
        <v>231.69</v>
      </c>
      <c r="N830" s="6" t="s">
        <v>1761</v>
      </c>
      <c r="O830" s="355">
        <v>45678</v>
      </c>
      <c r="P830" s="33" t="str">
        <f>HYPERLINK("https://my.zakupivli.pro/remote/dispatcher/state_purchase_view/56767709", "UA-2025-01-21-018882-a")</f>
        <v>UA-2025-01-21-018882-a</v>
      </c>
      <c r="Q830" s="391">
        <v>231.69</v>
      </c>
      <c r="R830" s="391">
        <v>1</v>
      </c>
      <c r="S830" s="391">
        <v>231.69</v>
      </c>
      <c r="T830" s="392">
        <v>45678</v>
      </c>
      <c r="U830" s="354"/>
      <c r="V830" s="391" t="s">
        <v>59</v>
      </c>
    </row>
    <row r="831" spans="1:22" ht="109.2" x14ac:dyDescent="0.3">
      <c r="A831" s="354">
        <v>825</v>
      </c>
      <c r="B831" s="391" t="s">
        <v>21</v>
      </c>
      <c r="C831" s="44" t="s">
        <v>1755</v>
      </c>
      <c r="D831" s="354"/>
      <c r="E831" s="391" t="s">
        <v>75</v>
      </c>
      <c r="F831" s="44" t="s">
        <v>1156</v>
      </c>
      <c r="G831" s="354" t="s">
        <v>186</v>
      </c>
      <c r="H831" s="354"/>
      <c r="I831" s="354">
        <v>9</v>
      </c>
      <c r="J831" s="354">
        <v>1004.16667</v>
      </c>
      <c r="K831" s="354"/>
      <c r="L831" s="391">
        <v>9</v>
      </c>
      <c r="M831" s="391">
        <v>1004.16667</v>
      </c>
      <c r="N831" s="6" t="s">
        <v>1762</v>
      </c>
      <c r="O831" s="392">
        <v>45678</v>
      </c>
      <c r="P831" s="33" t="str">
        <f>HYPERLINK("https://my.zakupivli.pro/remote/dispatcher/state_purchase_view/56767093", "UA-2025-01-21-018552-a")</f>
        <v>UA-2025-01-21-018552-a</v>
      </c>
      <c r="Q831" s="354"/>
      <c r="R831" s="354"/>
      <c r="S831" s="354"/>
      <c r="T831" s="355"/>
      <c r="U831" s="354"/>
      <c r="V831" s="354"/>
    </row>
    <row r="832" spans="1:22" ht="140.4" x14ac:dyDescent="0.3">
      <c r="A832" s="354">
        <v>826</v>
      </c>
      <c r="B832" s="391" t="s">
        <v>21</v>
      </c>
      <c r="C832" s="44" t="s">
        <v>1729</v>
      </c>
      <c r="D832" s="354"/>
      <c r="E832" s="391" t="s">
        <v>75</v>
      </c>
      <c r="F832" s="44" t="s">
        <v>413</v>
      </c>
      <c r="G832" s="354" t="s">
        <v>185</v>
      </c>
      <c r="H832" s="354"/>
      <c r="I832" s="354">
        <v>175</v>
      </c>
      <c r="J832" s="354">
        <v>24858.333330000001</v>
      </c>
      <c r="K832" s="354"/>
      <c r="L832" s="391">
        <v>175</v>
      </c>
      <c r="M832" s="391">
        <v>24858.333330000001</v>
      </c>
      <c r="N832" s="6" t="s">
        <v>1763</v>
      </c>
      <c r="O832" s="392">
        <v>45678</v>
      </c>
      <c r="P832" s="33" t="str">
        <f>HYPERLINK("https://my.zakupivli.pro/remote/dispatcher/state_purchase_view/56756969", "UA-2025-01-21-014078-a")</f>
        <v>UA-2025-01-21-014078-a</v>
      </c>
      <c r="Q832" s="354"/>
      <c r="R832" s="354"/>
      <c r="S832" s="354"/>
      <c r="T832" s="355"/>
      <c r="U832" s="354"/>
      <c r="V832" s="354"/>
    </row>
    <row r="833" spans="1:22" ht="78" x14ac:dyDescent="0.3">
      <c r="A833" s="354">
        <v>827</v>
      </c>
      <c r="B833" s="354" t="s">
        <v>40</v>
      </c>
      <c r="C833" s="44" t="s">
        <v>1756</v>
      </c>
      <c r="D833" s="354"/>
      <c r="E833" s="354" t="s">
        <v>373</v>
      </c>
      <c r="F833" s="44" t="s">
        <v>885</v>
      </c>
      <c r="G833" s="354" t="s">
        <v>184</v>
      </c>
      <c r="H833" s="354">
        <v>357.62355000000002</v>
      </c>
      <c r="I833" s="354">
        <v>1</v>
      </c>
      <c r="J833" s="391">
        <v>357.62355000000002</v>
      </c>
      <c r="K833" s="391">
        <v>357.62355000000002</v>
      </c>
      <c r="L833" s="391">
        <v>1</v>
      </c>
      <c r="M833" s="391">
        <v>357.62355000000002</v>
      </c>
      <c r="N833" s="6" t="s">
        <v>1764</v>
      </c>
      <c r="O833" s="392">
        <v>45678</v>
      </c>
      <c r="P833" s="33" t="str">
        <f>HYPERLINK("https://my.zakupivli.pro/remote/dispatcher/state_purchase_view/56755417", "UA-2025-01-21-013373-a")</f>
        <v>UA-2025-01-21-013373-a</v>
      </c>
      <c r="Q833" s="391">
        <v>357.62355000000002</v>
      </c>
      <c r="R833" s="391">
        <v>1</v>
      </c>
      <c r="S833" s="391">
        <v>357.62355000000002</v>
      </c>
      <c r="T833" s="392">
        <v>45678</v>
      </c>
      <c r="U833" s="354"/>
      <c r="V833" s="391" t="s">
        <v>59</v>
      </c>
    </row>
    <row r="834" spans="1:22" ht="78" x14ac:dyDescent="0.3">
      <c r="A834" s="354">
        <v>828</v>
      </c>
      <c r="B834" s="354" t="s">
        <v>1151</v>
      </c>
      <c r="C834" s="44" t="s">
        <v>1757</v>
      </c>
      <c r="D834" s="354"/>
      <c r="E834" s="391" t="s">
        <v>75</v>
      </c>
      <c r="F834" s="44" t="s">
        <v>1760</v>
      </c>
      <c r="G834" s="354" t="s">
        <v>1150</v>
      </c>
      <c r="H834" s="119">
        <v>82.5</v>
      </c>
      <c r="I834" s="354">
        <v>1</v>
      </c>
      <c r="J834" s="119">
        <v>82.5</v>
      </c>
      <c r="K834" s="119">
        <v>82.5</v>
      </c>
      <c r="L834" s="391">
        <v>1</v>
      </c>
      <c r="M834" s="119">
        <v>82.5</v>
      </c>
      <c r="N834" s="6" t="s">
        <v>1765</v>
      </c>
      <c r="O834" s="392">
        <v>45678</v>
      </c>
      <c r="P834" s="33" t="str">
        <f>HYPERLINK("https://my.zakupivli.pro/remote/dispatcher/state_purchase_view/56754629", "UA-2025-01-21-013032-a")</f>
        <v>UA-2025-01-21-013032-a</v>
      </c>
      <c r="Q834" s="119">
        <v>82.5</v>
      </c>
      <c r="R834" s="391">
        <v>1</v>
      </c>
      <c r="S834" s="119">
        <v>82.5</v>
      </c>
      <c r="T834" s="392">
        <v>45678</v>
      </c>
      <c r="U834" s="354"/>
      <c r="V834" s="391" t="s">
        <v>59</v>
      </c>
    </row>
    <row r="835" spans="1:22" ht="62.4" x14ac:dyDescent="0.3">
      <c r="A835" s="354">
        <v>829</v>
      </c>
      <c r="B835" s="391" t="s">
        <v>21</v>
      </c>
      <c r="C835" s="44" t="s">
        <v>1758</v>
      </c>
      <c r="D835" s="354"/>
      <c r="E835" s="391" t="s">
        <v>75</v>
      </c>
      <c r="F835" s="44" t="s">
        <v>30</v>
      </c>
      <c r="G835" s="354" t="s">
        <v>186</v>
      </c>
      <c r="H835" s="354"/>
      <c r="I835" s="354">
        <v>64</v>
      </c>
      <c r="J835" s="119">
        <v>1525</v>
      </c>
      <c r="K835" s="354"/>
      <c r="L835" s="391">
        <v>64</v>
      </c>
      <c r="M835" s="119">
        <v>1525</v>
      </c>
      <c r="N835" s="6" t="s">
        <v>1766</v>
      </c>
      <c r="O835" s="392">
        <v>45678</v>
      </c>
      <c r="P835" s="33" t="str">
        <f>HYPERLINK("https://my.zakupivli.pro/remote/dispatcher/state_purchase_view/56727364", "UA-2025-01-21-000895-a")</f>
        <v>UA-2025-01-21-000895-a</v>
      </c>
      <c r="Q835" s="354"/>
      <c r="R835" s="354"/>
      <c r="S835" s="354"/>
      <c r="T835" s="355"/>
      <c r="U835" s="354"/>
      <c r="V835" s="354"/>
    </row>
    <row r="836" spans="1:22" ht="62.4" x14ac:dyDescent="0.3">
      <c r="A836" s="354">
        <v>830</v>
      </c>
      <c r="B836" s="391" t="s">
        <v>21</v>
      </c>
      <c r="C836" s="44" t="s">
        <v>1759</v>
      </c>
      <c r="D836" s="354"/>
      <c r="E836" s="391" t="s">
        <v>75</v>
      </c>
      <c r="F836" s="44" t="s">
        <v>30</v>
      </c>
      <c r="G836" s="354" t="s">
        <v>186</v>
      </c>
      <c r="H836" s="354"/>
      <c r="I836" s="354">
        <v>5</v>
      </c>
      <c r="J836" s="354">
        <v>910.13333</v>
      </c>
      <c r="K836" s="354"/>
      <c r="L836" s="391">
        <v>5</v>
      </c>
      <c r="M836" s="391">
        <v>910.13333</v>
      </c>
      <c r="N836" s="6" t="s">
        <v>1767</v>
      </c>
      <c r="O836" s="392">
        <v>45678</v>
      </c>
      <c r="P836" s="33" t="str">
        <f>HYPERLINK("https://my.zakupivli.pro/remote/dispatcher/state_purchase_view/56727364", "UA-2025-01-21-000895-a")</f>
        <v>UA-2025-01-21-000895-a</v>
      </c>
      <c r="Q836" s="354"/>
      <c r="R836" s="354"/>
      <c r="S836" s="354"/>
      <c r="T836" s="355"/>
      <c r="U836" s="354"/>
      <c r="V836" s="354"/>
    </row>
    <row r="837" spans="1:22" x14ac:dyDescent="0.3">
      <c r="A837" s="354"/>
      <c r="B837" s="354"/>
      <c r="C837" s="354"/>
      <c r="D837" s="354"/>
      <c r="E837" s="354"/>
      <c r="F837" s="354"/>
      <c r="G837" s="354"/>
      <c r="H837" s="354"/>
      <c r="I837" s="354"/>
      <c r="J837" s="354"/>
      <c r="K837" s="354"/>
      <c r="L837" s="354"/>
      <c r="M837" s="354"/>
      <c r="N837" s="354"/>
      <c r="O837" s="355"/>
      <c r="P837" s="354"/>
      <c r="Q837" s="354"/>
      <c r="R837" s="354"/>
      <c r="S837" s="354"/>
      <c r="T837" s="355"/>
      <c r="U837" s="354"/>
      <c r="V837" s="354"/>
    </row>
    <row r="838" spans="1:22" x14ac:dyDescent="0.3">
      <c r="A838" s="354"/>
      <c r="B838" s="354"/>
      <c r="C838" s="354"/>
      <c r="D838" s="354"/>
      <c r="E838" s="354"/>
      <c r="F838" s="354"/>
      <c r="G838" s="354"/>
      <c r="H838" s="354"/>
      <c r="I838" s="354"/>
      <c r="J838" s="354"/>
      <c r="K838" s="354"/>
      <c r="L838" s="354"/>
      <c r="M838" s="354"/>
      <c r="N838" s="354"/>
      <c r="O838" s="355"/>
      <c r="P838" s="354"/>
      <c r="Q838" s="354"/>
      <c r="R838" s="354"/>
      <c r="S838" s="354"/>
      <c r="T838" s="355"/>
      <c r="U838" s="354"/>
      <c r="V838" s="354"/>
    </row>
    <row r="839" spans="1:22" x14ac:dyDescent="0.3">
      <c r="A839" s="354"/>
      <c r="B839" s="354"/>
      <c r="C839" s="354"/>
      <c r="D839" s="354"/>
      <c r="E839" s="354"/>
      <c r="F839" s="354"/>
      <c r="G839" s="354"/>
      <c r="H839" s="354"/>
      <c r="I839" s="354"/>
      <c r="J839" s="354"/>
      <c r="K839" s="354"/>
      <c r="L839" s="354"/>
      <c r="M839" s="354"/>
      <c r="N839" s="354"/>
      <c r="O839" s="355"/>
      <c r="P839" s="354"/>
      <c r="Q839" s="354"/>
      <c r="R839" s="354"/>
      <c r="S839" s="354"/>
      <c r="T839" s="355"/>
      <c r="U839" s="354"/>
      <c r="V839" s="354"/>
    </row>
    <row r="840" spans="1:22" x14ac:dyDescent="0.3">
      <c r="A840" s="354"/>
      <c r="B840" s="354"/>
      <c r="C840" s="354"/>
      <c r="D840" s="354"/>
      <c r="E840" s="354"/>
      <c r="F840" s="354"/>
      <c r="G840" s="354"/>
      <c r="H840" s="354"/>
      <c r="I840" s="354"/>
      <c r="J840" s="354"/>
      <c r="K840" s="354"/>
      <c r="L840" s="354"/>
      <c r="M840" s="354"/>
      <c r="N840" s="354"/>
      <c r="O840" s="355"/>
      <c r="P840" s="354"/>
      <c r="Q840" s="354"/>
      <c r="R840" s="354"/>
      <c r="S840" s="354"/>
      <c r="T840" s="355"/>
      <c r="U840" s="354"/>
      <c r="V840" s="354"/>
    </row>
    <row r="841" spans="1:22" x14ac:dyDescent="0.3">
      <c r="A841" s="354"/>
      <c r="B841" s="354"/>
      <c r="C841" s="354"/>
      <c r="D841" s="354"/>
      <c r="E841" s="354"/>
      <c r="F841" s="354"/>
      <c r="G841" s="354"/>
      <c r="H841" s="354"/>
      <c r="I841" s="354"/>
      <c r="J841" s="354"/>
      <c r="K841" s="354"/>
      <c r="L841" s="354"/>
      <c r="M841" s="354"/>
      <c r="N841" s="354"/>
      <c r="O841" s="355"/>
      <c r="P841" s="354"/>
      <c r="Q841" s="354"/>
      <c r="R841" s="354"/>
      <c r="S841" s="354"/>
      <c r="T841" s="355"/>
      <c r="U841" s="354"/>
      <c r="V841" s="354"/>
    </row>
    <row r="842" spans="1:22" x14ac:dyDescent="0.3">
      <c r="A842" s="354"/>
      <c r="B842" s="354"/>
      <c r="C842" s="354"/>
      <c r="D842" s="354"/>
      <c r="E842" s="354"/>
      <c r="F842" s="354"/>
      <c r="G842" s="354"/>
      <c r="H842" s="354"/>
      <c r="I842" s="354"/>
      <c r="J842" s="354"/>
      <c r="K842" s="354"/>
      <c r="L842" s="354"/>
      <c r="M842" s="354"/>
      <c r="N842" s="354"/>
      <c r="O842" s="355"/>
      <c r="P842" s="354"/>
      <c r="Q842" s="354"/>
      <c r="R842" s="354"/>
      <c r="S842" s="354"/>
      <c r="T842" s="355"/>
      <c r="U842" s="354"/>
      <c r="V842" s="354"/>
    </row>
    <row r="843" spans="1:22" x14ac:dyDescent="0.3">
      <c r="A843" s="354"/>
      <c r="B843" s="354"/>
      <c r="C843" s="354"/>
      <c r="D843" s="354"/>
      <c r="E843" s="354"/>
      <c r="F843" s="354"/>
      <c r="G843" s="354"/>
      <c r="H843" s="354"/>
      <c r="I843" s="354"/>
      <c r="J843" s="354"/>
      <c r="K843" s="354"/>
      <c r="L843" s="354"/>
      <c r="M843" s="354"/>
      <c r="N843" s="354"/>
      <c r="O843" s="355"/>
      <c r="P843" s="354"/>
      <c r="Q843" s="354"/>
      <c r="R843" s="354"/>
      <c r="S843" s="354"/>
      <c r="T843" s="355"/>
      <c r="U843" s="354"/>
      <c r="V843" s="354"/>
    </row>
    <row r="844" spans="1:22" x14ac:dyDescent="0.3">
      <c r="A844" s="354"/>
      <c r="B844" s="354"/>
      <c r="C844" s="354"/>
      <c r="D844" s="354"/>
      <c r="E844" s="354"/>
      <c r="F844" s="354"/>
      <c r="G844" s="354"/>
      <c r="H844" s="354"/>
      <c r="I844" s="354"/>
      <c r="J844" s="354"/>
      <c r="K844" s="354"/>
      <c r="L844" s="354"/>
      <c r="M844" s="354"/>
      <c r="N844" s="354"/>
      <c r="O844" s="355"/>
      <c r="P844" s="354"/>
      <c r="Q844" s="354"/>
      <c r="R844" s="354"/>
      <c r="S844" s="354"/>
      <c r="T844" s="355"/>
      <c r="U844" s="354"/>
      <c r="V844" s="354"/>
    </row>
    <row r="845" spans="1:22" x14ac:dyDescent="0.3">
      <c r="A845" s="354"/>
      <c r="B845" s="354"/>
      <c r="C845" s="354"/>
      <c r="D845" s="354"/>
      <c r="E845" s="354"/>
      <c r="F845" s="354"/>
      <c r="G845" s="354"/>
      <c r="H845" s="354"/>
      <c r="I845" s="354"/>
      <c r="J845" s="354"/>
      <c r="K845" s="354"/>
      <c r="L845" s="354"/>
      <c r="M845" s="354"/>
      <c r="N845" s="354"/>
      <c r="O845" s="355"/>
      <c r="P845" s="354"/>
      <c r="Q845" s="354"/>
      <c r="R845" s="354"/>
      <c r="S845" s="354"/>
      <c r="T845" s="355"/>
      <c r="U845" s="354"/>
      <c r="V845" s="354"/>
    </row>
    <row r="846" spans="1:22" x14ac:dyDescent="0.3">
      <c r="A846" s="354"/>
      <c r="B846" s="354"/>
      <c r="C846" s="354"/>
      <c r="D846" s="354"/>
      <c r="E846" s="354"/>
      <c r="F846" s="354"/>
      <c r="G846" s="354"/>
      <c r="H846" s="354"/>
      <c r="I846" s="354"/>
      <c r="J846" s="354"/>
      <c r="K846" s="354"/>
      <c r="L846" s="354"/>
      <c r="M846" s="354"/>
      <c r="N846" s="354"/>
      <c r="O846" s="355"/>
      <c r="P846" s="354"/>
      <c r="Q846" s="354"/>
      <c r="R846" s="354"/>
      <c r="S846" s="354"/>
      <c r="T846" s="355"/>
      <c r="U846" s="354"/>
      <c r="V846" s="354"/>
    </row>
    <row r="847" spans="1:22" x14ac:dyDescent="0.3">
      <c r="A847" s="354"/>
      <c r="B847" s="354"/>
      <c r="C847" s="354"/>
      <c r="D847" s="354"/>
      <c r="E847" s="354"/>
      <c r="F847" s="354"/>
      <c r="G847" s="354"/>
      <c r="H847" s="354"/>
      <c r="I847" s="354"/>
      <c r="J847" s="354"/>
      <c r="K847" s="354"/>
      <c r="L847" s="354"/>
      <c r="M847" s="354"/>
      <c r="N847" s="354"/>
      <c r="O847" s="355"/>
      <c r="P847" s="354"/>
      <c r="Q847" s="354"/>
      <c r="R847" s="354"/>
      <c r="S847" s="354"/>
      <c r="T847" s="355"/>
      <c r="U847" s="354"/>
      <c r="V847" s="354"/>
    </row>
    <row r="848" spans="1:22" x14ac:dyDescent="0.3">
      <c r="A848" s="354"/>
      <c r="B848" s="354"/>
      <c r="C848" s="354"/>
      <c r="D848" s="354"/>
      <c r="E848" s="354"/>
      <c r="F848" s="354"/>
      <c r="G848" s="354"/>
      <c r="H848" s="354"/>
      <c r="I848" s="354"/>
      <c r="J848" s="354"/>
      <c r="K848" s="354"/>
      <c r="L848" s="354"/>
      <c r="M848" s="354"/>
      <c r="N848" s="354"/>
      <c r="O848" s="355"/>
      <c r="P848" s="354"/>
      <c r="Q848" s="354"/>
      <c r="R848" s="354"/>
      <c r="S848" s="354"/>
      <c r="T848" s="355"/>
      <c r="U848" s="354"/>
      <c r="V848" s="354"/>
    </row>
    <row r="849" spans="1:22" x14ac:dyDescent="0.3">
      <c r="A849" s="354"/>
      <c r="B849" s="354"/>
      <c r="C849" s="354"/>
      <c r="D849" s="354"/>
      <c r="E849" s="354"/>
      <c r="F849" s="354"/>
      <c r="G849" s="354"/>
      <c r="H849" s="354"/>
      <c r="I849" s="354"/>
      <c r="J849" s="354"/>
      <c r="K849" s="354"/>
      <c r="L849" s="354"/>
      <c r="M849" s="354"/>
      <c r="N849" s="354"/>
      <c r="O849" s="355"/>
      <c r="P849" s="354"/>
      <c r="Q849" s="354"/>
      <c r="R849" s="354"/>
      <c r="S849" s="354"/>
      <c r="T849" s="355"/>
      <c r="U849" s="354"/>
      <c r="V849" s="354"/>
    </row>
    <row r="850" spans="1:22" x14ac:dyDescent="0.3">
      <c r="A850" s="354"/>
      <c r="B850" s="354"/>
      <c r="C850" s="354"/>
      <c r="D850" s="354"/>
      <c r="E850" s="354"/>
      <c r="F850" s="354"/>
      <c r="G850" s="354"/>
      <c r="H850" s="354"/>
      <c r="I850" s="354"/>
      <c r="J850" s="354"/>
      <c r="K850" s="354"/>
      <c r="L850" s="354"/>
      <c r="M850" s="354"/>
      <c r="N850" s="354"/>
      <c r="O850" s="355"/>
      <c r="P850" s="354"/>
      <c r="Q850" s="354"/>
      <c r="R850" s="354"/>
      <c r="S850" s="354"/>
      <c r="T850" s="355"/>
      <c r="U850" s="354"/>
      <c r="V850" s="354"/>
    </row>
    <row r="851" spans="1:22" x14ac:dyDescent="0.3">
      <c r="A851" s="354"/>
      <c r="B851" s="354"/>
      <c r="C851" s="354"/>
      <c r="D851" s="354"/>
      <c r="E851" s="354"/>
      <c r="F851" s="354"/>
      <c r="G851" s="354"/>
      <c r="H851" s="354"/>
      <c r="I851" s="354"/>
      <c r="J851" s="354"/>
      <c r="K851" s="354"/>
      <c r="L851" s="354"/>
      <c r="M851" s="354"/>
      <c r="N851" s="354"/>
      <c r="O851" s="355"/>
      <c r="P851" s="354"/>
      <c r="Q851" s="354"/>
      <c r="R851" s="354"/>
      <c r="S851" s="354"/>
      <c r="T851" s="355"/>
      <c r="U851" s="354"/>
      <c r="V851" s="354"/>
    </row>
    <row r="852" spans="1:22" x14ac:dyDescent="0.3">
      <c r="A852" s="354"/>
      <c r="B852" s="354"/>
      <c r="C852" s="354"/>
      <c r="D852" s="354"/>
      <c r="E852" s="354"/>
      <c r="F852" s="354"/>
      <c r="G852" s="354"/>
      <c r="H852" s="354"/>
      <c r="I852" s="354"/>
      <c r="J852" s="354"/>
      <c r="K852" s="354"/>
      <c r="L852" s="354"/>
      <c r="M852" s="354"/>
      <c r="N852" s="354"/>
      <c r="O852" s="355"/>
      <c r="P852" s="354"/>
      <c r="Q852" s="354"/>
      <c r="R852" s="354"/>
      <c r="S852" s="354"/>
      <c r="T852" s="355"/>
      <c r="U852" s="354"/>
      <c r="V852" s="354"/>
    </row>
  </sheetData>
  <sortState ref="A5:V204">
    <sortCondition ref="O4"/>
  </sortState>
  <mergeCells count="17">
    <mergeCell ref="T2:T3"/>
    <mergeCell ref="U2:U3"/>
    <mergeCell ref="V2:V3"/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  <mergeCell ref="F2:F3"/>
    <mergeCell ref="Q2:S2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  <hyperlink ref="P711" r:id="rId1390" display="https://my.zakupivli.pro/remote/dispatcher/state_purchase_view/54304558" xr:uid="{35CB60E5-6B64-47B6-A2F4-BE09F6C34506}"/>
    <hyperlink ref="P712" r:id="rId1391" display="https://my.zakupivli.pro/remote/dispatcher/state_purchase_view/54293500" xr:uid="{BF893324-DDC4-4EB5-9D2A-609097115015}"/>
    <hyperlink ref="N711" r:id="rId1392" xr:uid="{C0D7079E-B7B9-471D-AABB-17DA87E78AA0}"/>
    <hyperlink ref="N712" r:id="rId1393" xr:uid="{E8F7AD2A-B08A-4334-9596-4B4E05C4AA08}"/>
    <hyperlink ref="P713" r:id="rId1394" display="https://my.zakupivli.pro/remote/dispatcher/state_purchase_view/54376960" xr:uid="{C3300439-FDFC-4ADF-8907-FBD9C6B4850E}"/>
    <hyperlink ref="P714" r:id="rId1395" display="https://my.zakupivli.pro/remote/dispatcher/state_purchase_view/54376354" xr:uid="{7D9A0511-DFD2-46DC-A393-CA481B6A1D36}"/>
    <hyperlink ref="P715" r:id="rId1396" display="https://my.zakupivli.pro/remote/dispatcher/state_purchase_view/54375854" xr:uid="{A7E2DBF5-DFEF-400A-8064-305A670C5312}"/>
    <hyperlink ref="P716" r:id="rId1397" display="https://my.zakupivli.pro/remote/dispatcher/state_purchase_view/54362853" xr:uid="{5B9E4A0B-F881-41E9-ABC6-193B467CDA31}"/>
    <hyperlink ref="N713" r:id="rId1398" xr:uid="{B07485C6-60DF-4D9D-8021-F01542C86118}"/>
    <hyperlink ref="N714" r:id="rId1399" xr:uid="{D0EADE44-86AC-4402-BF66-42CCA465AB9A}"/>
    <hyperlink ref="N715" r:id="rId1400" xr:uid="{4FFC655A-C06F-4D16-AAE9-5C1CF551A886}"/>
    <hyperlink ref="N716" r:id="rId1401" xr:uid="{7DC066F2-0B90-4B55-8303-87764C257864}"/>
    <hyperlink ref="P717" r:id="rId1402" display="https://my.zakupivli.pro/remote/dispatcher/state_purchase_view/54409626" xr:uid="{E61FDFE3-4147-489B-98AD-39A98B5AB1F3}"/>
    <hyperlink ref="P718" r:id="rId1403" display="https://my.zakupivli.pro/remote/dispatcher/state_purchase_view/54409008" xr:uid="{842B35CD-C9F4-4EDA-84FC-80A5B38C5B2C}"/>
    <hyperlink ref="P719" r:id="rId1404" display="https://my.zakupivli.pro/remote/dispatcher/state_purchase_view/54407139" xr:uid="{5D9EA10C-B16F-49D1-807A-8EAB8E2DFA5D}"/>
    <hyperlink ref="P720" r:id="rId1405" display="https://my.zakupivli.pro/remote/dispatcher/state_purchase_view/54403612" xr:uid="{93DC29AB-0073-4FB2-BD66-15FDBDADA7FC}"/>
    <hyperlink ref="N717" r:id="rId1406" xr:uid="{8415047A-AB8D-4581-9C46-77A90090CC64}"/>
    <hyperlink ref="N718" r:id="rId1407" xr:uid="{5618C0D2-1A97-4662-967C-A54068094AA6}"/>
    <hyperlink ref="N719" r:id="rId1408" xr:uid="{518AF7F0-EB17-4B18-A71B-A0192C420475}"/>
    <hyperlink ref="N720" r:id="rId1409" xr:uid="{3FF2ED25-CEA7-43C7-BB07-90A2C493ABA3}"/>
    <hyperlink ref="P721" r:id="rId1410" display="https://my.zakupivli.pro/remote/dispatcher/state_purchase_view/54476090" xr:uid="{D6BC8CE2-8736-4383-B0FD-EB2ED1869D60}"/>
    <hyperlink ref="P722" r:id="rId1411" display="https://my.zakupivli.pro/remote/dispatcher/state_purchase_view/54470389" xr:uid="{BD5EA245-7A44-466E-8B2F-BD7C7C508141}"/>
    <hyperlink ref="P723" r:id="rId1412" display="https://my.zakupivli.pro/remote/dispatcher/state_purchase_view/54459170" xr:uid="{7BE8623E-4E97-4891-A243-24738DFE5EA9}"/>
    <hyperlink ref="P724" r:id="rId1413" display="https://my.zakupivli.pro/remote/dispatcher/state_purchase_view/54453684" xr:uid="{D095A8AA-A2ED-40BE-8A2D-DBEE49D04C87}"/>
    <hyperlink ref="P725" r:id="rId1414" display="https://my.zakupivli.pro/remote/dispatcher/state_purchase_view/54453325" xr:uid="{6F6F1C4F-805B-4A35-A850-062E96EFEEB0}"/>
    <hyperlink ref="P726" r:id="rId1415" display="https://my.zakupivli.pro/remote/dispatcher/state_purchase_view/54453220" xr:uid="{41A320A1-08F3-4F19-A5BD-30FA1DAF0306}"/>
    <hyperlink ref="P727" r:id="rId1416" display="https://my.zakupivli.pro/remote/dispatcher/state_purchase_view/54453100" xr:uid="{483E26A1-264B-488F-8AEA-2880D37A79FA}"/>
    <hyperlink ref="N721" r:id="rId1417" xr:uid="{F0201A02-73B7-46E3-B5D0-507BA0BAD240}"/>
    <hyperlink ref="N722" r:id="rId1418" xr:uid="{153BB225-1497-4AA7-8050-66DF9B961852}"/>
    <hyperlink ref="N723" r:id="rId1419" xr:uid="{A01AC219-F45B-423D-9669-764DC30E3D73}"/>
    <hyperlink ref="N724" r:id="rId1420" xr:uid="{BD60D4DD-BA4C-449C-992D-1E59B9F768E8}"/>
    <hyperlink ref="N725" r:id="rId1421" xr:uid="{6D6F513E-2748-44BF-AFFD-7A3E6BB1A659}"/>
    <hyperlink ref="N726" r:id="rId1422" xr:uid="{D0FB2AE7-EC28-4E59-B385-79801C44C992}"/>
    <hyperlink ref="N727" r:id="rId1423" xr:uid="{A336414F-2DBB-47A1-A305-866415DDCC64}"/>
    <hyperlink ref="P728" r:id="rId1424" display="https://my.zakupivli.pro/remote/dispatcher/state_purchase_view/54552115" xr:uid="{A7A8F8B5-82C7-4559-B864-4F032C4752BB}"/>
    <hyperlink ref="N728" r:id="rId1425" xr:uid="{C8E5946A-F424-48C9-A9F7-223548A4C53F}"/>
    <hyperlink ref="P729" r:id="rId1426" display="https://my.zakupivli.pro/remote/dispatcher/state_purchase_view/54591270" xr:uid="{B57E2E40-EF0A-4CF5-BE99-0B1C489B0CDE}"/>
    <hyperlink ref="P730" r:id="rId1427" display="https://my.zakupivli.pro/remote/dispatcher/state_purchase_view/54590134" xr:uid="{D6CF6D5E-ABA8-4403-B9C5-B72A1F48B52E}"/>
    <hyperlink ref="P731" r:id="rId1428" display="https://my.zakupivli.pro/remote/dispatcher/state_purchase_view/54588242" xr:uid="{BC64E9F2-92EA-4E08-BD7F-15C51B79ECDB}"/>
    <hyperlink ref="N729" r:id="rId1429" xr:uid="{82DBC792-2447-48D6-AF62-D44F3EF31C84}"/>
    <hyperlink ref="N730" r:id="rId1430" xr:uid="{79E4BDC1-7EB6-48AD-80D0-0BB0CEA7E131}"/>
    <hyperlink ref="N731" r:id="rId1431" xr:uid="{F5665C8F-D15C-4F10-8343-EE289D94A73A}"/>
    <hyperlink ref="P732" r:id="rId1432" display="https://my.zakupivli.pro/remote/dispatcher/state_purchase_view/54604192" xr:uid="{81F2EC49-2B83-428D-B17D-829F94B87D7F}"/>
    <hyperlink ref="N732" r:id="rId1433" xr:uid="{E461D22F-C665-43F4-9342-9E5BF9523F8E}"/>
    <hyperlink ref="P733" r:id="rId1434" display="https://my.zakupivli.pro/remote/dispatcher/state_purchase_view/54641995" xr:uid="{B78ABACF-8EEB-4821-80C2-6D6BFE5C8F4D}"/>
    <hyperlink ref="P734" r:id="rId1435" display="https://my.zakupivli.pro/remote/dispatcher/state_purchase_view/54640544" xr:uid="{2D49BC62-11F6-460A-8A04-8F74B2E6BC30}"/>
    <hyperlink ref="P735" r:id="rId1436" display="https://my.zakupivli.pro/remote/dispatcher/state_purchase_view/54634822" xr:uid="{AB84CE94-70DC-40B3-9C91-47CEC93320A3}"/>
    <hyperlink ref="N733" r:id="rId1437" xr:uid="{1AC470FD-FE6A-4797-AE82-CFFD6B6115C0}"/>
    <hyperlink ref="N734" r:id="rId1438" xr:uid="{CD958A0B-497C-415A-9375-119A31F68904}"/>
    <hyperlink ref="N735" r:id="rId1439" xr:uid="{CBF0D4E2-46B0-40DE-870F-D4F880A91429}"/>
    <hyperlink ref="P736" r:id="rId1440" display="https://my.zakupivli.pro/remote/dispatcher/state_purchase_view/54732542" xr:uid="{579D54A1-E69F-498F-862D-3BCEC4B36D04}"/>
    <hyperlink ref="P737" r:id="rId1441" display="https://my.zakupivli.pro/remote/dispatcher/state_purchase_view/54732316" xr:uid="{F2412ABD-535F-4512-87F7-48E37544B716}"/>
    <hyperlink ref="N736" r:id="rId1442" xr:uid="{070C5207-9B09-42AC-AE95-819B1B494086}"/>
    <hyperlink ref="N737" r:id="rId1443" xr:uid="{F8D493F6-5283-4B1A-A78B-20E0A89DFA31}"/>
    <hyperlink ref="P738" r:id="rId1444" display="https://my.zakupivli.pro/remote/dispatcher/state_purchase_view/54822874" xr:uid="{8E55B832-6987-4D74-B774-FAF1AD7443D1}"/>
    <hyperlink ref="P739" r:id="rId1445" display="https://my.zakupivli.pro/remote/dispatcher/state_purchase_view/54822010" xr:uid="{88FBFC1C-A1BE-4ECF-A700-62D91C482739}"/>
    <hyperlink ref="P740" r:id="rId1446" display="https://my.zakupivli.pro/remote/dispatcher/state_purchase_view/54821149" xr:uid="{6F69D4B2-9499-48AC-96C0-7FA575E0521D}"/>
    <hyperlink ref="P741" r:id="rId1447" display="https://my.zakupivli.pro/remote/dispatcher/state_purchase_view/54820976" xr:uid="{E4E6DB50-7DDE-4121-ABD3-2C924A7C123F}"/>
    <hyperlink ref="P742" r:id="rId1448" display="https://my.zakupivli.pro/remote/dispatcher/state_purchase_view/54820835" xr:uid="{595E00A3-4CDE-44A9-8E6C-EBBE7C22D1FD}"/>
    <hyperlink ref="P743" r:id="rId1449" display="https://my.zakupivli.pro/remote/dispatcher/state_purchase_view/54820777" xr:uid="{09B78B4F-1E31-4A25-A2C3-251E4D5C604C}"/>
    <hyperlink ref="P744" r:id="rId1450" display="https://my.zakupivli.pro/remote/dispatcher/state_purchase_view/54820687" xr:uid="{0E2DD7A6-0B8F-4BF2-9D4C-D6BAD8F2131B}"/>
    <hyperlink ref="P745" r:id="rId1451" display="https://my.zakupivli.pro/remote/dispatcher/state_purchase_view/54820495" xr:uid="{F5AC5A11-6F95-4FBE-9D94-E2618BD50810}"/>
    <hyperlink ref="P746" r:id="rId1452" display="https://my.zakupivli.pro/remote/dispatcher/state_purchase_view/54820196" xr:uid="{131C09FD-18AA-4A65-BE21-3502665AB0DB}"/>
    <hyperlink ref="P747" r:id="rId1453" display="https://my.zakupivli.pro/remote/dispatcher/state_purchase_view/54820177" xr:uid="{D45C7848-08EB-4CA9-B9BE-868372F79CC6}"/>
    <hyperlink ref="P748" r:id="rId1454" display="https://my.zakupivli.pro/remote/dispatcher/state_purchase_view/54819986" xr:uid="{E058C2A1-B0DA-4E85-A8A1-CCE1F9BFDDB0}"/>
    <hyperlink ref="P749" r:id="rId1455" display="https://my.zakupivli.pro/remote/dispatcher/state_purchase_view/54797048" xr:uid="{801AA175-3763-4430-973E-196FA3625AA0}"/>
    <hyperlink ref="P750" r:id="rId1456" display="https://my.zakupivli.pro/remote/dispatcher/state_purchase_view/54789788" xr:uid="{8240C2C9-A8C1-420A-BBD9-AB9806BE8AD1}"/>
    <hyperlink ref="N738" r:id="rId1457" xr:uid="{9949AB0F-764A-466B-A3EA-7165135C0E12}"/>
    <hyperlink ref="N739" r:id="rId1458" xr:uid="{63E99555-692B-45CA-9F20-DE32D3803491}"/>
    <hyperlink ref="N740" r:id="rId1459" xr:uid="{18A0E862-CE0B-4249-84EA-2D1B9019CB4A}"/>
    <hyperlink ref="N741" r:id="rId1460" xr:uid="{1CD6267B-E560-490A-892F-7C7967B30132}"/>
    <hyperlink ref="N742" r:id="rId1461" xr:uid="{B889725B-8090-43F6-849C-3433778D6C1F}"/>
    <hyperlink ref="N743" r:id="rId1462" xr:uid="{FB914B78-4118-4AEA-B886-40CFE9C352BD}"/>
    <hyperlink ref="N744" r:id="rId1463" xr:uid="{37AA2222-FA12-41E3-94EA-D922464C33F0}"/>
    <hyperlink ref="N745" r:id="rId1464" xr:uid="{D6EBA75A-1277-457C-B81E-6751A692C9E1}"/>
    <hyperlink ref="N746" r:id="rId1465" xr:uid="{958E09CB-040D-4076-890A-3FDCD6E28AE7}"/>
    <hyperlink ref="N747" r:id="rId1466" xr:uid="{42735E93-14FB-4F93-8E49-57A305458C94}"/>
    <hyperlink ref="N748" r:id="rId1467" xr:uid="{DA86ACC4-3748-46E3-BC8A-B668C64EBC2C}"/>
    <hyperlink ref="N749" r:id="rId1468" xr:uid="{263D76C6-28CB-4877-A2EA-EDD970D960C1}"/>
    <hyperlink ref="N750" r:id="rId1469" xr:uid="{CC5465D6-27F5-4047-A06F-1A5975C6742C}"/>
    <hyperlink ref="P751" r:id="rId1470" display="https://my.zakupivli.pro/remote/dispatcher/state_purchase_view/54856895" xr:uid="{85508283-77F5-4B27-A695-335A57079FC9}"/>
    <hyperlink ref="P752" r:id="rId1471" display="https://my.zakupivli.pro/remote/dispatcher/state_purchase_view/54856641" xr:uid="{44EBFC08-F4EC-491E-B1AA-234217E1EFF9}"/>
    <hyperlink ref="P753" r:id="rId1472" display="https://my.zakupivli.pro/remote/dispatcher/state_purchase_view/54856228" xr:uid="{BA3FDEDF-798B-4FBD-9E2A-56E3E724841D}"/>
    <hyperlink ref="P754" r:id="rId1473" display="https://my.zakupivli.pro/remote/dispatcher/state_purchase_view/54855962" xr:uid="{643A5C3D-E498-4F35-BC81-DC9966655434}"/>
    <hyperlink ref="P755" r:id="rId1474" display="https://my.zakupivli.pro/remote/dispatcher/state_purchase_view/54837075" xr:uid="{5F98B50E-484E-4DA5-A74E-5DF1EEE93C47}"/>
    <hyperlink ref="N751" r:id="rId1475" xr:uid="{58AD3C30-B666-4DE8-97E3-E84357564F2F}"/>
    <hyperlink ref="N752" r:id="rId1476" xr:uid="{C11DC134-44D0-4406-A183-1C807955D64D}"/>
    <hyperlink ref="N753" r:id="rId1477" xr:uid="{FB52AE02-3043-442D-B2FA-0A727F66F999}"/>
    <hyperlink ref="N754" r:id="rId1478" xr:uid="{B754B83C-2C33-4FA5-AD6F-034EDA539913}"/>
    <hyperlink ref="N755" r:id="rId1479" xr:uid="{ECDF9779-E863-41C7-ACE5-F60BFEA0EB98}"/>
    <hyperlink ref="P756" r:id="rId1480" display="https://my.zakupivli.pro/remote/dispatcher/state_purchase_view/54954390" xr:uid="{FAE4DA3B-3BEF-4F5F-96F1-952331218A96}"/>
    <hyperlink ref="N756" r:id="rId1481" xr:uid="{BAFA963F-6BD8-45CE-92F0-E66020272107}"/>
    <hyperlink ref="P757" r:id="rId1482" display="https://my.zakupivli.pro/remote/dispatcher/state_purchase_view/55001569" xr:uid="{0380759C-ED46-4803-94F3-21689A7C5013}"/>
    <hyperlink ref="N757" r:id="rId1483" xr:uid="{4689920A-C193-469F-93A6-CDF4CF9CED83}"/>
    <hyperlink ref="N758" r:id="rId1484" xr:uid="{5E443917-F443-48D9-81CD-697EEAD225E9}"/>
    <hyperlink ref="P758" r:id="rId1485" display="https://my.zakupivli.pro/remote/dispatcher/state_purchase_view/55052216" xr:uid="{F4B2454A-E8A1-4BB9-91AD-941C75194666}"/>
    <hyperlink ref="P759" r:id="rId1486" display="https://my.zakupivli.pro/remote/dispatcher/state_purchase_view/55155829" xr:uid="{BA2B36D4-E33E-4F02-B7DD-37395534542C}"/>
    <hyperlink ref="P760" r:id="rId1487" display="https://my.zakupivli.pro/remote/dispatcher/state_purchase_view/55139944" xr:uid="{CF31D66D-7723-4E10-8CF6-57731BE9B6F4}"/>
    <hyperlink ref="N759" r:id="rId1488" xr:uid="{C39F344A-939D-4282-8BC5-187F829FC138}"/>
    <hyperlink ref="N760" r:id="rId1489" xr:uid="{78038A15-9F7E-4AB7-A820-F69B37C3CDD2}"/>
    <hyperlink ref="P761" r:id="rId1490" display="https://my.zakupivli.pro/remote/dispatcher/state_purchase_view/55188936" xr:uid="{D5EF5455-51F8-4B64-A161-A6F587C33B47}"/>
    <hyperlink ref="P762" r:id="rId1491" display="https://my.zakupivli.pro/remote/dispatcher/state_purchase_view/55174014" xr:uid="{7B0E5F8B-B87D-4922-AEBF-69FE215D7771}"/>
    <hyperlink ref="N761" r:id="rId1492" xr:uid="{405815DD-E4ED-4E57-8A38-0DC8B01D0AF0}"/>
    <hyperlink ref="N762" r:id="rId1493" xr:uid="{EA29D232-8D37-439E-988D-E6FA8EAAFD90}"/>
    <hyperlink ref="P763" r:id="rId1494" display="https://my.zakupivli.pro/remote/dispatcher/state_purchase_view/55499913" xr:uid="{D73319A4-CBB2-4C2C-B6C5-F3D2D3737B4D}"/>
    <hyperlink ref="P764" r:id="rId1495" display="https://my.zakupivli.pro/remote/dispatcher/state_purchase_view/55499643" xr:uid="{F3EF68EA-CFBE-4380-84B9-A5945594D96B}"/>
    <hyperlink ref="P765" r:id="rId1496" display="https://my.zakupivli.pro/remote/dispatcher/state_purchase_view/55498113" xr:uid="{AE36F76A-8D9A-401D-8750-D3287BE3D447}"/>
    <hyperlink ref="P766" r:id="rId1497" display="https://my.zakupivli.pro/remote/dispatcher/state_purchase_view/55493584" xr:uid="{41422EAB-EABC-4BDE-98BE-613090AF1612}"/>
    <hyperlink ref="N763" r:id="rId1498" xr:uid="{04293573-D3CE-4983-AC8B-332222897469}"/>
    <hyperlink ref="N764" r:id="rId1499" xr:uid="{2471ACCB-69C1-49B5-B249-96F6FEB3C39D}"/>
    <hyperlink ref="N765" r:id="rId1500" xr:uid="{B098FC04-9051-4E1B-BCC3-3A78D22760BC}"/>
    <hyperlink ref="N766" r:id="rId1501" xr:uid="{75E88E84-81CD-4570-B328-26D65AD0FB31}"/>
    <hyperlink ref="P767" r:id="rId1502" display="https://my.zakupivli.pro/remote/dispatcher/state_purchase_view/55492800" xr:uid="{C50EB499-1798-4598-AB83-F40C8FA49D99}"/>
    <hyperlink ref="P768" r:id="rId1503" display="https://my.zakupivli.pro/remote/dispatcher/state_purchase_view/55454423" xr:uid="{019790E2-D899-4148-B094-6D102483E53A}"/>
    <hyperlink ref="P769" r:id="rId1504" display="https://my.zakupivli.pro/remote/dispatcher/state_purchase_view/55452603" xr:uid="{3D94883B-D6FE-4663-9923-0B73389B192B}"/>
    <hyperlink ref="P770" r:id="rId1505" display="https://my.zakupivli.pro/remote/dispatcher/state_purchase_view/55397586" xr:uid="{8BAA3254-ACA6-490E-B50C-5AF2937F51FB}"/>
    <hyperlink ref="P771" r:id="rId1506" display="https://my.zakupivli.pro/remote/dispatcher/state_purchase_view/55352960" xr:uid="{2F9DC8A4-EE77-4D51-B71F-5FC76A047D4D}"/>
    <hyperlink ref="P772" r:id="rId1507" display="https://my.zakupivli.pro/remote/dispatcher/state_purchase_view/55292923" xr:uid="{ACE07526-AD01-43A0-A7C9-B90069216941}"/>
    <hyperlink ref="N767" r:id="rId1508" xr:uid="{22B6B0C7-40C7-40B0-8908-97311A748BB5}"/>
    <hyperlink ref="N768" r:id="rId1509" xr:uid="{51C9EF37-1C1D-4D42-9F8E-90A11D3DB1BB}"/>
    <hyperlink ref="N769" r:id="rId1510" xr:uid="{1AD4A4E6-7E3E-402D-8AB4-0FB7E584DE47}"/>
    <hyperlink ref="N770" r:id="rId1511" xr:uid="{125F595C-91D8-48EA-A068-554FD2855E8F}"/>
    <hyperlink ref="N771" r:id="rId1512" xr:uid="{A7CCC822-7E87-4091-BCC0-56647622F091}"/>
    <hyperlink ref="N772" r:id="rId1513" xr:uid="{0CAD5BEC-E343-4343-9587-78B87C645C7D}"/>
    <hyperlink ref="P773" r:id="rId1514" display="https://my.zakupivli.pro/remote/dispatcher/state_purchase_view/55800910" xr:uid="{8B6639B1-4040-4D52-8CCE-FF82C38BACFC}"/>
    <hyperlink ref="P774" r:id="rId1515" display="https://my.zakupivli.pro/remote/dispatcher/state_purchase_view/55799831" xr:uid="{1973116F-9508-4BD3-AC0B-CFF851CBEDB1}"/>
    <hyperlink ref="N773" r:id="rId1516" xr:uid="{074FDE19-C97E-46D4-9ABD-F9E1DA1BF117}"/>
    <hyperlink ref="N774" r:id="rId1517" xr:uid="{A73E1949-B419-4353-A65D-482DCD013FD8}"/>
    <hyperlink ref="P775" r:id="rId1518" display="https://my.zakupivli.pro/remote/dispatcher/state_purchase_view/55872274" xr:uid="{2DD7E0C8-0AF7-4D4D-96E5-5E58BA4FB6C8}"/>
    <hyperlink ref="P780" r:id="rId1519" display="https://my.zakupivli.pro/remote/dispatcher/state_purchase_view/55863477" xr:uid="{D3292F75-D78B-400A-8C98-E4EBCF6188EC}"/>
    <hyperlink ref="P779" r:id="rId1520" display="https://my.zakupivli.pro/remote/dispatcher/state_purchase_view/55863477" xr:uid="{F16D51B9-E0B7-4F0B-97E9-CB6308FC4F02}"/>
    <hyperlink ref="P778" r:id="rId1521" display="https://my.zakupivli.pro/remote/dispatcher/state_purchase_view/55863477" xr:uid="{2BB4D852-3468-4C57-BFC2-9894867B342C}"/>
    <hyperlink ref="P777" r:id="rId1522" display="https://my.zakupivli.pro/remote/dispatcher/state_purchase_view/55863477" xr:uid="{E119BF05-BD29-443D-BDFB-1DB7E5BC2669}"/>
    <hyperlink ref="P776" r:id="rId1523" display="https://my.zakupivli.pro/remote/dispatcher/state_purchase_view/55863477" xr:uid="{E1214692-2FC5-47D8-845B-C67167322B1F}"/>
    <hyperlink ref="N775" r:id="rId1524" xr:uid="{F053912B-11CA-439F-9664-42C0519F8AA7}"/>
    <hyperlink ref="N776" r:id="rId1525" xr:uid="{A2CAE60D-AB2F-45B8-BB42-950169C7D785}"/>
    <hyperlink ref="N777" r:id="rId1526" xr:uid="{045E1A29-194D-4C9B-B0B7-BF71BC099E62}"/>
    <hyperlink ref="N778" r:id="rId1527" xr:uid="{A6EC27A9-104A-4DC9-8A11-F3FB27F58E27}"/>
    <hyperlink ref="N779" r:id="rId1528" xr:uid="{CA358943-3601-47F8-A260-50AB9073C134}"/>
    <hyperlink ref="N780" r:id="rId1529" xr:uid="{4B0A4EE0-11F9-4DF2-9F37-7FB9FDDD3D81}"/>
    <hyperlink ref="P781" r:id="rId1530" display="https://my.zakupivli.pro/remote/dispatcher/state_purchase_view/55973222" xr:uid="{F58E2B19-B08C-4381-8002-AB21A0D20135}"/>
    <hyperlink ref="P782" r:id="rId1531" display="https://my.zakupivli.pro/remote/dispatcher/state_purchase_view/55973222" xr:uid="{1780E50C-ECAE-49B7-88DC-FDAB0397373D}"/>
    <hyperlink ref="P783" r:id="rId1532" display="https://my.zakupivli.pro/remote/dispatcher/state_purchase_view/55973222" xr:uid="{37A618F8-88CD-4531-8A5A-BFECD9EBEDE3}"/>
    <hyperlink ref="P784" r:id="rId1533" display="https://my.zakupivli.pro/remote/dispatcher/state_purchase_view/55969608" xr:uid="{8CF29EE5-0CA5-43F8-83D3-9488DB9362EB}"/>
    <hyperlink ref="P785" r:id="rId1534" display="https://my.zakupivli.pro/remote/dispatcher/state_purchase_view/55956705" xr:uid="{285ACF73-09FD-415C-B1BD-353C3BC11D19}"/>
    <hyperlink ref="N781" r:id="rId1535" xr:uid="{8FA6CE43-1398-4ADC-9071-268B1F1C98E8}"/>
    <hyperlink ref="N782" r:id="rId1536" xr:uid="{5192E84F-CA60-4BA6-8A90-EE98A4ACF707}"/>
    <hyperlink ref="N783" r:id="rId1537" xr:uid="{30A94EAD-636D-49EF-864E-C1D3DAA901B9}"/>
    <hyperlink ref="N784" r:id="rId1538" xr:uid="{5F3D4057-9269-4BAE-BE0A-03DCA6F7D4FE}"/>
    <hyperlink ref="N785" r:id="rId1539" xr:uid="{5375C5B6-C007-4527-ABB0-AE29B888FCC5}"/>
    <hyperlink ref="P786" r:id="rId1540" display="https://my.zakupivli.pro/remote/dispatcher/state_purchase_view/56008163" xr:uid="{7D3538C4-2CA3-4373-B787-2EE332F93324}"/>
    <hyperlink ref="N786" r:id="rId1541" xr:uid="{CAE5AD72-F5C5-4F70-9523-81C7166DFEAC}"/>
    <hyperlink ref="P787" r:id="rId1542" display="https://my.zakupivli.pro/remote/dispatcher/state_purchase_view/56101118" xr:uid="{69B83C2B-B38A-4B90-A9D7-B7B49765BBDF}"/>
    <hyperlink ref="P788" r:id="rId1543" display="https://my.zakupivli.pro/remote/dispatcher/state_purchase_view/56084031" xr:uid="{6D5D8AC5-D4FF-4210-9F62-C63333FEE592}"/>
    <hyperlink ref="P789" r:id="rId1544" display="https://my.zakupivli.pro/remote/dispatcher/state_purchase_view/56070139" xr:uid="{2C270C66-7CFE-438E-B9AA-DE50F91DABB1}"/>
    <hyperlink ref="N787" r:id="rId1545" xr:uid="{28AA863F-C53F-425B-9A0A-99B6F6558753}"/>
    <hyperlink ref="N788" r:id="rId1546" xr:uid="{AE587837-5944-4BFD-A467-ACD3AAD842E9}"/>
    <hyperlink ref="N789" r:id="rId1547" xr:uid="{272272FE-098C-4DFB-8593-29CD12EAB181}"/>
    <hyperlink ref="P790" r:id="rId1548" display="https://my.zakupivli.pro/remote/dispatcher/state_purchase_view/56149918" xr:uid="{0AAB35BB-D1E8-4F8E-98D6-CEA7466EE595}"/>
    <hyperlink ref="N790" r:id="rId1549" xr:uid="{38F16F60-4951-4328-8814-DB6210EF76C9}"/>
    <hyperlink ref="P791" r:id="rId1550" display="https://my.zakupivli.pro/remote/dispatcher/state_purchase_view/56178120" xr:uid="{927DC45B-9BA0-4759-8D95-600E9C976BC4}"/>
    <hyperlink ref="P792" r:id="rId1551" display="https://my.zakupivli.pro/remote/dispatcher/state_purchase_view/56178120" xr:uid="{288D2DF9-7DED-468C-8CEA-34E4907EE093}"/>
    <hyperlink ref="P793" r:id="rId1552" display="https://my.zakupivli.pro/remote/dispatcher/state_purchase_view/56165938" xr:uid="{2D42BAAA-ECCE-4D4D-A706-EF5845EC2C73}"/>
    <hyperlink ref="P794" r:id="rId1553" display="https://my.zakupivli.pro/remote/dispatcher/state_purchase_view/56157266" xr:uid="{7AB3821D-598A-484C-AD99-97CCE14AF639}"/>
    <hyperlink ref="P795" r:id="rId1554" display="https://my.zakupivli.pro/remote/dispatcher/state_purchase_view/56156900" xr:uid="{B2318DBA-5F54-49F4-A321-7B91CBC9FFFE}"/>
    <hyperlink ref="N791" r:id="rId1555" xr:uid="{02A78106-D8CF-42AA-B9C1-35831CEF962F}"/>
    <hyperlink ref="N792" r:id="rId1556" xr:uid="{80AD0E6F-1843-4F45-9D62-C3AFE430B632}"/>
    <hyperlink ref="N793" r:id="rId1557" xr:uid="{69E213CE-9CF7-4839-A8A4-3E0B388B1623}"/>
    <hyperlink ref="N794" r:id="rId1558" xr:uid="{D4D76DC2-FFDF-44FE-986E-3F54AED4723B}"/>
    <hyperlink ref="N795" r:id="rId1559" xr:uid="{DD6E0875-CF27-47E5-A180-BFDE8B4D7094}"/>
    <hyperlink ref="P796" r:id="rId1560" display="https://my.zakupivli.pro/remote/dispatcher/state_purchase_view/56211568" xr:uid="{0C2FCE1E-43D6-44D7-8D6D-171EC3C44B08}"/>
    <hyperlink ref="P797" r:id="rId1561" display="https://my.zakupivli.pro/remote/dispatcher/state_purchase_view/56211568" xr:uid="{16D85BE7-5552-4D7A-8970-7F07BD5769BD}"/>
    <hyperlink ref="P798" r:id="rId1562" display="https://my.zakupivli.pro/remote/dispatcher/state_purchase_view/56208279" xr:uid="{6468F717-7924-49E6-8182-D4A3455AD88D}"/>
    <hyperlink ref="P799" r:id="rId1563" display="https://my.zakupivli.pro/remote/dispatcher/state_purchase_view/56204817" xr:uid="{B75362B3-38D9-4986-B0CB-40F95D167100}"/>
    <hyperlink ref="P800" r:id="rId1564" display="https://my.zakupivli.pro/remote/dispatcher/state_purchase_view/56204127" xr:uid="{068DCBF3-90FA-4057-9FAB-8CE0525FDA10}"/>
    <hyperlink ref="P801" r:id="rId1565" display="https://my.zakupivli.pro/remote/dispatcher/state_purchase_view/56200541" xr:uid="{9E08A7B1-35D7-46F7-AF47-7233451D3861}"/>
    <hyperlink ref="N796" r:id="rId1566" xr:uid="{68FBDF19-052C-407F-A1FB-E644B88E7F3A}"/>
    <hyperlink ref="N797" r:id="rId1567" xr:uid="{7E9DF93D-4E38-497F-B792-581B774136FC}"/>
    <hyperlink ref="N798" r:id="rId1568" xr:uid="{7DC1E5BE-65D0-44D8-8EB0-FB04EE67664D}"/>
    <hyperlink ref="N799" r:id="rId1569" xr:uid="{93770F8D-1112-4BC6-88E0-5CEBDC044B40}"/>
    <hyperlink ref="N800" r:id="rId1570" xr:uid="{57C65CE8-3E5D-4883-B2E2-275ADBDE9838}"/>
    <hyperlink ref="N801" r:id="rId1571" xr:uid="{CFDAAEF1-0A65-4FD0-BB0C-F8899625C416}"/>
    <hyperlink ref="P802" r:id="rId1572" display="https://my.zakupivli.pro/remote/dispatcher/state_purchase_view/56282686" xr:uid="{A2B48119-1BB3-4C77-A979-55D581458A2D}"/>
    <hyperlink ref="N802" r:id="rId1573" xr:uid="{CA210D36-D28A-4FEA-A5C2-6CD0A9EC367A}"/>
    <hyperlink ref="P803" r:id="rId1574" display="https://my.zakupivli.pro/remote/dispatcher/state_purchase_view/56334714" xr:uid="{B476FEDA-0D98-4E70-BAB6-B85578CD0882}"/>
    <hyperlink ref="P804" r:id="rId1575" display="https://my.zakupivli.pro/remote/dispatcher/state_purchase_view/56334419" xr:uid="{B8C15D0F-6640-4767-AEBB-AAFE17381B41}"/>
    <hyperlink ref="P805" r:id="rId1576" display="https://my.zakupivli.pro/remote/dispatcher/state_purchase_view/56333751" xr:uid="{74493E4F-7774-44AB-BA55-EC8CF2158B22}"/>
    <hyperlink ref="P806" r:id="rId1577" display="https://my.zakupivli.pro/remote/dispatcher/state_purchase_view/56325016" xr:uid="{37693F0B-C8A3-46B3-BFF5-30450A13D413}"/>
    <hyperlink ref="P807" r:id="rId1578" display="https://my.zakupivli.pro/remote/dispatcher/state_purchase_view/56319993" xr:uid="{9A059AC3-563F-4492-A50E-C520D9293598}"/>
    <hyperlink ref="P808" r:id="rId1579" display="https://my.zakupivli.pro/remote/dispatcher/state_purchase_view/56319028" xr:uid="{1D809CBE-6CB0-4B77-A301-EADF9BA2475C}"/>
    <hyperlink ref="N803" r:id="rId1580" xr:uid="{EC38F8FA-3E02-41EA-BD0E-3BAFC9C4DDB1}"/>
    <hyperlink ref="N804" r:id="rId1581" xr:uid="{2A0CE0F2-2E3E-42CB-A5FE-51FA305427C5}"/>
    <hyperlink ref="N805" r:id="rId1582" xr:uid="{8891B2C7-A5A6-4982-AC71-DAAD67040985}"/>
    <hyperlink ref="N806" r:id="rId1583" xr:uid="{FB16298F-433C-4D32-80B6-74C8F8DB1D35}"/>
    <hyperlink ref="N807" r:id="rId1584" xr:uid="{AAFDCAC5-E306-416E-858A-4C9119EDAD09}"/>
    <hyperlink ref="N808" r:id="rId1585" xr:uid="{45535D50-8B78-4D71-BA82-6EEB2F3287C9}"/>
    <hyperlink ref="P809" r:id="rId1586" display="https://my.zakupivli.pro/remote/dispatcher/state_purchase_view/56343850" xr:uid="{6AEA51C9-3FD9-40FB-A158-1614BD559B78}"/>
    <hyperlink ref="P810" r:id="rId1587" display="https://my.zakupivli.pro/remote/dispatcher/state_purchase_view/56341932" xr:uid="{04488E38-DB91-473F-9FD6-34E009748725}"/>
    <hyperlink ref="P811" r:id="rId1588" display="https://my.zakupivli.pro/remote/dispatcher/state_purchase_view/56341932" xr:uid="{FF8C0759-2DA8-42B0-B31B-C4CE7C30F231}"/>
    <hyperlink ref="P812" r:id="rId1589" display="https://my.zakupivli.pro/remote/dispatcher/state_purchase_view/56341932" xr:uid="{BDED72C1-115B-49C3-AF6B-9999A117F46D}"/>
    <hyperlink ref="P813" r:id="rId1590" display="https://my.zakupivli.pro/remote/dispatcher/state_purchase_view/56341932" xr:uid="{6EF4E412-6111-4015-843F-F2322D329C16}"/>
    <hyperlink ref="N809" r:id="rId1591" xr:uid="{B00739A2-E943-421E-A93A-FE38E538B6A5}"/>
    <hyperlink ref="N810" r:id="rId1592" xr:uid="{C37770E2-1C3F-4BED-87F1-E75F9DFAA436}"/>
    <hyperlink ref="N811" r:id="rId1593" xr:uid="{2A1DF1D1-C35D-470F-AF08-A917F0313372}"/>
    <hyperlink ref="N812" r:id="rId1594" xr:uid="{6F8299B0-D2B1-47DE-8900-FD489697D831}"/>
    <hyperlink ref="N813" r:id="rId1595" xr:uid="{190A7544-7504-4E70-97BD-5045B9BEC3E8}"/>
    <hyperlink ref="P814" r:id="rId1596" display="https://my.zakupivli.pro/remote/dispatcher/state_purchase_view/56380662" xr:uid="{5A7F2307-E802-4E52-9EAB-EF395D411E23}"/>
    <hyperlink ref="N814" r:id="rId1597" xr:uid="{63D89966-1B15-45CC-B745-E60C3E342CB7}"/>
    <hyperlink ref="P815" r:id="rId1598" display="https://my.zakupivli.pro/remote/dispatcher/state_purchase_view/56409739" xr:uid="{7889B4FA-EBF9-48C3-9365-9DC7AA523B6A}"/>
    <hyperlink ref="P816" r:id="rId1599" display="https://my.zakupivli.pro/remote/dispatcher/state_purchase_view/56394826" xr:uid="{0FA45F1A-7D38-4DA4-86AA-70818AA29A4F}"/>
    <hyperlink ref="P817" r:id="rId1600" display="https://my.zakupivli.pro/remote/dispatcher/state_purchase_view/56394826" xr:uid="{1639A77F-84EA-4E06-AB32-AE83D814E33D}"/>
    <hyperlink ref="N815" r:id="rId1601" xr:uid="{3CD2F31F-126E-4DA1-9707-758F67E9ACBF}"/>
    <hyperlink ref="N816" r:id="rId1602" xr:uid="{D0D6B34D-C7E6-4B51-B0ED-99D2A23EF183}"/>
    <hyperlink ref="N817" r:id="rId1603" xr:uid="{E313188C-EBB3-4781-874B-EE01109E3E65}"/>
    <hyperlink ref="P818" r:id="rId1604" display="https://my.zakupivli.pro/remote/dispatcher/state_purchase_view/56534913" xr:uid="{7EFF671D-D791-4AAD-9CE6-83BE0A4B3350}"/>
    <hyperlink ref="P819" r:id="rId1605" display="https://my.zakupivli.pro/remote/dispatcher/state_purchase_view/56533770" xr:uid="{E42400F8-0650-4A52-A5B2-1A037352C494}"/>
    <hyperlink ref="P820" r:id="rId1606" display="https://my.zakupivli.pro/remote/dispatcher/state_purchase_view/56516163" xr:uid="{05A9822E-B55B-422F-9203-1B2ECD4758D2}"/>
    <hyperlink ref="P821" r:id="rId1607" display="https://my.zakupivli.pro/remote/dispatcher/state_purchase_view/56511166" xr:uid="{77385C10-C849-4726-927B-5295B201A79A}"/>
    <hyperlink ref="P822" r:id="rId1608" display="https://my.zakupivli.pro/remote/dispatcher/state_purchase_view/56511166" xr:uid="{BB87818E-923A-443F-A4D6-88C2EDC552F0}"/>
    <hyperlink ref="N818" r:id="rId1609" xr:uid="{54EA7EF4-54A7-40F8-90D0-4F7CA630D769}"/>
    <hyperlink ref="N819" r:id="rId1610" xr:uid="{2BB9E2D9-D6B7-4941-99ED-B4EB6E9D82C1}"/>
    <hyperlink ref="N820" r:id="rId1611" xr:uid="{FCFB37CB-B908-4282-98C4-90CFE20E87CA}"/>
    <hyperlink ref="N821" r:id="rId1612" xr:uid="{A0D1938A-20BC-4B92-97A0-8A8DA23C04C9}"/>
    <hyperlink ref="N822" r:id="rId1613" xr:uid="{3591A73D-C7BA-425A-A78D-DED26A203DCB}"/>
    <hyperlink ref="P823" r:id="rId1614" display="https://my.zakupivli.pro/remote/dispatcher/state_purchase_view/56621501" xr:uid="{78BA7A73-96E9-429A-B6CC-0FC9E1690DD9}"/>
    <hyperlink ref="P824" r:id="rId1615" display="https://my.zakupivli.pro/remote/dispatcher/state_purchase_view/56611663" xr:uid="{C18D7CF4-DAC5-4A36-9740-AA0A4728E768}"/>
    <hyperlink ref="P825" r:id="rId1616" display="https://my.zakupivli.pro/remote/dispatcher/state_purchase_view/56598991" xr:uid="{5976BAFF-6AB2-4E4E-93F9-7E53FC3E626B}"/>
    <hyperlink ref="P826" r:id="rId1617" display="https://my.zakupivli.pro/remote/dispatcher/state_purchase_view/56598627" xr:uid="{B15A9B18-12A3-44A8-AD63-AFFBC9558CB0}"/>
    <hyperlink ref="N823" r:id="rId1618" xr:uid="{4334B2EB-F2F7-40C1-8604-C6018E65B39B}"/>
    <hyperlink ref="N824" r:id="rId1619" xr:uid="{7A043936-6DFD-4B31-AD82-BA0741EF0AC8}"/>
    <hyperlink ref="N825" r:id="rId1620" xr:uid="{ACD8B7F4-46E5-43D0-A916-1E7EBF7EBBA5}"/>
    <hyperlink ref="N826" r:id="rId1621" xr:uid="{46F5E74F-A328-4F84-8F7A-A9C4A07E4707}"/>
    <hyperlink ref="P827" r:id="rId1622" display="https://my.zakupivli.pro/remote/dispatcher/state_purchase_view/56624862" xr:uid="{52E0A5C3-2DB7-4D0A-9587-0C93189B71AC}"/>
    <hyperlink ref="P828" r:id="rId1623" display="https://my.zakupivli.pro/remote/dispatcher/state_purchase_view/56624857" xr:uid="{7208F3B0-2DE3-4D62-B9DE-D4F81F8EF5B3}"/>
    <hyperlink ref="N827" r:id="rId1624" xr:uid="{06F865B6-09B5-4AB0-AEE8-8E3CA5E2FED5}"/>
    <hyperlink ref="N828" r:id="rId1625" xr:uid="{E43F825D-52B3-4CC2-BA0F-438622830AF3}"/>
    <hyperlink ref="P829" r:id="rId1626" display="https://my.zakupivli.pro/remote/dispatcher/state_purchase_view/56709458" xr:uid="{D0402AF6-0620-4B8A-B454-D1B4694D6A55}"/>
    <hyperlink ref="N829" r:id="rId1627" xr:uid="{76BDCC64-A0D3-401B-A8B6-6957EA377290}"/>
    <hyperlink ref="P830" r:id="rId1628" display="https://my.zakupivli.pro/remote/dispatcher/state_purchase_view/56767709" xr:uid="{2ED738DC-3EA7-40A1-8A07-499AAC8094B1}"/>
    <hyperlink ref="P831" r:id="rId1629" display="https://my.zakupivli.pro/remote/dispatcher/state_purchase_view/56767093" xr:uid="{2DF9E154-6977-4F36-8E27-31026DEA7AE0}"/>
    <hyperlink ref="P832" r:id="rId1630" display="https://my.zakupivli.pro/remote/dispatcher/state_purchase_view/56756969" xr:uid="{529EB767-B702-425B-AC86-A011809E5D60}"/>
    <hyperlink ref="P833" r:id="rId1631" display="https://my.zakupivli.pro/remote/dispatcher/state_purchase_view/56755417" xr:uid="{DE411003-9A56-4304-9C51-9A622BE41202}"/>
    <hyperlink ref="P834" r:id="rId1632" display="https://my.zakupivli.pro/remote/dispatcher/state_purchase_view/56754629" xr:uid="{6DBF1990-CE4D-45D8-BD1C-F51B23FEA857}"/>
    <hyperlink ref="P835" r:id="rId1633" display="https://my.zakupivli.pro/remote/dispatcher/state_purchase_view/56727364" xr:uid="{6BD45E33-A15A-4774-B8D2-790AA21B8509}"/>
    <hyperlink ref="P836" r:id="rId1634" display="https://my.zakupivli.pro/remote/dispatcher/state_purchase_view/56727364" xr:uid="{3B43EC87-9733-421C-A9D4-8CD7FC360003}"/>
    <hyperlink ref="N830" r:id="rId1635" xr:uid="{C0171F4F-E00C-46E5-9926-E146CE5EE09B}"/>
    <hyperlink ref="N831" r:id="rId1636" xr:uid="{A5354594-43EE-4D5A-AD9C-D4F00E923C1D}"/>
    <hyperlink ref="N832" r:id="rId1637" xr:uid="{1E2BEA89-AEEE-47A6-B06E-93DCD7B1A4E1}"/>
    <hyperlink ref="N833" r:id="rId1638" xr:uid="{26F1B0CF-A9FE-4C8D-ABF8-000D9B09DB16}"/>
    <hyperlink ref="N834" r:id="rId1639" xr:uid="{1A16E355-AD95-4892-A792-921B2707C19A}"/>
    <hyperlink ref="N835" r:id="rId1640" xr:uid="{A01ECC72-47C8-4710-ABC3-7A4FC426D122}"/>
    <hyperlink ref="N836" r:id="rId1641" xr:uid="{6E5C02F2-6DA3-42B4-A3E2-64FA1F4B7BBC}"/>
  </hyperlinks>
  <pageMargins left="0.7" right="0.7" top="0.75" bottom="0.75" header="0.3" footer="0.3"/>
  <pageSetup paperSize="9" scale="34" orientation="landscape" verticalDpi="0" r:id="rId16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2025-01-21T15:09:58Z</dcterms:modified>
</cp:coreProperties>
</file>